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2024-2-第六版-为中铁上会使用-测算报告调整-测算错误修正-报告更换土地报告模板\"/>
    </mc:Choice>
  </mc:AlternateContent>
  <bookViews>
    <workbookView xWindow="9465" yWindow="585" windowWidth="19335" windowHeight="16125" tabRatio="875" firstSheet="13"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工业" sheetId="40" state="hidden" r:id="rId23"/>
    <sheet name="通兴房顺昌门出让-工业" sheetId="77" state="hidden" r:id="rId24"/>
    <sheet name="比较法案例位置" sheetId="74"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比较法-工业（一级开发）" sheetId="76" r:id="rId38"/>
    <sheet name="土地一级开发案例" sheetId="75"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37" hidden="1">'比较法-工业（一级开发）'!$A$1:$L$45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37">'比较法-工业（一级开发）'!$A$1:$K$62,'比较法-工业（一级开发）'!$A$65:$N$122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23">'[2]不动产比较法-办公'!$B$119:$M$119</definedName>
    <definedName name="办公层高" localSheetId="38">'[3]不动产比较法-办公'!$B$119:$M$119</definedName>
    <definedName name="办公层高">'不动产比较法-办公'!$B$119:$M$119</definedName>
    <definedName name="办公朝向" localSheetId="24">'[1]不动产比较法-办公'!$B$91:$M$91</definedName>
    <definedName name="办公朝向" localSheetId="23">'[2]不动产比较法-办公'!$B$91:$M$91</definedName>
    <definedName name="办公朝向" localSheetId="38">'[3]不动产比较法-办公'!$B$91:$M$91</definedName>
    <definedName name="办公朝向">'不动产比较法-办公'!$B$91:$M$91</definedName>
    <definedName name="办公道路级别" localSheetId="24">'[1]不动产比较法-办公'!$B$87:$M$87</definedName>
    <definedName name="办公道路级别" localSheetId="23">'[2]不动产比较法-办公'!$B$87:$M$87</definedName>
    <definedName name="办公道路级别" localSheetId="38">'[3]不动产比较法-办公'!$B$87:$M$87</definedName>
    <definedName name="办公道路级别">'不动产比较法-办公'!$B$87:$M$87</definedName>
    <definedName name="办公公共部分装修" localSheetId="24">'[1]不动产比较法-办公'!$B$108:$M$108</definedName>
    <definedName name="办公公共部分装修" localSheetId="23">'[2]不动产比较法-办公'!$B$108:$M$108</definedName>
    <definedName name="办公公共部分装修" localSheetId="38">'[3]不动产比较法-办公'!$B$108:$M$108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23">'[2]不动产比较法-办公'!$B$117:$M$117</definedName>
    <definedName name="办公基础设施水平" localSheetId="38">'[3]不动产比较法-办公'!$B$117:$M$117</definedName>
    <definedName name="办公基础设施水平">'不动产比较法-办公'!$B$117:$M$117</definedName>
    <definedName name="办公集聚程度" localSheetId="24">[1]定义!$M$1:$M$6</definedName>
    <definedName name="办公集聚程度" localSheetId="23">[2]定义!$M$1:$M$6</definedName>
    <definedName name="办公集聚程度" localSheetId="38">[3]定义!$M$1:$M$6</definedName>
    <definedName name="办公集聚程度">定义!$M$1:$M$6</definedName>
    <definedName name="办公建筑结构" localSheetId="24">'[1]不动产比较法-办公'!$B$106:$M$106</definedName>
    <definedName name="办公建筑结构" localSheetId="23">'[2]不动产比较法-办公'!$B$106:$M$106</definedName>
    <definedName name="办公建筑结构" localSheetId="38">'[3]不动产比较法-办公'!$B$106:$M$106</definedName>
    <definedName name="办公建筑结构">'不动产比较法-办公'!$B$106:$M$106</definedName>
    <definedName name="办公建筑类型" localSheetId="24">'[1]不动产比较法-办公'!$B$101:$M$101</definedName>
    <definedName name="办公建筑类型" localSheetId="23">'[2]不动产比较法-办公'!$B$101:$M$101</definedName>
    <definedName name="办公建筑类型" localSheetId="38">'[3]不动产比较法-办公'!$B$101:$M$101</definedName>
    <definedName name="办公建筑类型">'不动产比较法-办公'!$B$101:$M$101</definedName>
    <definedName name="办公交易情况" localSheetId="24">'[1]不动产比较法-办公'!$A$62:$M$62</definedName>
    <definedName name="办公交易情况" localSheetId="23">'[2]不动产比较法-办公'!$A$62:$M$62</definedName>
    <definedName name="办公交易情况" localSheetId="38">'[3]不动产比较法-办公'!$A$62:$M$62</definedName>
    <definedName name="办公交易情况">'不动产比较法-办公'!$A$62:$M$62</definedName>
    <definedName name="办公楼层" localSheetId="24">'[1]不动产比较法-办公'!$B$89:$M$89</definedName>
    <definedName name="办公楼层" localSheetId="23">'[2]不动产比较法-办公'!$B$89:$M$89</definedName>
    <definedName name="办公楼层" localSheetId="38">'[3]不动产比较法-办公'!$B$89:$M$89</definedName>
    <definedName name="办公楼层">'不动产比较法-办公'!$B$89:$M$89</definedName>
    <definedName name="办公内部装修" localSheetId="24">'[1]不动产比较法-办公'!$B$123:$M$123</definedName>
    <definedName name="办公内部装修" localSheetId="23">'[2]不动产比较法-办公'!$B$123:$M$123</definedName>
    <definedName name="办公内部装修" localSheetId="38">'[3]不动产比较法-办公'!$B$123:$M$123</definedName>
    <definedName name="办公内部装修">'不动产比较法-办公'!$B$123:$M$123</definedName>
    <definedName name="办公物业管理" localSheetId="24">'[1]不动产比较法-办公'!$B$115:$M$115</definedName>
    <definedName name="办公物业管理" localSheetId="23">'[2]不动产比较法-办公'!$B$115:$M$115</definedName>
    <definedName name="办公物业管理" localSheetId="38">'[3]不动产比较法-办公'!$B$115:$M$115</definedName>
    <definedName name="办公物业管理">'不动产比较法-办公'!$B$115:$M$115</definedName>
    <definedName name="办公用途" localSheetId="24">'[1]不动产比较法-办公'!$B$64:$M$64</definedName>
    <definedName name="办公用途" localSheetId="23">'[2]不动产比较法-办公'!$B$64:$M$64</definedName>
    <definedName name="办公用途" localSheetId="38">'[3]不动产比较法-办公'!$B$64:$M$64</definedName>
    <definedName name="办公用途">'不动产比较法-办公'!$B$64:$M$64</definedName>
    <definedName name="仓储公共部分装修" localSheetId="24">'[1]不动产比较法-仓储'!$B$77:$M$77</definedName>
    <definedName name="仓储公共部分装修" localSheetId="23">'[2]不动产比较法-仓储'!$B$77:$M$77</definedName>
    <definedName name="仓储公共部分装修" localSheetId="38">'[3]不动产比较法-仓储'!$B$77:$M$77</definedName>
    <definedName name="仓储公共部分装修">'不动产比较法-仓储'!$B$77:$M$77</definedName>
    <definedName name="仓储交易情况" localSheetId="24">'[1]不动产比较法-仓储'!$A$49:$M$49</definedName>
    <definedName name="仓储交易情况" localSheetId="23">'[2]不动产比较法-仓储'!$A$49:$M$49</definedName>
    <definedName name="仓储交易情况" localSheetId="38">'[3]不动产比较法-仓储'!$A$49:$M$49</definedName>
    <definedName name="仓储交易情况">'不动产比较法-仓储'!$A$49:$M$49</definedName>
    <definedName name="仓储楼层" localSheetId="24">'[1]不动产比较法-仓储'!$B$69:$M$69</definedName>
    <definedName name="仓储楼层" localSheetId="23">'[2]不动产比较法-仓储'!$B$69:$M$69</definedName>
    <definedName name="仓储楼层" localSheetId="38">'[3]不动产比较法-仓储'!$B$69:$M$69</definedName>
    <definedName name="仓储楼层">'不动产比较法-仓储'!$B$69:$M$69</definedName>
    <definedName name="仓储物业等级" localSheetId="24">'[1]不动产比较法-仓储'!$B$82:$M$82</definedName>
    <definedName name="仓储物业等级" localSheetId="23">'[2]不动产比较法-仓储'!$B$82:$M$82</definedName>
    <definedName name="仓储物业等级" localSheetId="38">'[3]不动产比较法-仓储'!$B$82:$M$82</definedName>
    <definedName name="仓储物业等级">'不动产比较法-仓储'!$B$82:$M$82</definedName>
    <definedName name="仓储用途" localSheetId="24">'[1]不动产比较法-仓储'!$B$51:$M$51</definedName>
    <definedName name="仓储用途" localSheetId="23">'[2]不动产比较法-仓储'!$B$51:$M$51</definedName>
    <definedName name="仓储用途" localSheetId="38">'[3]不动产比较法-仓储'!$B$51:$M$51</definedName>
    <definedName name="仓储用途">'不动产比较法-仓储'!$B$51:$M$51</definedName>
    <definedName name="产业集聚程度" localSheetId="24">[1]定义!$N$1:$N$6</definedName>
    <definedName name="产业集聚程度" localSheetId="23">[2]定义!$N$1:$N$6</definedName>
    <definedName name="产业集聚程度" localSheetId="38">[3]定义!$N$1:$N$6</definedName>
    <definedName name="产业集聚程度">定义!$N$1:$N$6</definedName>
    <definedName name="车位公共部分装修" localSheetId="24">'[1]不动产比较法-车位'!$B$83:$M$83</definedName>
    <definedName name="车位公共部分装修" localSheetId="23">'[2]不动产比较法-车位'!$B$83:$M$83</definedName>
    <definedName name="车位公共部分装修" localSheetId="38">'[3]不动产比较法-车位'!$B$83:$M$83</definedName>
    <definedName name="车位公共部分装修">'不动产比较法-车位'!$B$83:$M$83</definedName>
    <definedName name="车位交易情况" localSheetId="24">'[1]不动产比较法-车位'!$A$51:$M$51</definedName>
    <definedName name="车位交易情况" localSheetId="23">'[2]不动产比较法-车位'!$A$51:$M$51</definedName>
    <definedName name="车位交易情况" localSheetId="38">'[3]不动产比较法-车位'!$A$51:$M$51</definedName>
    <definedName name="车位交易情况">'不动产比较法-车位'!$A$51:$M$51</definedName>
    <definedName name="车位类型" localSheetId="24">'[1]不动产比较法-车位'!$B$93:$M$93</definedName>
    <definedName name="车位类型" localSheetId="23">'[2]不动产比较法-车位'!$B$93:$M$93</definedName>
    <definedName name="车位类型" localSheetId="38">'[3]不动产比较法-车位'!$B$93:$M$93</definedName>
    <definedName name="车位类型">'不动产比较法-车位'!$B$93:$M$93</definedName>
    <definedName name="车位楼层" localSheetId="24">'[1]不动产比较法-车位'!$B$71:$M$71</definedName>
    <definedName name="车位楼层" localSheetId="23">'[2]不动产比较法-车位'!$B$71:$M$71</definedName>
    <definedName name="车位楼层" localSheetId="38">'[3]不动产比较法-车位'!$B$71:$M$71</definedName>
    <definedName name="车位楼层">'不动产比较法-车位'!$B$71:$M$71</definedName>
    <definedName name="车位配套类型" localSheetId="24">'[1]不动产比较法-车位'!$B$79:$M$79</definedName>
    <definedName name="车位配套类型" localSheetId="23">'[2]不动产比较法-车位'!$B$79:$M$79</definedName>
    <definedName name="车位配套类型" localSheetId="38">'[3]不动产比较法-车位'!$B$79:$M$79</definedName>
    <definedName name="车位配套类型">'不动产比较法-车位'!$B$79:$M$79</definedName>
    <definedName name="车位物业等级" localSheetId="24">'[1]不动产比较法-车位'!$B$88:$M$88</definedName>
    <definedName name="车位物业等级" localSheetId="23">'[2]不动产比较法-车位'!$B$88:$M$88</definedName>
    <definedName name="车位物业等级" localSheetId="38">'[3]不动产比较法-车位'!$B$88:$M$88</definedName>
    <definedName name="车位物业等级">'不动产比较法-车位'!$B$88:$M$88</definedName>
    <definedName name="车位用途" localSheetId="24">'[1]不动产比较法-车位'!$B$53:$M$53</definedName>
    <definedName name="车位用途" localSheetId="23">'[2]不动产比较法-车位'!$B$53:$M$53</definedName>
    <definedName name="车位用途" localSheetId="38">'[3]不动产比较法-车位'!$B$53:$M$53</definedName>
    <definedName name="车位用途">'不动产比较法-车位'!$B$53:$M$53</definedName>
    <definedName name="城镇土地纳税等级分级范围" localSheetId="24">'[1]数据-取费表'!$A$53:$A$63</definedName>
    <definedName name="城镇土地纳税等级分级范围" localSheetId="23">'[2]数据-取费表'!$A$53:$A$63</definedName>
    <definedName name="城镇土地纳税等级分级范围" localSheetId="38">'[3]数据-取费表'!$A$53:$A$63</definedName>
    <definedName name="城镇土地纳税等级分级范围">'数据-取费表'!$A$53:$A$63</definedName>
    <definedName name="单价内涵" localSheetId="24">[1]定义!$V$1:$V$3</definedName>
    <definedName name="单价内涵" localSheetId="23">[2]定义!$V$1:$V$3</definedName>
    <definedName name="单价内涵" localSheetId="38">[3]定义!$V$1:$V$3</definedName>
    <definedName name="单价内涵">定义!$V$1:$V$3</definedName>
    <definedName name="地类判定" localSheetId="24">[1]定义!$H$1:$H$9</definedName>
    <definedName name="地类判定" localSheetId="23">[2]定义!$H$1:$H$9</definedName>
    <definedName name="地类判定" localSheetId="38">[3]定义!$H$1:$H$9</definedName>
    <definedName name="地类判定">定义!$H$1:$H$9</definedName>
    <definedName name="二级">区片价!$K$1:$K$21</definedName>
    <definedName name="二级分类" localSheetId="24">[1]修正!$C$19:$C$51</definedName>
    <definedName name="二级分类" localSheetId="23">[2]修正!$C$19:$C$51</definedName>
    <definedName name="二级分类" localSheetId="38">[3]修正!$C$19:$C$51</definedName>
    <definedName name="二级分类">修正!$C$19:$C$51</definedName>
    <definedName name="法定最高年限" localSheetId="24">[1]定义!$G$2:$G$5</definedName>
    <definedName name="法定最高年限" localSheetId="23">[2]定义!$G$2:$G$5</definedName>
    <definedName name="法定最高年限" localSheetId="38">[3]定义!$G$2:$G$5</definedName>
    <definedName name="法定最高年限">定义!$G$2:$G$5</definedName>
    <definedName name="工业公共部分装修" localSheetId="24">'[1]不动产比较法-工业'!$B$95:$M$95</definedName>
    <definedName name="工业公共部分装修" localSheetId="23">'[2]不动产比较法-工业'!$B$95:$M$95</definedName>
    <definedName name="工业公共部分装修" localSheetId="38">'[3]不动产比较法-工业'!$B$95:$M$95</definedName>
    <definedName name="工业公共部分装修">'不动产比较法-工业'!$B$95:$M$95</definedName>
    <definedName name="工业基础设施水平" localSheetId="24">'[1]不动产比较法-工业'!$B$102:$M$102</definedName>
    <definedName name="工业基础设施水平" localSheetId="23">'[2]不动产比较法-工业'!$B$102:$M$102</definedName>
    <definedName name="工业基础设施水平" localSheetId="38">'[3]不动产比较法-工业'!$B$102:$M$102</definedName>
    <definedName name="工业基础设施水平">'不动产比较法-工业'!$B$102:$M$102</definedName>
    <definedName name="工业建筑结构" localSheetId="24">'[1]不动产比较法-工业'!$B$93:$M$93</definedName>
    <definedName name="工业建筑结构" localSheetId="23">'[2]不动产比较法-工业'!$B$93:$M$93</definedName>
    <definedName name="工业建筑结构" localSheetId="38">'[3]不动产比较法-工业'!$B$93:$M$93</definedName>
    <definedName name="工业建筑结构">'不动产比较法-工业'!$B$93:$M$93</definedName>
    <definedName name="工业建筑类型" localSheetId="24">'[1]不动产比较法-工业'!$B$88:$M$88</definedName>
    <definedName name="工业建筑类型" localSheetId="23">'[2]不动产比较法-工业'!$B$88:$M$88</definedName>
    <definedName name="工业建筑类型" localSheetId="38">'[3]不动产比较法-工业'!$B$88:$M$88</definedName>
    <definedName name="工业建筑类型">'不动产比较法-工业'!$B$88:$M$88</definedName>
    <definedName name="工业交易情况" localSheetId="24">'[1]不动产比较法-工业'!$A$55:$M$55</definedName>
    <definedName name="工业交易情况" localSheetId="23">'[2]不动产比较法-工业'!$A$55:$M$55</definedName>
    <definedName name="工业交易情况" localSheetId="38">'[3]不动产比较法-工业'!$A$55:$M$55</definedName>
    <definedName name="工业交易情况">'不动产比较法-工业'!$A$55:$M$55</definedName>
    <definedName name="工业内部装修" localSheetId="24">'[1]不动产比较法-工业'!$B$104:$M$104</definedName>
    <definedName name="工业内部装修" localSheetId="23">'[2]不动产比较法-工业'!$B$104:$M$104</definedName>
    <definedName name="工业内部装修" localSheetId="38">'[3]不动产比较法-工业'!$B$104:$M$104</definedName>
    <definedName name="工业内部装修">'不动产比较法-工业'!$B$104:$M$104</definedName>
    <definedName name="工业物业管理" localSheetId="24">'[1]不动产比较法-工业'!$B$100:$M$100</definedName>
    <definedName name="工业物业管理" localSheetId="23">'[2]不动产比较法-工业'!$B$100:$M$100</definedName>
    <definedName name="工业物业管理" localSheetId="38">'[3]不动产比较法-工业'!$B$100:$M$100</definedName>
    <definedName name="工业物业管理">'不动产比较法-工业'!$B$100:$M$100</definedName>
    <definedName name="工业用途" localSheetId="24">'[1]不动产比较法-工业'!$B$57:$M$57</definedName>
    <definedName name="工业用途" localSheetId="23">'[2]不动产比较法-工业'!$B$57:$M$57</definedName>
    <definedName name="工业用途" localSheetId="38">'[3]不动产比较法-工业'!$B$57:$M$57</definedName>
    <definedName name="工业用途">'不动产比较法-工业'!$B$57:$M$57</definedName>
    <definedName name="公共配套设施" localSheetId="24">[1]定义!$Q$1:$Q$6</definedName>
    <definedName name="公共配套设施" localSheetId="23">[2]定义!$Q$1:$Q$6</definedName>
    <definedName name="公共配套设施" localSheetId="38">[3]定义!$Q$1:$Q$6</definedName>
    <definedName name="公共配套设施">定义!$Q$1:$Q$6</definedName>
    <definedName name="估价范围判定" localSheetId="24">[1]定义!$D$1:$D$4</definedName>
    <definedName name="估价范围判定" localSheetId="23">[2]定义!$D$1:$D$4</definedName>
    <definedName name="估价范围判定" localSheetId="38">[3]定义!$D$1:$D$4</definedName>
    <definedName name="估价范围判定">定义!$D$1:$D$4</definedName>
    <definedName name="估价方法" localSheetId="24">[1]定义!$B$1:$B$50</definedName>
    <definedName name="估价方法" localSheetId="23">[2]定义!$B$1:$B$50</definedName>
    <definedName name="估价方法" localSheetId="38">[3]定义!$B$1:$B$50</definedName>
    <definedName name="估价方法">定义!$B$1:$B$50</definedName>
    <definedName name="环境" localSheetId="24">[1]定义!$S$1:$S$6</definedName>
    <definedName name="环境" localSheetId="23">[2]定义!$S$1:$S$6</definedName>
    <definedName name="环境" localSheetId="38">[3]定义!$S$1:$S$6</definedName>
    <definedName name="环境">定义!$S$1:$S$6</definedName>
    <definedName name="基础设施水平" localSheetId="24">[1]定义!$R$1:$R$6</definedName>
    <definedName name="基础设施水平" localSheetId="23">[2]定义!$R$1:$R$6</definedName>
    <definedName name="基础设施水平" localSheetId="38">[3]定义!$R$1:$R$6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23">[2]定义!$B$54:$B$56</definedName>
    <definedName name="价值类型2" localSheetId="38">[3]定义!$B$54:$B$56</definedName>
    <definedName name="价值类型2">定义!$B$54:$B$56</definedName>
    <definedName name="交通便捷度" localSheetId="24">[1]定义!$O$1:$O$6</definedName>
    <definedName name="交通便捷度" localSheetId="23">[2]定义!$O$1:$O$6</definedName>
    <definedName name="交通便捷度" localSheetId="38">[3]定义!$O$1:$O$6</definedName>
    <definedName name="交通便捷度">定义!$O$1:$O$6</definedName>
    <definedName name="九级">区片价!$R$1:$R$51</definedName>
    <definedName name="居住社区成熟度" localSheetId="24">[1]定义!$K$1:$K$6</definedName>
    <definedName name="居住社区成熟度" localSheetId="23">[2]定义!$K$1:$K$6</definedName>
    <definedName name="居住社区成熟度" localSheetId="38">[3]定义!$K$1:$K$6</definedName>
    <definedName name="居住社区成熟度">定义!$K$1:$K$6</definedName>
    <definedName name="类别" localSheetId="24">[1]定义!$J$1:$J$3</definedName>
    <definedName name="类别" localSheetId="23">[2]定义!$J$1:$J$3</definedName>
    <definedName name="类别" localSheetId="38">[3]定义!$J$1:$J$3</definedName>
    <definedName name="类别">定义!$J$1:$J$3</definedName>
    <definedName name="临街状况" localSheetId="24">[1]定义!$T$1:$T$5</definedName>
    <definedName name="临街状况" localSheetId="23">[2]定义!$T$1:$T$5</definedName>
    <definedName name="临街状况" localSheetId="38">[3]定义!$T$1:$T$5</definedName>
    <definedName name="临街状况">定义!$T$1:$T$5</definedName>
    <definedName name="六级">区片价!$O$1:$O$64</definedName>
    <definedName name="内部装修维护情况" localSheetId="24">[1]定义!$U$1:$U$6</definedName>
    <definedName name="内部装修维护情况" localSheetId="23">[2]定义!$U$1:$U$6</definedName>
    <definedName name="内部装修维护情况" localSheetId="38">[3]定义!$U$1:$U$6</definedName>
    <definedName name="内部装修维护情况">定义!$U$1:$U$6</definedName>
    <definedName name="七级">区片价!$P$1:$P$45</definedName>
    <definedName name="七通一平" localSheetId="24">[1]修正!$A$8:$A$16</definedName>
    <definedName name="七通一平" localSheetId="23">[2]修正!$A$8:$A$16</definedName>
    <definedName name="七通一平" localSheetId="38">[3]修正!$A$8:$A$16</definedName>
    <definedName name="七通一平">修正!$A$8:$A$16</definedName>
    <definedName name="区域土地利用方向" localSheetId="24">[1]定义!$P$1:$P$6</definedName>
    <definedName name="区域土地利用方向" localSheetId="23">[2]定义!$P$1:$P$6</definedName>
    <definedName name="区域土地利用方向" localSheetId="38">[3]定义!$P$1:$P$6</definedName>
    <definedName name="区域土地利用方向">定义!$P$1:$P$6</definedName>
    <definedName name="三级">区片价!$L$1:$L$26</definedName>
    <definedName name="商业层高" localSheetId="24">'[1]不动产比较法-商业'!$B$116:$M$116</definedName>
    <definedName name="商业层高" localSheetId="23">'[2]不动产比较法-商业'!$B$116:$M$116</definedName>
    <definedName name="商业层高" localSheetId="38">'[3]不动产比较法-商业'!$B$116:$M$116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23">[2]定义!$L$1:$L$6</definedName>
    <definedName name="商业繁华度" localSheetId="38">[3]定义!$L$1:$L$6</definedName>
    <definedName name="商业繁华度">定义!$L$1:$L$6</definedName>
    <definedName name="商业公共部分装修" localSheetId="24">'[1]不动产比较法-商业'!$B$107:$M$107</definedName>
    <definedName name="商业公共部分装修" localSheetId="23">'[2]不动产比较法-商业'!$B$107:$M$107</definedName>
    <definedName name="商业公共部分装修" localSheetId="38">'[3]不动产比较法-商业'!$B$107:$M$107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23">'[2]不动产比较法-商业'!$B$112:$M$112</definedName>
    <definedName name="商业基础设施水平" localSheetId="38">'[3]不动产比较法-商业'!$B$112:$M$112</definedName>
    <definedName name="商业基础设施水平">'不动产比较法-商业'!$B$112:$M$112</definedName>
    <definedName name="商业建筑结构" localSheetId="24">'[1]不动产比较法-商业'!$B$105:$M$105</definedName>
    <definedName name="商业建筑结构" localSheetId="23">'[2]不动产比较法-商业'!$B$105:$M$105</definedName>
    <definedName name="商业建筑结构" localSheetId="38">'[3]不动产比较法-商业'!$B$105:$M$105</definedName>
    <definedName name="商业建筑结构">'不动产比较法-商业'!$B$105:$M$105</definedName>
    <definedName name="商业交易情况" localSheetId="24">'[1]不动产比较法-商业'!$A$61:$M$61</definedName>
    <definedName name="商业交易情况" localSheetId="23">'[2]不动产比较法-商业'!$A$61:$M$61</definedName>
    <definedName name="商业交易情况" localSheetId="38">'[3]不动产比较法-商业'!$A$61:$M$61</definedName>
    <definedName name="商业交易情况">'不动产比较法-商业'!$A$61:$M$61</definedName>
    <definedName name="商业街名称" localSheetId="24">[1]修正!$C$71:$C$139</definedName>
    <definedName name="商业街名称" localSheetId="23">[2]修正!$C$71:$C$139</definedName>
    <definedName name="商业街名称" localSheetId="38">[3]修正!$C$71:$C$139</definedName>
    <definedName name="商业街名称">修正!$C$71:$C$139</definedName>
    <definedName name="商业进深比" localSheetId="24">'[1]不动产比较法-商业'!$B$120:$M$120</definedName>
    <definedName name="商业进深比" localSheetId="23">'[2]不动产比较法-商业'!$B$120:$M$120</definedName>
    <definedName name="商业进深比" localSheetId="38">'[3]不动产比较法-商业'!$B$120:$M$120</definedName>
    <definedName name="商业进深比">'不动产比较法-商业'!$B$120:$M$120</definedName>
    <definedName name="商业类型" localSheetId="24">'[1]不动产比较法-商业'!$B$100:$M$100</definedName>
    <definedName name="商业类型" localSheetId="23">'[2]不动产比较法-商业'!$B$100:$M$100</definedName>
    <definedName name="商业类型" localSheetId="38">'[3]不动产比较法-商业'!$B$100:$M$100</definedName>
    <definedName name="商业类型">'不动产比较法-商业'!$B$100:$M$100</definedName>
    <definedName name="商业临街状况" localSheetId="24">'[1]不动产比较法-商业'!$B$86:$M$86</definedName>
    <definedName name="商业临街状况" localSheetId="23">'[2]不动产比较法-商业'!$B$86:$M$86</definedName>
    <definedName name="商业临街状况" localSheetId="38">'[3]不动产比较法-商业'!$B$86:$M$86</definedName>
    <definedName name="商业临街状况">'不动产比较法-商业'!$B$86:$M$86</definedName>
    <definedName name="商业楼层" localSheetId="24">'[1]不动产比较法-商业'!$B$92:$M$92</definedName>
    <definedName name="商业楼层" localSheetId="23">'[2]不动产比较法-商业'!$B$92:$M$92</definedName>
    <definedName name="商业楼层" localSheetId="38">'[3]不动产比较法-商业'!$B$92:$M$92</definedName>
    <definedName name="商业楼层">'不动产比较法-商业'!$B$92:$M$92</definedName>
    <definedName name="商业内部装修" localSheetId="24">'[1]不动产比较法-商业'!$B$122:$M$122</definedName>
    <definedName name="商业内部装修" localSheetId="23">'[2]不动产比较法-商业'!$B$122:$M$122</definedName>
    <definedName name="商业内部装修" localSheetId="38">'[3]不动产比较法-商业'!$B$122:$M$122</definedName>
    <definedName name="商业内部装修">'不动产比较法-商业'!$B$122:$M$122</definedName>
    <definedName name="商业人流量" localSheetId="24">'[1]不动产比较法-商业'!$B$90:$M$90</definedName>
    <definedName name="商业人流量" localSheetId="23">'[2]不动产比较法-商业'!$B$90:$M$90</definedName>
    <definedName name="商业人流量" localSheetId="38">'[3]不动产比较法-商业'!$B$90:$M$90</definedName>
    <definedName name="商业人流量">'不动产比较法-商业'!$B$90:$M$90</definedName>
    <definedName name="商业业态" localSheetId="24">'[1]不动产比较法-商业'!$B$114:$M$114</definedName>
    <definedName name="商业业态" localSheetId="23">'[2]不动产比较法-商业'!$B$114:$M$114</definedName>
    <definedName name="商业业态" localSheetId="38">'[3]不动产比较法-商业'!$B$114:$M$114</definedName>
    <definedName name="商业业态">'不动产比较法-商业'!$B$114:$M$114</definedName>
    <definedName name="商业用途" localSheetId="24">'[1]不动产比较法-商业'!$B$63:$M$63</definedName>
    <definedName name="商业用途" localSheetId="23">'[2]不动产比较法-商业'!$B$63:$M$63</definedName>
    <definedName name="商业用途" localSheetId="38">'[3]不动产比较法-商业'!$B$63:$M$63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23">'[2]不动产比较法-仓储'!$B$89:$M$89</definedName>
    <definedName name="是否封闭" localSheetId="38">'[3]不动产比较法-仓储'!$B$89:$M$89</definedName>
    <definedName name="是否封闭">'不动产比较法-仓储'!$B$89:$M$89</definedName>
    <definedName name="是否直接入户" localSheetId="24">'[1]不动产比较法-车位'!$B$95:$M$95</definedName>
    <definedName name="是否直接入户" localSheetId="23">'[2]不动产比较法-车位'!$B$95:$M$95</definedName>
    <definedName name="是否直接入户" localSheetId="38">'[3]不动产比较法-车位'!$B$95:$M$95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7">'比较法-工业（一级开发）'!$B$115:$M$115</definedName>
    <definedName name="套工工程地质条件" localSheetId="23">'[2]比较法-工业'!$B$115:$M$115</definedName>
    <definedName name="套工工程地质条件" localSheetId="38">'[3]比较法-工业'!$B$115:$M$115</definedName>
    <definedName name="套工工程地质条件">'比较法-工业'!$B$115:$M$115</definedName>
    <definedName name="套工交易情况" localSheetId="24">'[1]比较法-住宅、综合'!$A$74:$M$74</definedName>
    <definedName name="套工交易情况" localSheetId="23">'[2]比较法-住宅、综合'!$A$74:$M$74</definedName>
    <definedName name="套工交易情况" localSheetId="38">'[3]比较法-住宅、综合'!$A$74:$M$74</definedName>
    <definedName name="套工交易情况">'比较法-住宅、综合'!$A$74:$M$74</definedName>
    <definedName name="套工开发程度" localSheetId="24">'[1]比较法-工业'!$B$113:$M$113</definedName>
    <definedName name="套工开发程度" localSheetId="37">'比较法-工业（一级开发）'!$B$113:$M$113</definedName>
    <definedName name="套工开发程度" localSheetId="23">'[2]比较法-工业'!$B$113:$M$113</definedName>
    <definedName name="套工开发程度" localSheetId="38">'[3]比较法-工业'!$B$113:$M$113</definedName>
    <definedName name="套工开发程度">'比较法-工业'!$B$113:$M$113</definedName>
    <definedName name="套工临街等级" localSheetId="24">'[1]比较法-工业'!$B$98:$M$98</definedName>
    <definedName name="套工临街等级" localSheetId="37">'比较法-工业（一级开发）'!$B$98:$M$98</definedName>
    <definedName name="套工临街等级" localSheetId="23">'[2]比较法-工业'!$B$98:$M$98</definedName>
    <definedName name="套工临街等级" localSheetId="38">'[3]比较法-工业'!$B$98:$M$98</definedName>
    <definedName name="套工临街等级">'比较法-工业'!$B$98:$M$98</definedName>
    <definedName name="套工土地级别" localSheetId="24">'[1]比较法-工业'!$B$100:$M$100</definedName>
    <definedName name="套工土地级别" localSheetId="37">'比较法-工业（一级开发）'!$B$100:$M$100</definedName>
    <definedName name="套工土地级别" localSheetId="23">'[2]比较法-工业'!$B$100:$M$100</definedName>
    <definedName name="套工土地级别" localSheetId="38">'[3]比较法-工业'!$B$100:$M$100</definedName>
    <definedName name="套工土地级别">'比较法-工业'!$B$100:$M$100</definedName>
    <definedName name="套工用途" localSheetId="24">'[1]比较法-工业'!$B$71:$M$71</definedName>
    <definedName name="套工用途" localSheetId="37">'比较法-工业（一级开发）'!$B$71:$M$71</definedName>
    <definedName name="套工用途" localSheetId="23">'[2]比较法-工业'!$B$71:$M$71</definedName>
    <definedName name="套工用途" localSheetId="38">'[3]比较法-工业'!$B$71:$M$71</definedName>
    <definedName name="套工用途">'比较法-工业'!$B$71:$M$71</definedName>
    <definedName name="套工宗地形状" localSheetId="24">'[1]比较法-工业'!$B$111:$M$111</definedName>
    <definedName name="套工宗地形状" localSheetId="37">'比较法-工业（一级开发）'!$B$111:$M$111</definedName>
    <definedName name="套工宗地形状" localSheetId="23">'[2]比较法-工业'!$B$111:$M$111</definedName>
    <definedName name="套工宗地形状" localSheetId="38">'[3]比较法-工业'!$B$111:$M$111</definedName>
    <definedName name="套工宗地形状">'比较法-工业'!$B$111:$M$111</definedName>
    <definedName name="套综道路等级" localSheetId="24">'[1]比较法-住宅、综合'!$B$107:$M$107</definedName>
    <definedName name="套综道路等级" localSheetId="23">'[2]比较法-住宅、综合'!$B$107:$M$107</definedName>
    <definedName name="套综道路等级" localSheetId="38">'[3]比较法-住宅、综合'!$B$107:$M$107</definedName>
    <definedName name="套综道路等级">'比较法-住宅、综合'!$B$107:$M$107</definedName>
    <definedName name="套综工程地质条件" localSheetId="24">'[1]比较法-住宅、综合'!$B$126:$M$126</definedName>
    <definedName name="套综工程地质条件" localSheetId="23">'[2]比较法-住宅、综合'!$B$126:$M$126</definedName>
    <definedName name="套综工程地质条件" localSheetId="38">'[3]比较法-住宅、综合'!$B$126:$M$126</definedName>
    <definedName name="套综工程地质条件">'比较法-住宅、综合'!$B$126:$M$126</definedName>
    <definedName name="套综交易情况" localSheetId="24">'[1]比较法-住宅、综合'!$A$74:$M$74</definedName>
    <definedName name="套综交易情况" localSheetId="23">'[2]比较法-住宅、综合'!$A$74:$M$74</definedName>
    <definedName name="套综交易情况" localSheetId="38">'[3]比较法-住宅、综合'!$A$74:$M$74</definedName>
    <definedName name="套综交易情况">'比较法-住宅、综合'!$A$74:$M$74</definedName>
    <definedName name="套综临街宽度及深度" localSheetId="24">'[1]比较法-住宅、综合'!$B$122:$M$122</definedName>
    <definedName name="套综临街宽度及深度" localSheetId="23">'[2]比较法-住宅、综合'!$B$122:$M$122</definedName>
    <definedName name="套综临街宽度及深度" localSheetId="38">'[3]比较法-住宅、综合'!$B$122:$M$122</definedName>
    <definedName name="套综临街宽度及深度">'比较法-住宅、综合'!$B$122:$M$122</definedName>
    <definedName name="套综土地级别" localSheetId="24">'[1]比较法-住宅、综合'!$B$109:$M$109</definedName>
    <definedName name="套综土地级别" localSheetId="23">'[2]比较法-住宅、综合'!$B$109:$M$109</definedName>
    <definedName name="套综土地级别" localSheetId="38">'[3]比较法-住宅、综合'!$B$109:$M$109</definedName>
    <definedName name="套综土地级别">'比较法-住宅、综合'!$B$109:$M$109</definedName>
    <definedName name="套综用途" localSheetId="24">'[1]比较法-住宅、综合'!$B$76:$M$76</definedName>
    <definedName name="套综用途" localSheetId="23">'[2]比较法-住宅、综合'!$B$76:$M$76</definedName>
    <definedName name="套综用途" localSheetId="38">'[3]比较法-住宅、综合'!$B$76:$M$76</definedName>
    <definedName name="套综用途">'比较法-住宅、综合'!$B$76:$M$76</definedName>
    <definedName name="套综宗地内开发程度" localSheetId="24">'[1]比较法-住宅、综合'!$B$124:$M$124</definedName>
    <definedName name="套综宗地内开发程度" localSheetId="23">'[2]比较法-住宅、综合'!$B$124:$M$124</definedName>
    <definedName name="套综宗地内开发程度" localSheetId="38">'[3]比较法-住宅、综合'!$B$124:$M$124</definedName>
    <definedName name="套综宗地内开发程度">'比较法-住宅、综合'!$B$124:$M$124</definedName>
    <definedName name="套综宗地形状" localSheetId="24">'[1]比较法-住宅、综合'!$B$120:$M$120</definedName>
    <definedName name="套综宗地形状" localSheetId="23">'[2]比较法-住宅、综合'!$B$120:$M$120</definedName>
    <definedName name="套综宗地形状" localSheetId="38">'[3]比较法-住宅、综合'!$B$120:$M$120</definedName>
    <definedName name="套综宗地形状">'比较法-住宅、综合'!$B$120:$M$120</definedName>
    <definedName name="土地估价师" localSheetId="24">[1]估价师及机构信息!$D$3:$D$17</definedName>
    <definedName name="土地估价师" localSheetId="23">[2]估价师及机构信息!$D$3:$D$17</definedName>
    <definedName name="土地估价师" localSheetId="38">[3]估价师及机构信息!$D$3:$D$17</definedName>
    <definedName name="土地估价师">估价师及机构信息!$D$3:$D$17</definedName>
    <definedName name="土地级别" localSheetId="24">[1]定义!$C$1:$C$14</definedName>
    <definedName name="土地级别" localSheetId="23">[2]定义!$C$1:$C$14</definedName>
    <definedName name="土地级别" localSheetId="38">[3]定义!$C$1:$C$14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23">[2]定义!$E$2:$E$4</definedName>
    <definedName name="位置" localSheetId="38">[3]定义!$E$2:$E$4</definedName>
    <definedName name="位置">定义!$E$2:$E$4</definedName>
    <definedName name="五等判定" localSheetId="24">[1]定义!$W$1:$W$6</definedName>
    <definedName name="五等判定" localSheetId="23">[2]定义!$W$1:$W$6</definedName>
    <definedName name="五等判定" localSheetId="38">[3]定义!$W$1:$W$6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23">'[2]数据-汇总表'!$C$17:$C$26</definedName>
    <definedName name="项目类型" localSheetId="38">'[3]数据-汇总表'!$C$17:$C$26</definedName>
    <definedName name="项目类型">'数据-汇总表'!$C$17:$C$26</definedName>
    <definedName name="写字楼等级" localSheetId="24">'[1]不动产比较法-办公'!$B$113:$M$113</definedName>
    <definedName name="写字楼等级" localSheetId="23">'[2]不动产比较法-办公'!$B$113:$M$113</definedName>
    <definedName name="写字楼等级" localSheetId="38">'[3]不动产比较法-办公'!$B$113:$M$113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23">[2]典型户型修正!$5:$5</definedName>
    <definedName name="一修多修正项2" localSheetId="38">[3]典型户型修正!$5:$5</definedName>
    <definedName name="一修多修正项2">典型户型修正!$5:$5</definedName>
    <definedName name="一修多修正项3" localSheetId="24">[1]典型户型修正!$7:$7</definedName>
    <definedName name="一修多修正项3" localSheetId="23">[2]典型户型修正!$7:$7</definedName>
    <definedName name="一修多修正项3" localSheetId="38">[3]典型户型修正!$7:$7</definedName>
    <definedName name="一修多修正项3">典型户型修正!$7:$7</definedName>
    <definedName name="一修多修正项4" localSheetId="24">[1]典型户型修正!$9:$9</definedName>
    <definedName name="一修多修正项4" localSheetId="23">[2]典型户型修正!$9:$9</definedName>
    <definedName name="一修多修正项4" localSheetId="38">[3]典型户型修正!$9:$9</definedName>
    <definedName name="一修多修正项4">典型户型修正!$9:$9</definedName>
    <definedName name="一修多修正项5" localSheetId="24">[1]典型户型修正!$11:$11</definedName>
    <definedName name="一修多修正项5" localSheetId="23">[2]典型户型修正!$11:$11</definedName>
    <definedName name="一修多修正项5" localSheetId="38">[3]典型户型修正!$11:$11</definedName>
    <definedName name="一修多修正项5">典型户型修正!$11:$11</definedName>
    <definedName name="一修多修正项6" localSheetId="24">[1]典型户型修正!$13:$13</definedName>
    <definedName name="一修多修正项6" localSheetId="23">[2]典型户型修正!$13:$13</definedName>
    <definedName name="一修多修正项6" localSheetId="38">[3]典型户型修正!$13:$13</definedName>
    <definedName name="一修多修正项6">典型户型修正!$13:$13</definedName>
    <definedName name="一修多修正项7" localSheetId="24">[1]典型户型修正!$15:$15</definedName>
    <definedName name="一修多修正项7" localSheetId="23">[2]典型户型修正!$15:$15</definedName>
    <definedName name="一修多修正项7" localSheetId="38">[3]典型户型修正!$15:$15</definedName>
    <definedName name="一修多修正项7">典型户型修正!$15:$15</definedName>
    <definedName name="一修多修正项8" localSheetId="24">[1]典型户型修正!$17:$17</definedName>
    <definedName name="一修多修正项8" localSheetId="23">[2]典型户型修正!$17:$17</definedName>
    <definedName name="一修多修正项8" localSheetId="38">[3]典型户型修正!$17:$17</definedName>
    <definedName name="一修多修正项8">典型户型修正!$17:$17</definedName>
    <definedName name="用途类型" localSheetId="24">[1]定义!$A$1:$A$50</definedName>
    <definedName name="用途类型" localSheetId="23">[2]定义!$A$1:$A$50</definedName>
    <definedName name="用途类型" localSheetId="38">[3]定义!$A$1:$A$50</definedName>
    <definedName name="用途类型">定义!$A$1:$A$50</definedName>
    <definedName name="有无电梯" localSheetId="24">'[1]不动产比较法-仓储'!$B$84:$M$84</definedName>
    <definedName name="有无电梯" localSheetId="23">'[2]不动产比较法-仓储'!$B$84:$M$84</definedName>
    <definedName name="有无电梯" localSheetId="38">'[3]不动产比较法-仓储'!$B$84:$M$84</definedName>
    <definedName name="有无电梯">'不动产比较法-仓储'!$B$84:$M$84</definedName>
    <definedName name="主用途" localSheetId="24">[1]定义!$F$1:$F$12</definedName>
    <definedName name="主用途" localSheetId="23">[2]定义!$F$1:$F$12</definedName>
    <definedName name="主用途" localSheetId="38">[3]定义!$F$1:$F$12</definedName>
    <definedName name="主用途">定义!$F$1:$F$12</definedName>
    <definedName name="住宅朝向" localSheetId="24">'[1]不动产比较法-住宅'!$B$88:$M$88</definedName>
    <definedName name="住宅朝向" localSheetId="23">'[2]不动产比较法-住宅'!$B$88:$M$88</definedName>
    <definedName name="住宅朝向" localSheetId="38">'[3]不动产比较法-住宅'!$B$88:$M$88</definedName>
    <definedName name="住宅朝向">'不动产比较法-住宅'!$B$88:$M$88</definedName>
    <definedName name="住宅房型" localSheetId="24">'[1]不动产比较法-住宅'!$B$118:$M$118</definedName>
    <definedName name="住宅房型" localSheetId="23">'[2]不动产比较法-住宅'!$B$118:$M$118</definedName>
    <definedName name="住宅房型" localSheetId="38">'[3]不动产比较法-住宅'!$B$118:$M$118</definedName>
    <definedName name="住宅房型">'不动产比较法-住宅'!$B$118:$M$118</definedName>
    <definedName name="住宅公共部分装修" localSheetId="24">'[1]不动产比较法-住宅'!$B$109:$M$109</definedName>
    <definedName name="住宅公共部分装修" localSheetId="23">'[2]不动产比较法-住宅'!$B$109:$M$109</definedName>
    <definedName name="住宅公共部分装修" localSheetId="38">'[3]不动产比较法-住宅'!$B$109:$M$109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23">'[2]不动产比较法-住宅'!$B$116:$M$116</definedName>
    <definedName name="住宅基础设施水平" localSheetId="38">'[3]不动产比较法-住宅'!$B$116:$M$116</definedName>
    <definedName name="住宅基础设施水平">'不动产比较法-住宅'!$B$116:$M$116</definedName>
    <definedName name="住宅建筑结构" localSheetId="24">'[1]不动产比较法-住宅'!$B$105:$M$105</definedName>
    <definedName name="住宅建筑结构" localSheetId="23">'[2]不动产比较法-住宅'!$B$105:$M$105</definedName>
    <definedName name="住宅建筑结构" localSheetId="38">'[3]不动产比较法-住宅'!$B$105:$M$105</definedName>
    <definedName name="住宅建筑结构">'不动产比较法-住宅'!$B$105:$M$105</definedName>
    <definedName name="住宅建筑类型" localSheetId="24">'[1]不动产比较法-住宅'!$B$100:$M$100</definedName>
    <definedName name="住宅建筑类型" localSheetId="23">'[2]不动产比较法-住宅'!$B$100:$M$100</definedName>
    <definedName name="住宅建筑类型" localSheetId="38">'[3]不动产比较法-住宅'!$B$100:$M$100</definedName>
    <definedName name="住宅建筑类型">'不动产比较法-住宅'!$B$100:$M$100</definedName>
    <definedName name="住宅建筑品质" localSheetId="24">'[1]不动产比较法-住宅'!$B$107:$M$107</definedName>
    <definedName name="住宅建筑品质" localSheetId="23">'[2]不动产比较法-住宅'!$B$107:$M$107</definedName>
    <definedName name="住宅建筑品质" localSheetId="38">'[3]不动产比较法-住宅'!$B$107:$M$107</definedName>
    <definedName name="住宅建筑品质">'不动产比较法-住宅'!$B$107:$M$107</definedName>
    <definedName name="住宅交易情况" localSheetId="24">'[1]不动产比较法-住宅'!$A$61:$M$61</definedName>
    <definedName name="住宅交易情况" localSheetId="23">'[2]不动产比较法-住宅'!$A$61:$M$61</definedName>
    <definedName name="住宅交易情况" localSheetId="38">'[3]不动产比较法-住宅'!$A$61:$M$61</definedName>
    <definedName name="住宅交易情况">'不动产比较法-住宅'!$A$61:$M$61</definedName>
    <definedName name="住宅楼层" localSheetId="24">'[1]不动产比较法-住宅'!$B$86:$M$86</definedName>
    <definedName name="住宅楼层" localSheetId="23">'[2]不动产比较法-住宅'!$B$86:$M$86</definedName>
    <definedName name="住宅楼层" localSheetId="38">'[3]不动产比较法-住宅'!$B$86:$M$86</definedName>
    <definedName name="住宅楼层">'不动产比较法-住宅'!$B$86:$M$86</definedName>
    <definedName name="住宅内部装修" localSheetId="24">'[1]不动产比较法-住宅'!$B$122:$M$122</definedName>
    <definedName name="住宅内部装修" localSheetId="23">'[2]不动产比较法-住宅'!$B$122:$M$122</definedName>
    <definedName name="住宅内部装修" localSheetId="38">'[3]不动产比较法-住宅'!$B$122:$M$122</definedName>
    <definedName name="住宅内部装修">'不动产比较法-住宅'!$B$122:$M$122</definedName>
    <definedName name="住宅物业管理" localSheetId="24">'[1]不动产比较法-住宅'!$B$114:$M$114</definedName>
    <definedName name="住宅物业管理" localSheetId="23">'[2]不动产比较法-住宅'!$B$114:$M$114</definedName>
    <definedName name="住宅物业管理" localSheetId="38">'[3]不动产比较法-住宅'!$B$114:$M$114</definedName>
    <definedName name="住宅物业管理">'不动产比较法-住宅'!$B$114:$M$114</definedName>
    <definedName name="住宅用途" localSheetId="24">'[1]不动产比较法-住宅'!$B$63:$M$63</definedName>
    <definedName name="住宅用途" localSheetId="23">'[2]不动产比较法-住宅'!$B$63:$M$63</definedName>
    <definedName name="住宅用途" localSheetId="38">'[3]不动产比较法-住宅'!$B$63:$M$63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75" l="1"/>
  <c r="B25" i="75"/>
  <c r="B26" i="75"/>
  <c r="B27" i="75"/>
  <c r="B28" i="75"/>
  <c r="B29" i="75"/>
  <c r="B30" i="75"/>
  <c r="B31" i="75"/>
  <c r="B32" i="75"/>
  <c r="B33" i="75"/>
  <c r="B34" i="75"/>
  <c r="B23" i="75"/>
  <c r="G84" i="46" l="1"/>
  <c r="G86" i="46" l="1"/>
  <c r="G87" i="46"/>
  <c r="G89" i="46"/>
  <c r="G90" i="46"/>
  <c r="B7" i="72" l="1"/>
  <c r="D71" i="40" l="1"/>
  <c r="I9" i="40"/>
  <c r="G9" i="40"/>
  <c r="E9" i="40"/>
  <c r="I7" i="40"/>
  <c r="G7" i="40"/>
  <c r="E7" i="40"/>
  <c r="BF57" i="77"/>
  <c r="BG57" i="77" s="1"/>
  <c r="BC57" i="77"/>
  <c r="BD57" i="77" s="1"/>
  <c r="BE57" i="77" s="1"/>
  <c r="BB57" i="77"/>
  <c r="BC56" i="77"/>
  <c r="BD56" i="77" s="1"/>
  <c r="BE56" i="77" s="1"/>
  <c r="BB56" i="77"/>
  <c r="BC55" i="77"/>
  <c r="BD55" i="77" s="1"/>
  <c r="BE55" i="77" s="1"/>
  <c r="BB55" i="77"/>
  <c r="BC54" i="77"/>
  <c r="BF54" i="77" s="1"/>
  <c r="BG54" i="77" s="1"/>
  <c r="BB54" i="77"/>
  <c r="BC53" i="77"/>
  <c r="BD53" i="77" s="1"/>
  <c r="BE53" i="77" s="1"/>
  <c r="BB53" i="77"/>
  <c r="BC52" i="77"/>
  <c r="BF52" i="77" s="1"/>
  <c r="BG52" i="77" s="1"/>
  <c r="BB52" i="77"/>
  <c r="BJ52" i="77" s="1"/>
  <c r="BL52" i="77" s="1"/>
  <c r="BC51" i="77"/>
  <c r="BD51" i="77" s="1"/>
  <c r="BE51" i="77" s="1"/>
  <c r="BB51" i="77"/>
  <c r="BD50" i="77"/>
  <c r="BE50" i="77" s="1"/>
  <c r="BB50" i="77"/>
  <c r="BF49" i="77"/>
  <c r="BG49" i="77" s="1"/>
  <c r="BD49" i="77"/>
  <c r="BE49" i="77" s="1"/>
  <c r="BB49" i="77"/>
  <c r="BD48" i="77"/>
  <c r="BE48" i="77" s="1"/>
  <c r="BB48" i="77"/>
  <c r="BF47" i="77"/>
  <c r="BG47" i="77" s="1"/>
  <c r="BD47" i="77"/>
  <c r="BE47" i="77" s="1"/>
  <c r="BB47" i="77"/>
  <c r="BF46" i="77"/>
  <c r="BG46" i="77" s="1"/>
  <c r="BD46" i="77"/>
  <c r="BE46" i="77" s="1"/>
  <c r="BB46" i="77"/>
  <c r="BF45" i="77"/>
  <c r="BG45" i="77" s="1"/>
  <c r="BD45" i="77"/>
  <c r="BE45" i="77" s="1"/>
  <c r="BB45" i="77"/>
  <c r="BF44" i="77"/>
  <c r="BG44" i="77" s="1"/>
  <c r="BD44" i="77"/>
  <c r="BE44" i="77" s="1"/>
  <c r="BB44" i="77"/>
  <c r="BF43" i="77"/>
  <c r="BG43" i="77" s="1"/>
  <c r="BD43" i="77"/>
  <c r="BE43" i="77" s="1"/>
  <c r="BB43" i="77"/>
  <c r="K43" i="77"/>
  <c r="BF42" i="77"/>
  <c r="BG42" i="77" s="1"/>
  <c r="BD42" i="77"/>
  <c r="BE42" i="77" s="1"/>
  <c r="BB42" i="77"/>
  <c r="BF41" i="77"/>
  <c r="BG41" i="77" s="1"/>
  <c r="BD41" i="77"/>
  <c r="BE41" i="77" s="1"/>
  <c r="BB41" i="77"/>
  <c r="BF40" i="77"/>
  <c r="BG40" i="77" s="1"/>
  <c r="BD40" i="77"/>
  <c r="BE40" i="77" s="1"/>
  <c r="BB40" i="77"/>
  <c r="BF39" i="77"/>
  <c r="BG39" i="77" s="1"/>
  <c r="BD39" i="77"/>
  <c r="BE39" i="77" s="1"/>
  <c r="BB39" i="77"/>
  <c r="BD38" i="77"/>
  <c r="BE38" i="77" s="1"/>
  <c r="BB38" i="77"/>
  <c r="BD37" i="77"/>
  <c r="BE37" i="77" s="1"/>
  <c r="BB37" i="77"/>
  <c r="BD36" i="77"/>
  <c r="BE36" i="77" s="1"/>
  <c r="BB36" i="77"/>
  <c r="BF35" i="77"/>
  <c r="BG35" i="77" s="1"/>
  <c r="BD35" i="77"/>
  <c r="BE35" i="77" s="1"/>
  <c r="BB35" i="77"/>
  <c r="BE34" i="77"/>
  <c r="BD34" i="77"/>
  <c r="BB34" i="77"/>
  <c r="BF33" i="77"/>
  <c r="BG33" i="77" s="1"/>
  <c r="BD33" i="77"/>
  <c r="BE33" i="77" s="1"/>
  <c r="BB33" i="77"/>
  <c r="BF32" i="77"/>
  <c r="BG32" i="77" s="1"/>
  <c r="BD32" i="77"/>
  <c r="BE32" i="77" s="1"/>
  <c r="BB32" i="77"/>
  <c r="BF31" i="77"/>
  <c r="BG31" i="77" s="1"/>
  <c r="BD31" i="77"/>
  <c r="BE31" i="77" s="1"/>
  <c r="BB31" i="77"/>
  <c r="BF30" i="77"/>
  <c r="BG30" i="77" s="1"/>
  <c r="BD30" i="77"/>
  <c r="BE30" i="77" s="1"/>
  <c r="BB30" i="77"/>
  <c r="BJ30" i="77" s="1"/>
  <c r="BL30" i="77" s="1"/>
  <c r="BB29" i="77"/>
  <c r="BD28" i="77"/>
  <c r="BE28" i="77" s="1"/>
  <c r="BB28" i="77"/>
  <c r="BF27" i="77"/>
  <c r="BG27" i="77" s="1"/>
  <c r="BD27" i="77"/>
  <c r="BE27" i="77" s="1"/>
  <c r="BB27" i="77"/>
  <c r="BF26" i="77"/>
  <c r="BG26" i="77" s="1"/>
  <c r="BD26" i="77"/>
  <c r="BE26" i="77" s="1"/>
  <c r="BB26" i="77"/>
  <c r="BF25" i="77"/>
  <c r="BG25" i="77" s="1"/>
  <c r="BD25" i="77"/>
  <c r="BE25" i="77" s="1"/>
  <c r="BB25" i="77"/>
  <c r="BJ25" i="77" s="1"/>
  <c r="BL25" i="77" s="1"/>
  <c r="BF24" i="77"/>
  <c r="BG24" i="77" s="1"/>
  <c r="BD24" i="77"/>
  <c r="BE24" i="77" s="1"/>
  <c r="BB24" i="77"/>
  <c r="BD23" i="77"/>
  <c r="BE23" i="77" s="1"/>
  <c r="BB23" i="77"/>
  <c r="BF22" i="77"/>
  <c r="BG22" i="77" s="1"/>
  <c r="BD22" i="77"/>
  <c r="BE22" i="77" s="1"/>
  <c r="BB22" i="77"/>
  <c r="BF21" i="77"/>
  <c r="BG21" i="77" s="1"/>
  <c r="BD21" i="77"/>
  <c r="BE21" i="77" s="1"/>
  <c r="BB21" i="77"/>
  <c r="BF20" i="77"/>
  <c r="BG20" i="77" s="1"/>
  <c r="BD20" i="77"/>
  <c r="BE20" i="77" s="1"/>
  <c r="BB20" i="77"/>
  <c r="BF19" i="77"/>
  <c r="BG19" i="77" s="1"/>
  <c r="BD19" i="77"/>
  <c r="BE19" i="77" s="1"/>
  <c r="BB19" i="77"/>
  <c r="BB18" i="77"/>
  <c r="BF17" i="77"/>
  <c r="BG17" i="77" s="1"/>
  <c r="BD17" i="77"/>
  <c r="BE17" i="77" s="1"/>
  <c r="BB17" i="77"/>
  <c r="BJ17" i="77" s="1"/>
  <c r="BF16" i="77"/>
  <c r="BG16" i="77" s="1"/>
  <c r="BD16" i="77"/>
  <c r="BE16" i="77" s="1"/>
  <c r="BB16" i="77"/>
  <c r="BD15" i="77"/>
  <c r="BE15" i="77" s="1"/>
  <c r="BB15" i="77"/>
  <c r="BG14" i="77"/>
  <c r="BF14" i="77"/>
  <c r="BD14" i="77"/>
  <c r="BE14" i="77" s="1"/>
  <c r="BB14" i="77"/>
  <c r="BJ14" i="77" s="1"/>
  <c r="BL14" i="77" s="1"/>
  <c r="BF13" i="77"/>
  <c r="BG13" i="77" s="1"/>
  <c r="BD13" i="77"/>
  <c r="BE13" i="77" s="1"/>
  <c r="BB13" i="77"/>
  <c r="BJ13" i="77" s="1"/>
  <c r="BF12" i="77"/>
  <c r="BG12" i="77" s="1"/>
  <c r="BD12" i="77"/>
  <c r="BE12" i="77" s="1"/>
  <c r="BB12" i="77"/>
  <c r="BF11" i="77"/>
  <c r="BG11" i="77" s="1"/>
  <c r="BD11" i="77"/>
  <c r="BE11" i="77" s="1"/>
  <c r="BB11" i="77"/>
  <c r="BF10" i="77"/>
  <c r="BG10" i="77" s="1"/>
  <c r="BD10" i="77"/>
  <c r="BE10" i="77" s="1"/>
  <c r="BB10" i="77"/>
  <c r="BF9" i="77"/>
  <c r="BG9" i="77" s="1"/>
  <c r="BD9" i="77"/>
  <c r="BE9" i="77" s="1"/>
  <c r="BB9" i="77"/>
  <c r="BF8" i="77"/>
  <c r="BG8" i="77" s="1"/>
  <c r="BD8" i="77"/>
  <c r="BE8" i="77" s="1"/>
  <c r="BB8" i="77"/>
  <c r="BF7" i="77"/>
  <c r="BG7" i="77" s="1"/>
  <c r="BD7" i="77"/>
  <c r="BE7" i="77" s="1"/>
  <c r="BB7" i="77"/>
  <c r="BF6" i="77"/>
  <c r="BG6" i="77" s="1"/>
  <c r="BD6" i="77"/>
  <c r="BE6" i="77" s="1"/>
  <c r="BB6" i="77"/>
  <c r="BD5" i="77"/>
  <c r="BE5" i="77" s="1"/>
  <c r="BB5" i="77"/>
  <c r="BF4" i="77"/>
  <c r="BG4" i="77" s="1"/>
  <c r="BD4" i="77"/>
  <c r="BE4" i="77" s="1"/>
  <c r="BB4" i="77"/>
  <c r="BD3" i="77"/>
  <c r="BE3" i="77" s="1"/>
  <c r="BB3" i="77"/>
  <c r="BD2" i="77"/>
  <c r="BE2" i="77" s="1"/>
  <c r="BB2" i="77"/>
  <c r="BA1" i="77"/>
  <c r="BD52" i="77" l="1"/>
  <c r="BE52" i="77" s="1"/>
  <c r="BF55" i="77"/>
  <c r="BG55" i="77" s="1"/>
  <c r="BL17" i="77"/>
  <c r="I43" i="40"/>
  <c r="BL13" i="77"/>
  <c r="E43" i="40"/>
  <c r="BD54" i="77"/>
  <c r="BE54" i="77" s="1"/>
  <c r="G43" i="40"/>
  <c r="BH1" i="77"/>
  <c r="A33" i="66" l="1"/>
  <c r="A39" i="66" s="1"/>
  <c r="A32" i="66"/>
  <c r="C28" i="66"/>
  <c r="D14" i="11"/>
  <c r="I7" i="76"/>
  <c r="G7" i="76"/>
  <c r="E7" i="76"/>
  <c r="M19" i="75" l="1"/>
  <c r="B121" i="76"/>
  <c r="B119" i="76"/>
  <c r="B117" i="76"/>
  <c r="H40" i="76" s="1"/>
  <c r="AB40"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B104" i="76"/>
  <c r="J34" i="76" s="1"/>
  <c r="W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B80" i="76"/>
  <c r="B78" i="76"/>
  <c r="J14" i="76" s="1"/>
  <c r="AC14" i="76" s="1"/>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H60" i="76"/>
  <c r="I60" i="76" s="1"/>
  <c r="C60" i="76" s="1"/>
  <c r="H59" i="76"/>
  <c r="I59" i="76" s="1"/>
  <c r="C59" i="76" s="1"/>
  <c r="H58" i="76"/>
  <c r="I58" i="76" s="1"/>
  <c r="C58" i="76" s="1"/>
  <c r="H57" i="76"/>
  <c r="I57" i="76" s="1"/>
  <c r="C57" i="76" s="1"/>
  <c r="H56" i="76"/>
  <c r="I56" i="76" s="1"/>
  <c r="C56" i="76" s="1"/>
  <c r="H55" i="76"/>
  <c r="I55" i="76" s="1"/>
  <c r="C55" i="76" s="1"/>
  <c r="H54" i="76"/>
  <c r="I54" i="76" s="1"/>
  <c r="C54" i="76" s="1"/>
  <c r="P45" i="76"/>
  <c r="P44" i="76"/>
  <c r="K44" i="76"/>
  <c r="P43" i="76"/>
  <c r="Q42" i="76"/>
  <c r="Z42" i="76" s="1"/>
  <c r="J42" i="76"/>
  <c r="W42" i="76" s="1"/>
  <c r="H42" i="76"/>
  <c r="AB42" i="76" s="1"/>
  <c r="F42" i="76"/>
  <c r="AA42" i="76" s="1"/>
  <c r="Q41" i="76"/>
  <c r="Z41" i="76" s="1"/>
  <c r="J41" i="76"/>
  <c r="AC41" i="76" s="1"/>
  <c r="H41" i="76"/>
  <c r="AB41" i="76" s="1"/>
  <c r="F41" i="76"/>
  <c r="AA41" i="76" s="1"/>
  <c r="Q40" i="76"/>
  <c r="Z40" i="76" s="1"/>
  <c r="J40" i="76"/>
  <c r="AC40" i="76" s="1"/>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Z36" i="76"/>
  <c r="Q36" i="76"/>
  <c r="J36" i="76"/>
  <c r="W36" i="76" s="1"/>
  <c r="H36" i="76"/>
  <c r="AB36" i="76" s="1"/>
  <c r="F36" i="76"/>
  <c r="AA36" i="76" s="1"/>
  <c r="Q35" i="76"/>
  <c r="Z35" i="76" s="1"/>
  <c r="J35" i="76"/>
  <c r="AC35" i="76" s="1"/>
  <c r="H35" i="76"/>
  <c r="AB35" i="76" s="1"/>
  <c r="F35" i="76"/>
  <c r="AA35" i="76" s="1"/>
  <c r="Q34" i="76"/>
  <c r="Z34" i="76" s="1"/>
  <c r="Q33" i="76"/>
  <c r="Z33" i="76" s="1"/>
  <c r="J33" i="76"/>
  <c r="AC33" i="76" s="1"/>
  <c r="H33" i="76"/>
  <c r="AB33" i="76" s="1"/>
  <c r="F33" i="76"/>
  <c r="AA33" i="76" s="1"/>
  <c r="Q32" i="76"/>
  <c r="Z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Q17" i="76"/>
  <c r="Z17" i="76" s="1"/>
  <c r="J17" i="76"/>
  <c r="AC17" i="76" s="1"/>
  <c r="H17" i="76"/>
  <c r="AB17" i="76" s="1"/>
  <c r="F17" i="76"/>
  <c r="AA17" i="76" s="1"/>
  <c r="Q16" i="76"/>
  <c r="Z16" i="76" s="1"/>
  <c r="J16" i="76"/>
  <c r="W16" i="76" s="1"/>
  <c r="H16" i="76"/>
  <c r="U16" i="76" s="1"/>
  <c r="F16" i="76"/>
  <c r="AA16" i="76" s="1"/>
  <c r="Q15" i="76"/>
  <c r="Z15" i="76" s="1"/>
  <c r="J15" i="76"/>
  <c r="AC15" i="76" s="1"/>
  <c r="H15" i="76"/>
  <c r="AB15" i="76" s="1"/>
  <c r="F15" i="76"/>
  <c r="AA15" i="76" s="1"/>
  <c r="Q14" i="76"/>
  <c r="Z14" i="76" s="1"/>
  <c r="H14" i="76"/>
  <c r="U14" i="76" s="1"/>
  <c r="F14" i="76"/>
  <c r="Q13" i="76"/>
  <c r="Z13" i="76" s="1"/>
  <c r="J13" i="76"/>
  <c r="W13" i="76" s="1"/>
  <c r="H13" i="76"/>
  <c r="AB13" i="76" s="1"/>
  <c r="F13" i="76"/>
  <c r="AA13" i="76" s="1"/>
  <c r="Q12" i="76"/>
  <c r="Z12" i="76" s="1"/>
  <c r="Q11" i="76"/>
  <c r="Z11" i="76" s="1"/>
  <c r="J10" i="76"/>
  <c r="H10" i="76"/>
  <c r="F10" i="76"/>
  <c r="AA10" i="76" s="1"/>
  <c r="C71" i="40"/>
  <c r="D67" i="40"/>
  <c r="E67" i="40" s="1"/>
  <c r="F67" i="40" s="1"/>
  <c r="G67" i="40" s="1"/>
  <c r="H67" i="40" s="1"/>
  <c r="I67" i="40" s="1"/>
  <c r="J67" i="40" s="1"/>
  <c r="K67" i="40" s="1"/>
  <c r="L67" i="40" s="1"/>
  <c r="M67" i="40" s="1"/>
  <c r="N67" i="40" s="1"/>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K3" i="75"/>
  <c r="L3" i="75" s="1"/>
  <c r="M3" i="75" s="1"/>
  <c r="G43" i="76" s="1"/>
  <c r="J2" i="75"/>
  <c r="I2" i="75"/>
  <c r="W17" i="76" l="1"/>
  <c r="U35" i="76"/>
  <c r="K2" i="75"/>
  <c r="L2" i="75" s="1"/>
  <c r="M2" i="75" s="1"/>
  <c r="W15" i="76"/>
  <c r="F34" i="76"/>
  <c r="S34" i="76" s="1"/>
  <c r="S27" i="76"/>
  <c r="S16" i="76"/>
  <c r="W25" i="76"/>
  <c r="S30" i="76"/>
  <c r="H34" i="76"/>
  <c r="F40" i="76"/>
  <c r="S40" i="76" s="1"/>
  <c r="U15" i="76"/>
  <c r="S15" i="76"/>
  <c r="S10" i="76"/>
  <c r="S13" i="76"/>
  <c r="U13" i="76"/>
  <c r="AC13" i="76"/>
  <c r="U17" i="76"/>
  <c r="S19" i="76"/>
  <c r="S39" i="76"/>
  <c r="S38" i="76"/>
  <c r="W39" i="76"/>
  <c r="S42" i="76"/>
  <c r="W38" i="76"/>
  <c r="U41" i="76"/>
  <c r="U42" i="76"/>
  <c r="U33" i="76"/>
  <c r="S37" i="76"/>
  <c r="W41" i="76"/>
  <c r="W33" i="76"/>
  <c r="S36" i="76"/>
  <c r="W21" i="76"/>
  <c r="F32" i="76"/>
  <c r="S32" i="76" s="1"/>
  <c r="U36" i="76"/>
  <c r="C71" i="76"/>
  <c r="S14" i="76"/>
  <c r="AA14" i="76"/>
  <c r="AB10" i="76"/>
  <c r="U10" i="76"/>
  <c r="W10" i="76"/>
  <c r="AC10" i="76"/>
  <c r="AB16" i="76"/>
  <c r="AC32" i="76"/>
  <c r="W32" i="76"/>
  <c r="AC34" i="76"/>
  <c r="W14" i="76"/>
  <c r="S17" i="76"/>
  <c r="S21" i="76"/>
  <c r="AA23" i="76"/>
  <c r="S25" i="76"/>
  <c r="U29" i="76"/>
  <c r="AB30" i="76"/>
  <c r="S35" i="76"/>
  <c r="W37" i="76"/>
  <c r="U40" i="76"/>
  <c r="AB19" i="76"/>
  <c r="U21" i="76"/>
  <c r="AB23" i="76"/>
  <c r="U25" i="76"/>
  <c r="AB27" i="76"/>
  <c r="W29" i="76"/>
  <c r="AC30" i="76"/>
  <c r="AC36" i="76"/>
  <c r="AB39" i="76"/>
  <c r="W40" i="76"/>
  <c r="T43" i="76"/>
  <c r="AC16" i="76"/>
  <c r="AC19" i="76"/>
  <c r="AC23" i="76"/>
  <c r="AC27" i="76"/>
  <c r="S33" i="76"/>
  <c r="W35" i="76"/>
  <c r="U38" i="76"/>
  <c r="S41" i="76"/>
  <c r="AA29" i="76"/>
  <c r="H32" i="76"/>
  <c r="AB14" i="76"/>
  <c r="AB37" i="76"/>
  <c r="AC42" i="76"/>
  <c r="L8" i="75"/>
  <c r="M8" i="75" s="1"/>
  <c r="I43" i="76" s="1"/>
  <c r="G50" i="76" s="1"/>
  <c r="H50" i="76" s="1"/>
  <c r="AA40" i="76" l="1"/>
  <c r="AA34" i="76"/>
  <c r="AB34" i="76"/>
  <c r="U34" i="76"/>
  <c r="V43" i="76"/>
  <c r="AA32" i="76"/>
  <c r="J11" i="76"/>
  <c r="F11" i="76"/>
  <c r="H11" i="76"/>
  <c r="AB32" i="76"/>
  <c r="U32" i="76"/>
  <c r="U11" i="76" l="1"/>
  <c r="AB11" i="76"/>
  <c r="S11" i="76"/>
  <c r="AA11" i="76"/>
  <c r="W11" i="76"/>
  <c r="AC11" i="76"/>
  <c r="F19" i="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D93" i="46"/>
  <c r="B97" i="46"/>
  <c r="B95" i="46"/>
  <c r="Y10" i="46"/>
  <c r="J24" i="46"/>
  <c r="G24" i="46"/>
  <c r="H6" i="1" s="1"/>
  <c r="E24" i="46"/>
  <c r="Q32" i="46" s="1"/>
  <c r="I23" i="46"/>
  <c r="C22" i="46"/>
  <c r="G17" i="46"/>
  <c r="I2" i="46"/>
  <c r="G2" i="46"/>
  <c r="M1" i="46" l="1"/>
  <c r="M5" i="46"/>
  <c r="M2" i="46"/>
  <c r="S5" i="46"/>
  <c r="S3" i="46"/>
  <c r="S6" i="46"/>
  <c r="S4" i="46"/>
  <c r="S2" i="46"/>
  <c r="D21" i="46"/>
  <c r="C27" i="46"/>
  <c r="D99" i="46"/>
  <c r="D97" i="46"/>
  <c r="D95" i="46"/>
  <c r="D96" i="46"/>
  <c r="N1" i="46"/>
  <c r="M3" i="46"/>
  <c r="M4" i="46"/>
  <c r="M6" i="46"/>
  <c r="M7" i="46"/>
  <c r="M8" i="46"/>
  <c r="M9" i="46"/>
  <c r="M10" i="46"/>
  <c r="M11" i="46"/>
  <c r="M12" i="46"/>
  <c r="N2" i="46"/>
  <c r="N3" i="46"/>
  <c r="N4" i="46"/>
  <c r="N5" i="46"/>
  <c r="F93" i="46" s="1"/>
  <c r="N6" i="46"/>
  <c r="N7" i="46"/>
  <c r="N8" i="46"/>
  <c r="N9" i="46"/>
  <c r="N10" i="46"/>
  <c r="N11" i="46"/>
  <c r="N12" i="46"/>
  <c r="C21" i="46"/>
  <c r="M14" i="11" s="1"/>
  <c r="H93" i="46" l="1"/>
  <c r="G93" i="46" s="1"/>
  <c r="H95" i="46"/>
  <c r="G95" i="46" s="1"/>
  <c r="H97" i="46"/>
  <c r="G97" i="46" s="1"/>
  <c r="H99" i="46"/>
  <c r="G99" i="46" s="1"/>
  <c r="H101" i="46"/>
  <c r="G101" i="46" s="1"/>
  <c r="H94" i="46"/>
  <c r="G94" i="46" s="1"/>
  <c r="H96" i="46"/>
  <c r="G96" i="46" s="1"/>
  <c r="H98" i="46"/>
  <c r="G98" i="46" s="1"/>
  <c r="H100" i="46"/>
  <c r="G100" i="46" s="1"/>
  <c r="K96" i="46" l="1"/>
  <c r="J96" i="46" s="1"/>
  <c r="M96" i="46"/>
  <c r="N96" i="46" s="1"/>
  <c r="M101" i="46"/>
  <c r="N101" i="46" s="1"/>
  <c r="K101" i="46"/>
  <c r="M97" i="46"/>
  <c r="N97" i="46" s="1"/>
  <c r="K97" i="46"/>
  <c r="J97" i="46" s="1"/>
  <c r="M100" i="46"/>
  <c r="N100" i="46" s="1"/>
  <c r="K100" i="46"/>
  <c r="J100" i="46" s="1"/>
  <c r="D100" i="46" s="1"/>
  <c r="M98" i="46"/>
  <c r="N98" i="46" s="1"/>
  <c r="K98" i="46"/>
  <c r="K94" i="46"/>
  <c r="M94" i="46"/>
  <c r="N94" i="46" s="1"/>
  <c r="M99" i="46"/>
  <c r="N99" i="46" s="1"/>
  <c r="K99" i="46"/>
  <c r="J99" i="46" s="1"/>
  <c r="K95" i="46"/>
  <c r="J95" i="46" s="1"/>
  <c r="M95" i="46"/>
  <c r="N95" i="46" s="1"/>
  <c r="K93" i="46"/>
  <c r="J93" i="46" s="1"/>
  <c r="M93" i="46"/>
  <c r="N93" i="46" s="1"/>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M38" i="70"/>
  <c r="P38" i="70" s="1"/>
  <c r="L38" i="70"/>
  <c r="I38" i="70"/>
  <c r="N37" i="70"/>
  <c r="M37" i="70"/>
  <c r="P37" i="70" s="1"/>
  <c r="L37" i="70"/>
  <c r="I37" i="70"/>
  <c r="N36" i="70"/>
  <c r="M36" i="70"/>
  <c r="P36" i="70" s="1"/>
  <c r="L36" i="70"/>
  <c r="I36" i="70"/>
  <c r="N35" i="70"/>
  <c r="M35" i="70"/>
  <c r="P35" i="70" s="1"/>
  <c r="L35" i="70"/>
  <c r="I35" i="70"/>
  <c r="N34" i="70"/>
  <c r="M34" i="70"/>
  <c r="P34" i="70" s="1"/>
  <c r="L34" i="70"/>
  <c r="I34" i="70"/>
  <c r="N33" i="70"/>
  <c r="M33" i="70"/>
  <c r="L33" i="70"/>
  <c r="I33" i="70"/>
  <c r="N27" i="70"/>
  <c r="M27" i="70"/>
  <c r="P27" i="70" s="1"/>
  <c r="L27" i="70"/>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D34" i="70" l="1"/>
  <c r="AD36" i="70"/>
  <c r="AD38" i="70"/>
  <c r="L25" i="70"/>
  <c r="S36" i="70"/>
  <c r="S38" i="70"/>
  <c r="Z3" i="70"/>
  <c r="E21" i="46"/>
  <c r="U14" i="70"/>
  <c r="N25" i="70"/>
  <c r="U36" i="70"/>
  <c r="U38" i="70"/>
  <c r="O3" i="70"/>
  <c r="V14" i="70"/>
  <c r="R16" i="70"/>
  <c r="S34" i="70"/>
  <c r="AB3" i="70"/>
  <c r="J98" i="46"/>
  <c r="D98" i="46"/>
  <c r="J101" i="46"/>
  <c r="D101" i="46"/>
  <c r="J94" i="46"/>
  <c r="D94" i="46"/>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93" i="46" l="1"/>
  <c r="B91" i="46" s="1"/>
  <c r="E25" i="69"/>
  <c r="E24" i="69"/>
  <c r="F23" i="69"/>
  <c r="F24" i="69" s="1"/>
  <c r="F25" i="69" s="1"/>
  <c r="E23" i="69"/>
  <c r="E22" i="69"/>
  <c r="G22" i="69" s="1"/>
  <c r="F12" i="69"/>
  <c r="F11" i="69"/>
  <c r="C18" i="69" s="1"/>
  <c r="D7" i="69"/>
  <c r="D6" i="69"/>
  <c r="D5" i="69"/>
  <c r="G23" i="69" l="1"/>
  <c r="C15"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E25" i="59" s="1"/>
  <c r="O25" i="59"/>
  <c r="C25" i="59" s="1"/>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A6" i="54"/>
  <c r="A8" i="54"/>
  <c r="B53" i="63" s="1"/>
  <c r="A7" i="54"/>
  <c r="A27" i="51"/>
  <c r="B20" i="63" s="1"/>
  <c r="Q27" i="59"/>
  <c r="O27" i="59"/>
  <c r="N28" i="59"/>
  <c r="O28" i="59"/>
  <c r="P28" i="59"/>
  <c r="Q28" i="59"/>
  <c r="N27" i="59"/>
  <c r="P27" i="59"/>
  <c r="K75" i="9"/>
  <c r="K6" i="4"/>
  <c r="L76" i="9" s="1"/>
  <c r="O76" i="9"/>
  <c r="B22" i="31"/>
  <c r="E15" i="66"/>
  <c r="F15" i="66"/>
  <c r="E16" i="66"/>
  <c r="F16" i="66"/>
  <c r="E17" i="66"/>
  <c r="F17" i="66"/>
  <c r="E18" i="66"/>
  <c r="F18" i="66"/>
  <c r="E19" i="66"/>
  <c r="F19" i="66"/>
  <c r="E20" i="66"/>
  <c r="F20" i="66"/>
  <c r="E21" i="66"/>
  <c r="F21" i="66"/>
  <c r="E22" i="66"/>
  <c r="F22" i="66"/>
  <c r="E23" i="66"/>
  <c r="F23" i="66"/>
  <c r="B3" i="66"/>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E80" i="59" s="1"/>
  <c r="E79" i="59" s="1"/>
  <c r="C81" i="59"/>
  <c r="D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Q75" i="59"/>
  <c r="P75" i="59"/>
  <c r="O75" i="59"/>
  <c r="N75" i="59"/>
  <c r="Q74" i="59"/>
  <c r="P74" i="59"/>
  <c r="O74" i="59"/>
  <c r="N74" i="59"/>
  <c r="D74" i="59"/>
  <c r="Q73" i="59"/>
  <c r="P73" i="59"/>
  <c r="O73" i="59"/>
  <c r="N73" i="59"/>
  <c r="F73" i="59"/>
  <c r="F72" i="59" s="1"/>
  <c r="F71" i="59" s="1"/>
  <c r="E73" i="59"/>
  <c r="E72" i="59" s="1"/>
  <c r="E71" i="59" s="1"/>
  <c r="C73" i="59"/>
  <c r="T73" i="59" s="1"/>
  <c r="B73" i="59"/>
  <c r="S73" i="59"/>
  <c r="Q72" i="59"/>
  <c r="P72" i="59"/>
  <c r="O72" i="59"/>
  <c r="N72" i="59"/>
  <c r="B72" i="59"/>
  <c r="B71" i="59" s="1"/>
  <c r="Q71" i="59"/>
  <c r="P71" i="59"/>
  <c r="O71" i="59"/>
  <c r="N71" i="59"/>
  <c r="Q70" i="59"/>
  <c r="P70" i="59"/>
  <c r="O70" i="59"/>
  <c r="N70" i="59"/>
  <c r="D70" i="59"/>
  <c r="F69" i="59"/>
  <c r="V69" i="59" s="1"/>
  <c r="E69" i="59"/>
  <c r="E68" i="59" s="1"/>
  <c r="C69" i="59"/>
  <c r="D69" i="59" s="1"/>
  <c r="B69" i="59"/>
  <c r="B68" i="59" s="1"/>
  <c r="N69" i="59"/>
  <c r="F68" i="59"/>
  <c r="Q68"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c r="P54" i="59"/>
  <c r="E55" i="59" s="1"/>
  <c r="O54" i="59"/>
  <c r="C55" i="59" s="1"/>
  <c r="N54" i="59"/>
  <c r="B55" i="59" s="1"/>
  <c r="D54" i="59"/>
  <c r="Q53" i="59"/>
  <c r="P53" i="59"/>
  <c r="O53" i="59"/>
  <c r="N53" i="59"/>
  <c r="Q52" i="59"/>
  <c r="P52" i="59"/>
  <c r="O52" i="59"/>
  <c r="N52" i="59"/>
  <c r="Q51" i="59"/>
  <c r="P51" i="59"/>
  <c r="O51" i="59"/>
  <c r="N51" i="59"/>
  <c r="Q50" i="59"/>
  <c r="F51" i="59" s="1"/>
  <c r="P50" i="59"/>
  <c r="E51" i="59"/>
  <c r="O50" i="59"/>
  <c r="C51" i="59" s="1"/>
  <c r="N50" i="59"/>
  <c r="B51" i="59" s="1"/>
  <c r="D50" i="59"/>
  <c r="T49" i="59"/>
  <c r="Q49" i="59"/>
  <c r="P49" i="59"/>
  <c r="O49" i="59"/>
  <c r="N49" i="59"/>
  <c r="D49" i="59"/>
  <c r="Q48" i="59"/>
  <c r="P48" i="59"/>
  <c r="O48" i="59"/>
  <c r="N48" i="59"/>
  <c r="Q47" i="59"/>
  <c r="P47" i="59"/>
  <c r="O47" i="59"/>
  <c r="N47" i="59"/>
  <c r="Q46" i="59"/>
  <c r="F47" i="59"/>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AB40" i="59" s="1"/>
  <c r="P40" i="59"/>
  <c r="O40" i="59"/>
  <c r="Y40" i="59" s="1"/>
  <c r="Z40" i="59" s="1"/>
  <c r="N40" i="59"/>
  <c r="X40" i="59" s="1"/>
  <c r="Q39" i="59"/>
  <c r="P39" i="59"/>
  <c r="O39" i="59"/>
  <c r="N39" i="59"/>
  <c r="X39" i="59" s="1"/>
  <c r="Q38" i="59"/>
  <c r="F39" i="59" s="1"/>
  <c r="P38" i="59"/>
  <c r="O38" i="59"/>
  <c r="C39" i="59" s="1"/>
  <c r="C40" i="59" s="1"/>
  <c r="N38" i="59"/>
  <c r="B39" i="59"/>
  <c r="D38" i="59"/>
  <c r="Q37" i="59"/>
  <c r="P37" i="59"/>
  <c r="O37" i="59"/>
  <c r="N37" i="59"/>
  <c r="Q36" i="59"/>
  <c r="P36" i="59"/>
  <c r="O36" i="59"/>
  <c r="N36" i="59"/>
  <c r="Q35" i="59"/>
  <c r="P35" i="59"/>
  <c r="O35" i="59"/>
  <c r="N35" i="59"/>
  <c r="Q34" i="59"/>
  <c r="F35" i="59" s="1"/>
  <c r="P34" i="59"/>
  <c r="O34" i="59"/>
  <c r="N34" i="59"/>
  <c r="B35" i="59" s="1"/>
  <c r="B36" i="59" s="1"/>
  <c r="B37" i="59" s="1"/>
  <c r="S37" i="59" s="1"/>
  <c r="D34" i="59"/>
  <c r="Q33" i="59"/>
  <c r="P33" i="59"/>
  <c r="O33" i="59"/>
  <c r="N33" i="59"/>
  <c r="Q32" i="59"/>
  <c r="P32" i="59"/>
  <c r="O32" i="59"/>
  <c r="N32" i="59"/>
  <c r="X32" i="59" s="1"/>
  <c r="Q31" i="59"/>
  <c r="P31" i="59"/>
  <c r="O31" i="59"/>
  <c r="N31" i="59"/>
  <c r="Q30" i="59"/>
  <c r="F31" i="59"/>
  <c r="P30" i="59"/>
  <c r="E31" i="59" s="1"/>
  <c r="O30" i="59"/>
  <c r="C31" i="59" s="1"/>
  <c r="C32" i="59" s="1"/>
  <c r="N30" i="59"/>
  <c r="B31" i="59" s="1"/>
  <c r="D30" i="59"/>
  <c r="AA40" i="59"/>
  <c r="O69" i="59"/>
  <c r="Q69" i="59"/>
  <c r="C72" i="59"/>
  <c r="D72"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2" i="20"/>
  <c r="B100" i="46" s="1"/>
  <c r="B68"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C25" i="7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s="1"/>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A497" i="3" s="1"/>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A505" i="3" s="1"/>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D528" i="3"/>
  <c r="BE528" i="3"/>
  <c r="BF528" i="3"/>
  <c r="BG528" i="3"/>
  <c r="BA528" i="3" s="1"/>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A531" i="3" s="1"/>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A533" i="3" s="1"/>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L539" i="3" s="1"/>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A545" i="3" s="1"/>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A553" i="3" s="1"/>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A556" i="3" s="1"/>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L563" i="3" s="1"/>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S34" i="37" s="1"/>
  <c r="D99" i="37"/>
  <c r="E99" i="37" s="1"/>
  <c r="H42" i="34"/>
  <c r="U42" i="34" s="1"/>
  <c r="J42" i="34"/>
  <c r="W42" i="34" s="1"/>
  <c r="F42" i="34"/>
  <c r="S42" i="34" s="1"/>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H39" i="37" s="1"/>
  <c r="B108" i="37"/>
  <c r="C23" i="37"/>
  <c r="C19" i="37"/>
  <c r="C17" i="37"/>
  <c r="C15" i="37"/>
  <c r="B112" i="37"/>
  <c r="H40" i="37" s="1"/>
  <c r="U40" i="37" s="1"/>
  <c r="D107" i="37"/>
  <c r="E107" i="37" s="1"/>
  <c r="D105" i="37"/>
  <c r="E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F14" i="37" s="1"/>
  <c r="AA14" i="37" s="1"/>
  <c r="H14" i="37"/>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F25" i="36" s="1"/>
  <c r="B73" i="36"/>
  <c r="F24" i="36" s="1"/>
  <c r="AA24" i="36" s="1"/>
  <c r="B71" i="36"/>
  <c r="J23" i="36" s="1"/>
  <c r="AC23" i="36" s="1"/>
  <c r="D70" i="36"/>
  <c r="H22" i="36"/>
  <c r="AB22" i="36" s="1"/>
  <c r="D68" i="36"/>
  <c r="E68" i="36" s="1"/>
  <c r="D64" i="36"/>
  <c r="E64" i="36" s="1"/>
  <c r="F64" i="36" s="1"/>
  <c r="G64" i="36" s="1"/>
  <c r="J16" i="36"/>
  <c r="D62" i="36"/>
  <c r="E62" i="36" s="1"/>
  <c r="B59" i="36"/>
  <c r="B57" i="36"/>
  <c r="F12" i="36" s="1"/>
  <c r="S12" i="36" s="1"/>
  <c r="B55" i="36"/>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AB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J25" i="35" s="1"/>
  <c r="B75" i="35"/>
  <c r="F24" i="35" s="1"/>
  <c r="AA24" i="35" s="1"/>
  <c r="B73" i="35"/>
  <c r="J23" i="35" s="1"/>
  <c r="AC23" i="35" s="1"/>
  <c r="B57" i="35"/>
  <c r="B61" i="35"/>
  <c r="J13" i="35" s="1"/>
  <c r="B59" i="35"/>
  <c r="B131" i="34"/>
  <c r="B129" i="34"/>
  <c r="J46" i="34" s="1"/>
  <c r="AC46" i="34" s="1"/>
  <c r="B127" i="34"/>
  <c r="B99" i="34"/>
  <c r="B97" i="34"/>
  <c r="B95" i="34"/>
  <c r="B93" i="34"/>
  <c r="J29" i="34" s="1"/>
  <c r="AC29" i="34" s="1"/>
  <c r="B75" i="34"/>
  <c r="B73" i="34"/>
  <c r="B71" i="34"/>
  <c r="J12" i="34" s="1"/>
  <c r="AC12" i="34" s="1"/>
  <c r="B130" i="33"/>
  <c r="B128" i="33"/>
  <c r="H45" i="33" s="1"/>
  <c r="U45" i="33" s="1"/>
  <c r="B126" i="33"/>
  <c r="B98" i="33"/>
  <c r="F31" i="33" s="1"/>
  <c r="AA31" i="33" s="1"/>
  <c r="B96" i="33"/>
  <c r="B94" i="33"/>
  <c r="B74" i="33"/>
  <c r="F14" i="33" s="1"/>
  <c r="AA14" i="33" s="1"/>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9" i="35"/>
  <c r="W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S28"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c r="Q39" i="34"/>
  <c r="Z39" i="34" s="1"/>
  <c r="J39" i="34"/>
  <c r="AC39" i="34" s="1"/>
  <c r="H39" i="34"/>
  <c r="U39" i="34" s="1"/>
  <c r="F39" i="34"/>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W40" i="33" s="1"/>
  <c r="H40" i="33"/>
  <c r="Q39" i="33"/>
  <c r="Z39" i="33" s="1"/>
  <c r="J39" i="33"/>
  <c r="AC39" i="33" s="1"/>
  <c r="Q38" i="33"/>
  <c r="Z38" i="33"/>
  <c r="J38" i="33"/>
  <c r="AC38" i="33" s="1"/>
  <c r="H38" i="33"/>
  <c r="U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J9" i="21" s="1"/>
  <c r="G18" i="20"/>
  <c r="C25" i="40"/>
  <c r="G16" i="20"/>
  <c r="C19" i="76" s="1"/>
  <c r="G15" i="20"/>
  <c r="C24" i="20"/>
  <c r="B75" i="46" s="1"/>
  <c r="C21" i="20"/>
  <c r="C29" i="39" s="1"/>
  <c r="C20" i="20"/>
  <c r="C18" i="20"/>
  <c r="B73" i="46" s="1"/>
  <c r="C17" i="20"/>
  <c r="B61" i="46" s="1"/>
  <c r="C16" i="20"/>
  <c r="B50" i="46" s="1"/>
  <c r="C15" i="20"/>
  <c r="B72" i="46"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J46" i="21" s="1"/>
  <c r="W46" i="21" s="1"/>
  <c r="B128" i="21"/>
  <c r="B126" i="21"/>
  <c r="F44" i="21" s="1"/>
  <c r="AA44" i="21" s="1"/>
  <c r="B98" i="21"/>
  <c r="B96" i="21"/>
  <c r="H30" i="21" s="1"/>
  <c r="B94" i="21"/>
  <c r="B92" i="21"/>
  <c r="F28" i="21" s="1"/>
  <c r="B90" i="21"/>
  <c r="F27" i="21" s="1"/>
  <c r="AA27" i="21" s="1"/>
  <c r="B74" i="21"/>
  <c r="F14" i="21" s="1"/>
  <c r="B72" i="21"/>
  <c r="B70" i="21"/>
  <c r="F10" i="21"/>
  <c r="C19" i="21"/>
  <c r="C17" i="21"/>
  <c r="C23" i="21"/>
  <c r="Q9" i="21"/>
  <c r="Z9" i="21"/>
  <c r="Q10" i="21"/>
  <c r="Z10" i="21" s="1"/>
  <c r="Q11" i="21"/>
  <c r="Z11" i="21" s="1"/>
  <c r="Q12" i="21"/>
  <c r="Z12" i="21" s="1"/>
  <c r="Q13" i="21"/>
  <c r="Z13" i="21"/>
  <c r="Q14" i="21"/>
  <c r="Z14" i="2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H38" i="21"/>
  <c r="AB38" i="21" s="1"/>
  <c r="H43" i="21"/>
  <c r="AB43" i="21" s="1"/>
  <c r="F32" i="21"/>
  <c r="F38" i="21"/>
  <c r="F36" i="21"/>
  <c r="S36" i="21" s="1"/>
  <c r="F39" i="21"/>
  <c r="AA39" i="21" s="1"/>
  <c r="J40" i="21"/>
  <c r="H35" i="21"/>
  <c r="AB35" i="21" s="1"/>
  <c r="J8" i="21"/>
  <c r="AC8" i="21" s="1"/>
  <c r="H8" i="21"/>
  <c r="H10" i="21"/>
  <c r="U10" i="21" s="1"/>
  <c r="H39" i="21"/>
  <c r="U39" i="21" s="1"/>
  <c r="J34" i="21"/>
  <c r="W34" i="21" s="1"/>
  <c r="H36" i="21"/>
  <c r="F35" i="21"/>
  <c r="AA35" i="21" s="1"/>
  <c r="J33" i="21"/>
  <c r="W33" i="21" s="1"/>
  <c r="H33" i="21"/>
  <c r="U33" i="21" s="1"/>
  <c r="F33" i="21"/>
  <c r="AA33" i="21" s="1"/>
  <c r="J10" i="21"/>
  <c r="AC10" i="21" s="1"/>
  <c r="H26" i="21"/>
  <c r="U26" i="21" s="1"/>
  <c r="F19" i="21"/>
  <c r="AA19" i="21" s="1"/>
  <c r="H19" i="21"/>
  <c r="AB19" i="21" s="1"/>
  <c r="J19" i="21"/>
  <c r="W19" i="21" s="1"/>
  <c r="J26" i="21"/>
  <c r="W26" i="21" s="1"/>
  <c r="F26" i="21"/>
  <c r="AA26" i="21" s="1"/>
  <c r="AB41" i="21"/>
  <c r="AA41" i="21"/>
  <c r="S10" i="39"/>
  <c r="U30" i="37"/>
  <c r="F29" i="36"/>
  <c r="AA29" i="36" s="1"/>
  <c r="F16" i="36"/>
  <c r="AA16" i="36" s="1"/>
  <c r="U22" i="36"/>
  <c r="W22" i="36"/>
  <c r="AC31" i="36"/>
  <c r="J33" i="36"/>
  <c r="W33" i="36" s="1"/>
  <c r="AC27" i="35"/>
  <c r="F36" i="34"/>
  <c r="S36" i="34" s="1"/>
  <c r="H39" i="33"/>
  <c r="AB39" i="33" s="1"/>
  <c r="F26" i="33"/>
  <c r="AA26" i="33" s="1"/>
  <c r="W38" i="33"/>
  <c r="S40" i="33"/>
  <c r="W8" i="21"/>
  <c r="W10" i="40"/>
  <c r="U36" i="40"/>
  <c r="S40" i="39"/>
  <c r="F11" i="21"/>
  <c r="S11" i="21" s="1"/>
  <c r="AC35" i="21"/>
  <c r="C23" i="39"/>
  <c r="U36" i="39"/>
  <c r="H32" i="33"/>
  <c r="AB32" i="33" s="1"/>
  <c r="H11" i="21"/>
  <c r="U11" i="21" s="1"/>
  <c r="J11" i="21"/>
  <c r="W11" i="21" s="1"/>
  <c r="J27" i="36"/>
  <c r="W27" i="36" s="1"/>
  <c r="J30" i="35"/>
  <c r="W30" i="35" s="1"/>
  <c r="F22" i="35"/>
  <c r="AA22" i="35" s="1"/>
  <c r="H10" i="35"/>
  <c r="U10" i="35" s="1"/>
  <c r="E85" i="36"/>
  <c r="F85" i="36" s="1"/>
  <c r="G85" i="36" s="1"/>
  <c r="H85" i="36" s="1"/>
  <c r="I85" i="36" s="1"/>
  <c r="J85" i="36" s="1"/>
  <c r="K85" i="36" s="1"/>
  <c r="L85" i="36" s="1"/>
  <c r="M85" i="36" s="1"/>
  <c r="J29" i="36"/>
  <c r="AC29" i="36"/>
  <c r="F34" i="36"/>
  <c r="S34" i="36" s="1"/>
  <c r="H16" i="35"/>
  <c r="U16" i="35" s="1"/>
  <c r="H33" i="35"/>
  <c r="AB33" i="35" s="1"/>
  <c r="F35" i="37"/>
  <c r="S35" i="37" s="1"/>
  <c r="E101" i="37"/>
  <c r="F101" i="37" s="1"/>
  <c r="G101" i="37" s="1"/>
  <c r="H101" i="37" s="1"/>
  <c r="I101" i="37" s="1"/>
  <c r="J101" i="37" s="1"/>
  <c r="K101" i="37" s="1"/>
  <c r="L101" i="37" s="1"/>
  <c r="M101" i="37" s="1"/>
  <c r="J34" i="37"/>
  <c r="W34" i="37" s="1"/>
  <c r="H43" i="34"/>
  <c r="E114" i="34"/>
  <c r="H36" i="34"/>
  <c r="F37" i="34"/>
  <c r="S37" i="34" s="1"/>
  <c r="F33" i="34"/>
  <c r="S33" i="34" s="1"/>
  <c r="F19" i="34"/>
  <c r="AA19" i="34" s="1"/>
  <c r="J10" i="34"/>
  <c r="AC10" i="34" s="1"/>
  <c r="U9" i="34"/>
  <c r="J28" i="34"/>
  <c r="W28" i="34" s="1"/>
  <c r="E113" i="33"/>
  <c r="F113" i="33" s="1"/>
  <c r="G113" i="33" s="1"/>
  <c r="H113" i="33" s="1"/>
  <c r="I113" i="33" s="1"/>
  <c r="J113" i="33" s="1"/>
  <c r="K113" i="33" s="1"/>
  <c r="L113" i="33" s="1"/>
  <c r="M113" i="33" s="1"/>
  <c r="F36" i="33"/>
  <c r="S36" i="33" s="1"/>
  <c r="F19" i="33"/>
  <c r="S19" i="33" s="1"/>
  <c r="J19" i="33"/>
  <c r="AC19" i="33" s="1"/>
  <c r="AB30" i="36"/>
  <c r="H29" i="35"/>
  <c r="U34" i="37"/>
  <c r="AA34" i="37"/>
  <c r="AC43" i="34"/>
  <c r="AB42" i="34"/>
  <c r="J19" i="34"/>
  <c r="AC19" i="34" s="1"/>
  <c r="H37" i="33"/>
  <c r="AB37" i="33" s="1"/>
  <c r="W43" i="34"/>
  <c r="AC42" i="34"/>
  <c r="AA42" i="34"/>
  <c r="AA38" i="34"/>
  <c r="S38" i="34"/>
  <c r="J37" i="33"/>
  <c r="W37" i="33" s="1"/>
  <c r="J42" i="21"/>
  <c r="W42" i="21" s="1"/>
  <c r="J44" i="34"/>
  <c r="AC44" i="34" s="1"/>
  <c r="F44" i="34"/>
  <c r="S44" i="34" s="1"/>
  <c r="J10" i="35"/>
  <c r="W10" i="35" s="1"/>
  <c r="AL5" i="3"/>
  <c r="BQ13" i="3"/>
  <c r="J14" i="21"/>
  <c r="AC14" i="21" s="1"/>
  <c r="J28" i="21"/>
  <c r="AC28" i="21" s="1"/>
  <c r="J30" i="21"/>
  <c r="AC30" i="21" s="1"/>
  <c r="H44" i="21"/>
  <c r="H46" i="21"/>
  <c r="U46" i="21" s="1"/>
  <c r="F33" i="35"/>
  <c r="S33" i="35" s="1"/>
  <c r="J33" i="35"/>
  <c r="W33" i="35" s="1"/>
  <c r="F30" i="35"/>
  <c r="AA30" i="35"/>
  <c r="H10" i="36"/>
  <c r="AB10" i="36" s="1"/>
  <c r="F28" i="36"/>
  <c r="S28" i="36" s="1"/>
  <c r="F27" i="36"/>
  <c r="S27" i="36" s="1"/>
  <c r="H27" i="21"/>
  <c r="AB27" i="21"/>
  <c r="J27" i="21"/>
  <c r="W27" i="21"/>
  <c r="J29" i="21"/>
  <c r="AC29" i="21" s="1"/>
  <c r="H29" i="21"/>
  <c r="U29" i="21" s="1"/>
  <c r="F29" i="21"/>
  <c r="S29" i="21" s="1"/>
  <c r="J31" i="21"/>
  <c r="AC31" i="21" s="1"/>
  <c r="H31" i="21"/>
  <c r="U31" i="21" s="1"/>
  <c r="F31" i="21"/>
  <c r="S31" i="21" s="1"/>
  <c r="J45" i="21"/>
  <c r="F13" i="33"/>
  <c r="J29" i="33"/>
  <c r="W29" i="33" s="1"/>
  <c r="J31" i="33"/>
  <c r="AC31" i="33" s="1"/>
  <c r="H31" i="33"/>
  <c r="AB31" i="33" s="1"/>
  <c r="S31" i="33"/>
  <c r="J45" i="33"/>
  <c r="W45" i="33" s="1"/>
  <c r="H28" i="36"/>
  <c r="AB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H37" i="37"/>
  <c r="U37" i="37" s="1"/>
  <c r="F40" i="37"/>
  <c r="AA40" i="37" s="1"/>
  <c r="H14" i="33"/>
  <c r="U14" i="33" s="1"/>
  <c r="J14" i="33"/>
  <c r="AC14" i="33" s="1"/>
  <c r="H30" i="33"/>
  <c r="AB30" i="33" s="1"/>
  <c r="F30" i="33"/>
  <c r="AA30" i="33" s="1"/>
  <c r="J30" i="33"/>
  <c r="W30" i="33" s="1"/>
  <c r="J46" i="33"/>
  <c r="F46" i="33"/>
  <c r="S46" i="33" s="1"/>
  <c r="H46" i="33"/>
  <c r="AB46" i="33" s="1"/>
  <c r="H13" i="34"/>
  <c r="U13" i="34" s="1"/>
  <c r="J13" i="34"/>
  <c r="W13" i="34" s="1"/>
  <c r="F13" i="34"/>
  <c r="AA13" i="34" s="1"/>
  <c r="F29" i="34"/>
  <c r="S29" i="34" s="1"/>
  <c r="J31" i="34"/>
  <c r="AC31" i="34" s="1"/>
  <c r="H31" i="34"/>
  <c r="AB31" i="34" s="1"/>
  <c r="F31" i="34"/>
  <c r="S31" i="34" s="1"/>
  <c r="H45" i="34"/>
  <c r="U45" i="34" s="1"/>
  <c r="J45" i="34"/>
  <c r="W45" i="34" s="1"/>
  <c r="F45" i="34"/>
  <c r="AA45" i="34" s="1"/>
  <c r="H47" i="34"/>
  <c r="U47" i="34" s="1"/>
  <c r="F47" i="34"/>
  <c r="AA47" i="34" s="1"/>
  <c r="J47" i="34"/>
  <c r="AC47" i="34" s="1"/>
  <c r="F13" i="35"/>
  <c r="S13" i="35" s="1"/>
  <c r="H13" i="35"/>
  <c r="AB13" i="35" s="1"/>
  <c r="F25" i="35"/>
  <c r="AA25" i="35" s="1"/>
  <c r="H25" i="35"/>
  <c r="AB25" i="35" s="1"/>
  <c r="J35" i="35"/>
  <c r="F35" i="35"/>
  <c r="S35" i="35" s="1"/>
  <c r="H35" i="35"/>
  <c r="U35" i="35" s="1"/>
  <c r="J25" i="36"/>
  <c r="W25" i="36" s="1"/>
  <c r="H25" i="36"/>
  <c r="AB25" i="36" s="1"/>
  <c r="F28" i="37"/>
  <c r="AA28" i="37" s="1"/>
  <c r="J28" i="37"/>
  <c r="AC28" i="37" s="1"/>
  <c r="H28" i="37"/>
  <c r="U28" i="37" s="1"/>
  <c r="H38" i="37"/>
  <c r="AB38" i="37" s="1"/>
  <c r="J38" i="37"/>
  <c r="AC38" i="37" s="1"/>
  <c r="F38" i="37"/>
  <c r="S38" i="37" s="1"/>
  <c r="F27" i="37"/>
  <c r="AA27" i="37" s="1"/>
  <c r="J14" i="37"/>
  <c r="W14" i="37" s="1"/>
  <c r="J27" i="37"/>
  <c r="W27" i="37" s="1"/>
  <c r="J36" i="37"/>
  <c r="AC36" i="37" s="1"/>
  <c r="AB31" i="21"/>
  <c r="AB45" i="33"/>
  <c r="G529" i="3"/>
  <c r="G517" i="3"/>
  <c r="G513" i="3"/>
  <c r="G508" i="3"/>
  <c r="G499" i="3"/>
  <c r="G493" i="3"/>
  <c r="G561" i="3"/>
  <c r="G557" i="3"/>
  <c r="G549" i="3"/>
  <c r="G545" i="3"/>
  <c r="G539" i="3"/>
  <c r="BL569" i="3"/>
  <c r="BL535" i="3"/>
  <c r="BL519" i="3"/>
  <c r="BL511" i="3"/>
  <c r="BL501" i="3"/>
  <c r="BL483" i="3"/>
  <c r="BL559" i="3"/>
  <c r="BL551" i="3"/>
  <c r="BL541" i="3"/>
  <c r="G518" i="3"/>
  <c r="G510" i="3"/>
  <c r="BL485" i="3"/>
  <c r="BA565" i="3"/>
  <c r="BA561" i="3"/>
  <c r="BA559" i="3"/>
  <c r="AZ559" i="3" s="1"/>
  <c r="BA557" i="3"/>
  <c r="BA543" i="3"/>
  <c r="BA509" i="3"/>
  <c r="BA493" i="3"/>
  <c r="BA487" i="3"/>
  <c r="BA560" i="3"/>
  <c r="BA554" i="3"/>
  <c r="BA550" i="3"/>
  <c r="BA546" i="3"/>
  <c r="BA544" i="3"/>
  <c r="BA524" i="3"/>
  <c r="BA516" i="3"/>
  <c r="BA512" i="3"/>
  <c r="BA502" i="3"/>
  <c r="BA492" i="3"/>
  <c r="BA20" i="3"/>
  <c r="G566" i="3"/>
  <c r="G562" i="3"/>
  <c r="G560" i="3"/>
  <c r="G556" i="3"/>
  <c r="G554" i="3"/>
  <c r="BL543" i="3"/>
  <c r="AC542" i="3"/>
  <c r="BQ542" i="3"/>
  <c r="BL542" i="3" s="1"/>
  <c r="BQ568" i="3"/>
  <c r="BQ566" i="3"/>
  <c r="BQ564" i="3"/>
  <c r="BQ562" i="3"/>
  <c r="BQ560" i="3"/>
  <c r="BQ558" i="3"/>
  <c r="BQ556" i="3"/>
  <c r="BL556" i="3" s="1"/>
  <c r="BQ554" i="3"/>
  <c r="BQ552" i="3"/>
  <c r="BL552" i="3" s="1"/>
  <c r="BQ550" i="3"/>
  <c r="BL550" i="3" s="1"/>
  <c r="BQ548" i="3"/>
  <c r="BQ546" i="3"/>
  <c r="BQ544" i="3"/>
  <c r="BL544" i="3" s="1"/>
  <c r="G538" i="3"/>
  <c r="G534" i="3"/>
  <c r="G530" i="3"/>
  <c r="G526" i="3"/>
  <c r="BQ540" i="3"/>
  <c r="BQ538" i="3"/>
  <c r="BQ536" i="3"/>
  <c r="BQ534" i="3"/>
  <c r="BQ532" i="3"/>
  <c r="BL532" i="3" s="1"/>
  <c r="BQ530" i="3"/>
  <c r="BQ528" i="3"/>
  <c r="BL528" i="3" s="1"/>
  <c r="AZ528" i="3" s="1"/>
  <c r="BQ526" i="3"/>
  <c r="BL526" i="3" s="1"/>
  <c r="BQ524" i="3"/>
  <c r="BQ522" i="3"/>
  <c r="BQ520" i="3"/>
  <c r="BQ518" i="3"/>
  <c r="BQ516" i="3"/>
  <c r="BL516" i="3" s="1"/>
  <c r="BQ514" i="3"/>
  <c r="BQ512" i="3"/>
  <c r="BL512" i="3" s="1"/>
  <c r="AZ512" i="3" s="1"/>
  <c r="BQ510" i="3"/>
  <c r="BL510" i="3" s="1"/>
  <c r="BQ508" i="3"/>
  <c r="AC506" i="3"/>
  <c r="G506" i="3" s="1"/>
  <c r="BQ506" i="3"/>
  <c r="G502" i="3"/>
  <c r="G498" i="3"/>
  <c r="BQ504" i="3"/>
  <c r="BL504" i="3" s="1"/>
  <c r="BQ502" i="3"/>
  <c r="BL502" i="3" s="1"/>
  <c r="BQ500" i="3"/>
  <c r="BL500" i="3" s="1"/>
  <c r="BQ498" i="3"/>
  <c r="BQ496" i="3"/>
  <c r="AC494" i="3"/>
  <c r="BQ494" i="3"/>
  <c r="BL493" i="3"/>
  <c r="G492" i="3"/>
  <c r="G488" i="3"/>
  <c r="G484" i="3"/>
  <c r="BQ492" i="3"/>
  <c r="BQ490" i="3"/>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F42" i="33"/>
  <c r="AA42" i="33" s="1"/>
  <c r="H28" i="34"/>
  <c r="AB28" i="34" s="1"/>
  <c r="F22" i="36"/>
  <c r="S22" i="36" s="1"/>
  <c r="H35" i="34"/>
  <c r="U35" i="34" s="1"/>
  <c r="F41" i="34"/>
  <c r="S41" i="34" s="1"/>
  <c r="H41" i="34"/>
  <c r="U41" i="34" s="1"/>
  <c r="J41" i="34"/>
  <c r="W41" i="34" s="1"/>
  <c r="F10" i="35"/>
  <c r="AA10" i="35" s="1"/>
  <c r="H23" i="37"/>
  <c r="AB23" i="37" s="1"/>
  <c r="J32" i="37"/>
  <c r="AC32" i="37" s="1"/>
  <c r="F36" i="37"/>
  <c r="S36" i="37" s="1"/>
  <c r="F37" i="37"/>
  <c r="AA37" i="37" s="1"/>
  <c r="AC41" i="34"/>
  <c r="H42" i="33"/>
  <c r="U42" i="33" s="1"/>
  <c r="J43" i="33"/>
  <c r="AC43" i="33" s="1"/>
  <c r="J23" i="37"/>
  <c r="AC23" i="37" s="1"/>
  <c r="F17" i="37"/>
  <c r="AA17" i="37" s="1"/>
  <c r="AB43" i="33"/>
  <c r="D3" i="21"/>
  <c r="AC33" i="36"/>
  <c r="W23" i="35"/>
  <c r="S27" i="37"/>
  <c r="AB8" i="34"/>
  <c r="AC45" i="33"/>
  <c r="AC33" i="21"/>
  <c r="F43" i="33"/>
  <c r="AA43" i="33" s="1"/>
  <c r="F37" i="21"/>
  <c r="S37" i="21"/>
  <c r="J37" i="21"/>
  <c r="W37" i="21" s="1"/>
  <c r="H19" i="34"/>
  <c r="AB19" i="34" s="1"/>
  <c r="J10" i="37"/>
  <c r="AC10" i="37" s="1"/>
  <c r="F36" i="35"/>
  <c r="S36" i="35"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J15" i="37"/>
  <c r="W15" i="37" s="1"/>
  <c r="J11" i="37"/>
  <c r="AC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F37" i="46"/>
  <c r="U43" i="21"/>
  <c r="AA13" i="40"/>
  <c r="F77" i="40"/>
  <c r="G77" i="40" s="1"/>
  <c r="H77" i="40" s="1"/>
  <c r="I77" i="40" s="1"/>
  <c r="J77" i="40" s="1"/>
  <c r="K77" i="40" s="1"/>
  <c r="L77" i="40" s="1"/>
  <c r="M77" i="40" s="1"/>
  <c r="R16" i="4"/>
  <c r="D3" i="35"/>
  <c r="G4" i="4"/>
  <c r="J16" i="35"/>
  <c r="AC16" i="35" s="1"/>
  <c r="AC26" i="36"/>
  <c r="H13" i="39"/>
  <c r="AB13" i="39" s="1"/>
  <c r="F13" i="39"/>
  <c r="S13" i="39" s="1"/>
  <c r="J13" i="39"/>
  <c r="AC13" i="39" s="1"/>
  <c r="AA36" i="35"/>
  <c r="H11" i="37"/>
  <c r="AB11" i="37" s="1"/>
  <c r="AA36" i="37"/>
  <c r="U32" i="33"/>
  <c r="AC29" i="33"/>
  <c r="AB45" i="34"/>
  <c r="AB35" i="35"/>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S32" i="33" s="1"/>
  <c r="J32" i="33"/>
  <c r="AC32" i="33" s="1"/>
  <c r="F35" i="33"/>
  <c r="S35" i="33" s="1"/>
  <c r="AB39" i="34"/>
  <c r="F11" i="34"/>
  <c r="S11" i="34" s="1"/>
  <c r="E80" i="34"/>
  <c r="F80" i="34" s="1"/>
  <c r="G80" i="34" s="1"/>
  <c r="H17" i="34"/>
  <c r="AB17" i="34" s="1"/>
  <c r="AB28" i="35"/>
  <c r="U28" i="35"/>
  <c r="J13" i="33"/>
  <c r="W13" i="33" s="1"/>
  <c r="H13" i="33"/>
  <c r="U13" i="33" s="1"/>
  <c r="H29" i="33"/>
  <c r="AB29" i="33" s="1"/>
  <c r="F29" i="33"/>
  <c r="AA29" i="33" s="1"/>
  <c r="H12" i="34"/>
  <c r="AB12" i="34" s="1"/>
  <c r="F12" i="34"/>
  <c r="S12" i="34" s="1"/>
  <c r="J14" i="34"/>
  <c r="W14" i="34"/>
  <c r="F14" i="34"/>
  <c r="S14" i="34" s="1"/>
  <c r="H14" i="34"/>
  <c r="U14" i="34" s="1"/>
  <c r="J30" i="34"/>
  <c r="W30" i="34" s="1"/>
  <c r="H32" i="34"/>
  <c r="AB32" i="34" s="1"/>
  <c r="F32" i="34"/>
  <c r="AA32" i="34" s="1"/>
  <c r="J32" i="34"/>
  <c r="W32" i="34" s="1"/>
  <c r="H46" i="34"/>
  <c r="AB46" i="34" s="1"/>
  <c r="F46" i="34"/>
  <c r="AA46" i="34" s="1"/>
  <c r="J11" i="35"/>
  <c r="AC11" i="35" s="1"/>
  <c r="F96" i="37"/>
  <c r="H32" i="37"/>
  <c r="AB32" i="37" s="1"/>
  <c r="F19" i="39"/>
  <c r="S19" i="39" s="1"/>
  <c r="H19" i="39"/>
  <c r="AB19" i="39" s="1"/>
  <c r="J19" i="39"/>
  <c r="W19" i="39" s="1"/>
  <c r="F43" i="39"/>
  <c r="H43" i="39"/>
  <c r="U43" i="39" s="1"/>
  <c r="J43" i="39"/>
  <c r="F99" i="37"/>
  <c r="AC27" i="37"/>
  <c r="U25" i="35"/>
  <c r="U31" i="34"/>
  <c r="AB29" i="35"/>
  <c r="U29" i="35"/>
  <c r="W19" i="33"/>
  <c r="U43" i="34"/>
  <c r="AB43" i="34"/>
  <c r="AA35" i="37"/>
  <c r="U38" i="21"/>
  <c r="BL571" i="3"/>
  <c r="BA571"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L567" i="3"/>
  <c r="BA567" i="3"/>
  <c r="BL566" i="3"/>
  <c r="BL565" i="3"/>
  <c r="AZ565" i="3" s="1"/>
  <c r="BA564" i="3"/>
  <c r="BA563" i="3"/>
  <c r="BL554" i="3"/>
  <c r="AZ554" i="3" s="1"/>
  <c r="BA552" i="3"/>
  <c r="AZ552" i="3" s="1"/>
  <c r="BL549" i="3"/>
  <c r="BA549" i="3"/>
  <c r="BL548" i="3"/>
  <c r="BA548" i="3"/>
  <c r="BL547" i="3"/>
  <c r="BA547" i="3"/>
  <c r="BA539" i="3"/>
  <c r="AZ539" i="3" s="1"/>
  <c r="BA538" i="3"/>
  <c r="BL537" i="3"/>
  <c r="BA537" i="3"/>
  <c r="BL536" i="3"/>
  <c r="BA535" i="3"/>
  <c r="BA534" i="3"/>
  <c r="BL531" i="3"/>
  <c r="AZ531" i="3" s="1"/>
  <c r="BL530" i="3"/>
  <c r="BA530" i="3"/>
  <c r="BL529" i="3"/>
  <c r="BA529" i="3"/>
  <c r="BA527" i="3"/>
  <c r="AZ527" i="3" s="1"/>
  <c r="BA526" i="3"/>
  <c r="BL523" i="3"/>
  <c r="BA523" i="3"/>
  <c r="BL522" i="3"/>
  <c r="BA522" i="3"/>
  <c r="BL521" i="3"/>
  <c r="BA519" i="3"/>
  <c r="AZ519" i="3" s="1"/>
  <c r="BL518" i="3"/>
  <c r="BL517" i="3"/>
  <c r="BA517" i="3"/>
  <c r="BL515" i="3"/>
  <c r="BA515" i="3"/>
  <c r="BA514" i="3"/>
  <c r="BL513" i="3"/>
  <c r="BA513" i="3"/>
  <c r="BA510" i="3"/>
  <c r="BL509" i="3"/>
  <c r="AZ509" i="3" s="1"/>
  <c r="BL507" i="3"/>
  <c r="BA507" i="3"/>
  <c r="BL506" i="3"/>
  <c r="BA506" i="3"/>
  <c r="BL505" i="3"/>
  <c r="BA504" i="3"/>
  <c r="BA503" i="3"/>
  <c r="BA500" i="3"/>
  <c r="BL499" i="3"/>
  <c r="BA499" i="3"/>
  <c r="BL498" i="3"/>
  <c r="BL497" i="3"/>
  <c r="AZ497" i="3" s="1"/>
  <c r="BL496" i="3"/>
  <c r="BA496" i="3"/>
  <c r="BA495" i="3"/>
  <c r="BL494" i="3"/>
  <c r="BA494" i="3"/>
  <c r="G494" i="3"/>
  <c r="BA491" i="3"/>
  <c r="BL490" i="3"/>
  <c r="BA490" i="3"/>
  <c r="BL489" i="3"/>
  <c r="BA489" i="3"/>
  <c r="BL487" i="3"/>
  <c r="AZ487" i="3" s="1"/>
  <c r="BL486" i="3"/>
  <c r="BA486" i="3"/>
  <c r="BA485" i="3"/>
  <c r="BA483" i="3"/>
  <c r="AZ483" i="3" s="1"/>
  <c r="BA482" i="3"/>
  <c r="BL481" i="3"/>
  <c r="BA481" i="3"/>
  <c r="BL19" i="3"/>
  <c r="BA18" i="3"/>
  <c r="F114" i="34"/>
  <c r="G114" i="34" s="1"/>
  <c r="H114" i="34" s="1"/>
  <c r="I114" i="34" s="1"/>
  <c r="J114" i="34" s="1"/>
  <c r="K114" i="34" s="1"/>
  <c r="L114" i="34" s="1"/>
  <c r="M114" i="34" s="1"/>
  <c r="H38" i="34"/>
  <c r="U38" i="34"/>
  <c r="H30" i="40"/>
  <c r="AB30" i="40" s="1"/>
  <c r="G99" i="40"/>
  <c r="H99" i="40" s="1"/>
  <c r="I99" i="40" s="1"/>
  <c r="J99" i="40" s="1"/>
  <c r="K99" i="40" s="1"/>
  <c r="L99" i="40" s="1"/>
  <c r="M99" i="40" s="1"/>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AB16" i="39" s="1"/>
  <c r="J16" i="39"/>
  <c r="AC16" i="39" s="1"/>
  <c r="F23" i="39"/>
  <c r="AA23"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U37" i="34" s="1"/>
  <c r="F15" i="39"/>
  <c r="H15" i="39"/>
  <c r="AB15" i="39" s="1"/>
  <c r="U15" i="39"/>
  <c r="J15" i="39"/>
  <c r="W15" i="39" s="1"/>
  <c r="AC15" i="39"/>
  <c r="H25" i="39"/>
  <c r="U25" i="39" s="1"/>
  <c r="J25" i="39"/>
  <c r="AC25" i="39" s="1"/>
  <c r="F25" i="39"/>
  <c r="AA25" i="39" s="1"/>
  <c r="F45" i="39"/>
  <c r="H45" i="39"/>
  <c r="U45" i="39" s="1"/>
  <c r="J45" i="39"/>
  <c r="AC45" i="39" s="1"/>
  <c r="F47" i="39"/>
  <c r="AA47" i="39" s="1"/>
  <c r="H47" i="39"/>
  <c r="AB47" i="39" s="1"/>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J35" i="40"/>
  <c r="AC35" i="40" s="1"/>
  <c r="J38" i="39"/>
  <c r="W38" i="39" s="1"/>
  <c r="H38" i="39"/>
  <c r="U38" i="39"/>
  <c r="J16" i="40"/>
  <c r="W16" i="40" s="1"/>
  <c r="J14" i="40"/>
  <c r="W14" i="40" s="1"/>
  <c r="H42" i="40"/>
  <c r="AB42" i="40" s="1"/>
  <c r="H40" i="40"/>
  <c r="U40" i="40" s="1"/>
  <c r="H34" i="40"/>
  <c r="B41" i="1"/>
  <c r="J42" i="40"/>
  <c r="AC42" i="40" s="1"/>
  <c r="J40" i="40"/>
  <c r="W40" i="40" s="1"/>
  <c r="J34" i="40"/>
  <c r="AC34" i="40" s="1"/>
  <c r="H16" i="40"/>
  <c r="U16" i="40" s="1"/>
  <c r="H14" i="40"/>
  <c r="AB14" i="40" s="1"/>
  <c r="F32" i="40"/>
  <c r="F61" i="46"/>
  <c r="F72" i="46"/>
  <c r="H74" i="46" s="1"/>
  <c r="J13" i="40"/>
  <c r="W13" i="40" s="1"/>
  <c r="AC14" i="40"/>
  <c r="J23" i="40"/>
  <c r="W23" i="40" s="1"/>
  <c r="F23" i="40"/>
  <c r="S23" i="40" s="1"/>
  <c r="AC15" i="40"/>
  <c r="W14" i="39"/>
  <c r="H20" i="35"/>
  <c r="U20" i="35" s="1"/>
  <c r="F20" i="35"/>
  <c r="S20" i="35" s="1"/>
  <c r="H15" i="34"/>
  <c r="J15" i="34"/>
  <c r="AC15" i="34" s="1"/>
  <c r="H41" i="33"/>
  <c r="U41" i="33" s="1"/>
  <c r="F121" i="33"/>
  <c r="G121" i="33" s="1"/>
  <c r="H121" i="33" s="1"/>
  <c r="I121" i="33" s="1"/>
  <c r="J121" i="33" s="1"/>
  <c r="K121" i="33" s="1"/>
  <c r="L121" i="33" s="1"/>
  <c r="M121" i="33" s="1"/>
  <c r="F30" i="40"/>
  <c r="AA30" i="40" s="1"/>
  <c r="AB38" i="34"/>
  <c r="J29" i="39"/>
  <c r="AB21" i="39"/>
  <c r="U21" i="39"/>
  <c r="AB17" i="39"/>
  <c r="AB33" i="36"/>
  <c r="AA11" i="36"/>
  <c r="G99" i="37"/>
  <c r="H99" i="37" s="1"/>
  <c r="I99" i="37" s="1"/>
  <c r="J99" i="37" s="1"/>
  <c r="K99" i="37" s="1"/>
  <c r="L99" i="37" s="1"/>
  <c r="M99" i="37" s="1"/>
  <c r="F33" i="37"/>
  <c r="S33" i="37" s="1"/>
  <c r="U46" i="34"/>
  <c r="AC30" i="34"/>
  <c r="AA14" i="34"/>
  <c r="W12" i="34"/>
  <c r="U29" i="33"/>
  <c r="H15" i="33"/>
  <c r="U15" i="33" s="1"/>
  <c r="AA11" i="33"/>
  <c r="AA40" i="21"/>
  <c r="U17" i="21"/>
  <c r="AA13" i="39"/>
  <c r="W34" i="40"/>
  <c r="H25" i="40"/>
  <c r="AB25" i="40" s="1"/>
  <c r="F93" i="40"/>
  <c r="G93" i="40" s="1"/>
  <c r="J37" i="34"/>
  <c r="AC37" i="34" s="1"/>
  <c r="J36" i="33"/>
  <c r="W36" i="33" s="1"/>
  <c r="H23" i="39"/>
  <c r="AB23" i="39" s="1"/>
  <c r="J23" i="39"/>
  <c r="S16" i="39"/>
  <c r="AA41" i="33"/>
  <c r="J34" i="33"/>
  <c r="AC34" i="33" s="1"/>
  <c r="U30" i="40"/>
  <c r="W29" i="35"/>
  <c r="S39" i="39"/>
  <c r="AA33" i="39"/>
  <c r="S33" i="39"/>
  <c r="U11" i="36"/>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s="1"/>
  <c r="S46" i="34"/>
  <c r="U32" i="34"/>
  <c r="AC14" i="34"/>
  <c r="AB13" i="33"/>
  <c r="F17" i="34"/>
  <c r="AA17" i="34" s="1"/>
  <c r="J17" i="34"/>
  <c r="W17" i="34" s="1"/>
  <c r="AC17" i="34"/>
  <c r="H11" i="34"/>
  <c r="AB11" i="34" s="1"/>
  <c r="J35" i="33"/>
  <c r="H11" i="33"/>
  <c r="U11" i="33" s="1"/>
  <c r="H10" i="33"/>
  <c r="U10" i="33" s="1"/>
  <c r="J10" i="33"/>
  <c r="W10" i="33" s="1"/>
  <c r="U40" i="21"/>
  <c r="U11" i="37"/>
  <c r="U13" i="39"/>
  <c r="J11" i="34"/>
  <c r="F25" i="40"/>
  <c r="AA25" i="40" s="1"/>
  <c r="J11" i="33"/>
  <c r="W11" i="33"/>
  <c r="H33" i="37"/>
  <c r="AB33" i="37" s="1"/>
  <c r="W15" i="34"/>
  <c r="B11" i="1"/>
  <c r="E11" i="1" s="1"/>
  <c r="K11" i="1"/>
  <c r="M11" i="1" s="1"/>
  <c r="B9" i="1"/>
  <c r="E9" i="1" s="1"/>
  <c r="K9" i="1"/>
  <c r="M9" i="1" s="1"/>
  <c r="B7" i="1"/>
  <c r="E7" i="1" s="1"/>
  <c r="K7" i="1"/>
  <c r="M7" i="1" s="1"/>
  <c r="AC25" i="36"/>
  <c r="S8" i="36"/>
  <c r="AA28" i="36"/>
  <c r="U25" i="36"/>
  <c r="H20" i="36"/>
  <c r="F68" i="36"/>
  <c r="G68" i="36" s="1"/>
  <c r="J20" i="36"/>
  <c r="AC20" i="36" s="1"/>
  <c r="F20" i="36"/>
  <c r="S20" i="36" s="1"/>
  <c r="F62" i="36"/>
  <c r="G62" i="36" s="1"/>
  <c r="J14" i="36"/>
  <c r="AC14" i="36" s="1"/>
  <c r="H14" i="36"/>
  <c r="AB14" i="36" s="1"/>
  <c r="F14" i="36"/>
  <c r="AA14" i="36" s="1"/>
  <c r="U27" i="36"/>
  <c r="U32" i="36"/>
  <c r="U9" i="36"/>
  <c r="S33" i="36"/>
  <c r="AA27" i="36"/>
  <c r="S16" i="36"/>
  <c r="S29" i="36"/>
  <c r="AC33" i="35"/>
  <c r="AA13" i="35"/>
  <c r="AC9" i="35"/>
  <c r="S8" i="35"/>
  <c r="U33" i="35"/>
  <c r="W20" i="35"/>
  <c r="S23" i="35"/>
  <c r="S16" i="35"/>
  <c r="AB14" i="35"/>
  <c r="U9" i="35"/>
  <c r="AC18" i="35"/>
  <c r="W18" i="35"/>
  <c r="U18" i="35"/>
  <c r="AB18" i="35"/>
  <c r="S30" i="35"/>
  <c r="AA35" i="35"/>
  <c r="AB30" i="35"/>
  <c r="S27" i="35"/>
  <c r="S28" i="35"/>
  <c r="J26" i="35"/>
  <c r="F26" i="35"/>
  <c r="AA26" i="35" s="1"/>
  <c r="H26" i="35"/>
  <c r="U26" i="35" s="1"/>
  <c r="AB9" i="37"/>
  <c r="W12" i="37"/>
  <c r="AA9" i="37"/>
  <c r="S17" i="37"/>
  <c r="W28" i="37"/>
  <c r="AB37" i="37"/>
  <c r="AA31" i="37"/>
  <c r="AA33" i="37"/>
  <c r="U32" i="37"/>
  <c r="AA32" i="37"/>
  <c r="J33" i="37"/>
  <c r="W33" i="37" s="1"/>
  <c r="S29" i="37"/>
  <c r="J19" i="37"/>
  <c r="AC19" i="37" s="1"/>
  <c r="G75" i="37"/>
  <c r="F19" i="37"/>
  <c r="AA19" i="37" s="1"/>
  <c r="H19" i="37"/>
  <c r="U19" i="37" s="1"/>
  <c r="J17" i="37"/>
  <c r="AC17" i="37" s="1"/>
  <c r="S15" i="37"/>
  <c r="AC21" i="37"/>
  <c r="W21" i="37"/>
  <c r="AC9" i="37"/>
  <c r="W32" i="37"/>
  <c r="U35" i="37"/>
  <c r="U8" i="37"/>
  <c r="AB21" i="37"/>
  <c r="U21" i="37"/>
  <c r="S37" i="37"/>
  <c r="S40" i="37"/>
  <c r="AA11" i="37"/>
  <c r="W46" i="34"/>
  <c r="AC45" i="34"/>
  <c r="AA40" i="34"/>
  <c r="W33" i="34"/>
  <c r="AB33" i="34"/>
  <c r="AA12" i="34"/>
  <c r="AC35" i="34"/>
  <c r="AA33" i="34"/>
  <c r="U44" i="34"/>
  <c r="U34" i="34"/>
  <c r="U28" i="34"/>
  <c r="J25" i="34"/>
  <c r="H25" i="34"/>
  <c r="F25" i="34"/>
  <c r="S25" i="34" s="1"/>
  <c r="J23" i="34"/>
  <c r="AC23" i="34" s="1"/>
  <c r="F86" i="34"/>
  <c r="G86" i="34" s="1"/>
  <c r="F23" i="34"/>
  <c r="AA23" i="34" s="1"/>
  <c r="H23" i="34"/>
  <c r="U23" i="34" s="1"/>
  <c r="AC40" i="34"/>
  <c r="W44" i="34"/>
  <c r="W19" i="34"/>
  <c r="W29" i="34"/>
  <c r="AC21" i="34"/>
  <c r="W21" i="34"/>
  <c r="AB21" i="34"/>
  <c r="U21" i="34"/>
  <c r="U27" i="34"/>
  <c r="U19" i="34"/>
  <c r="AB41" i="34"/>
  <c r="S13" i="34"/>
  <c r="AA41" i="34"/>
  <c r="S9" i="34"/>
  <c r="U39" i="33"/>
  <c r="U37" i="33"/>
  <c r="AC12" i="33"/>
  <c r="AB41" i="33"/>
  <c r="S29" i="33"/>
  <c r="W31" i="33"/>
  <c r="W43" i="33"/>
  <c r="U46" i="33"/>
  <c r="W39" i="33"/>
  <c r="U35" i="33"/>
  <c r="W26" i="33"/>
  <c r="H25" i="33"/>
  <c r="U25" i="33" s="1"/>
  <c r="AB25" i="33"/>
  <c r="J25" i="33"/>
  <c r="AC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AA17" i="33" s="1"/>
  <c r="H17" i="33"/>
  <c r="J17" i="33"/>
  <c r="W17" i="33" s="1"/>
  <c r="AC11" i="33"/>
  <c r="S14" i="33"/>
  <c r="AC21" i="33"/>
  <c r="W21" i="33"/>
  <c r="W14" i="33"/>
  <c r="AB21" i="33"/>
  <c r="U21" i="33"/>
  <c r="AA21" i="33"/>
  <c r="S21" i="33"/>
  <c r="AA36" i="33"/>
  <c r="S44" i="21"/>
  <c r="W39" i="21"/>
  <c r="AC34" i="21"/>
  <c r="W32" i="21"/>
  <c r="U35" i="21"/>
  <c r="W43" i="21"/>
  <c r="AA37" i="21"/>
  <c r="S42" i="21"/>
  <c r="AB37" i="21"/>
  <c r="AB32" i="21"/>
  <c r="W28" i="21"/>
  <c r="AC46" i="21"/>
  <c r="AC26" i="21"/>
  <c r="F85" i="21"/>
  <c r="G85" i="21" s="1"/>
  <c r="J23" i="21"/>
  <c r="AC23" i="21" s="1"/>
  <c r="W23" i="21"/>
  <c r="F23" i="21"/>
  <c r="AA23" i="21" s="1"/>
  <c r="H23" i="21"/>
  <c r="AA17" i="21"/>
  <c r="W17" i="21"/>
  <c r="F15" i="21"/>
  <c r="F77" i="21"/>
  <c r="G77" i="21" s="1"/>
  <c r="J15" i="21"/>
  <c r="AC15" i="21" s="1"/>
  <c r="H15" i="21"/>
  <c r="AB15" i="21" s="1"/>
  <c r="AC11" i="21"/>
  <c r="AB11" i="21"/>
  <c r="AA11" i="21"/>
  <c r="AC21" i="21"/>
  <c r="W21" i="21"/>
  <c r="AC19" i="21"/>
  <c r="W10" i="21"/>
  <c r="AC38" i="21"/>
  <c r="AB21" i="21"/>
  <c r="U21" i="21"/>
  <c r="AB29" i="21"/>
  <c r="AA31" i="21"/>
  <c r="W33" i="40"/>
  <c r="U33" i="40"/>
  <c r="U15" i="40"/>
  <c r="S14" i="40"/>
  <c r="S15" i="40"/>
  <c r="AB13" i="40"/>
  <c r="S16" i="40"/>
  <c r="W11" i="40"/>
  <c r="AA21" i="40"/>
  <c r="U21" i="40"/>
  <c r="W25" i="40"/>
  <c r="U25" i="40"/>
  <c r="U35" i="40"/>
  <c r="F37" i="40"/>
  <c r="J37" i="40"/>
  <c r="AC37" i="40" s="1"/>
  <c r="H37" i="40"/>
  <c r="G112" i="40"/>
  <c r="H112" i="40" s="1"/>
  <c r="I112" i="40" s="1"/>
  <c r="J112" i="40" s="1"/>
  <c r="K112" i="40" s="1"/>
  <c r="L112" i="40" s="1"/>
  <c r="M112" i="40" s="1"/>
  <c r="F39" i="40"/>
  <c r="AA39" i="40" s="1"/>
  <c r="S38" i="40"/>
  <c r="H39" i="40"/>
  <c r="AB39" i="40" s="1"/>
  <c r="J39" i="40"/>
  <c r="AC39" i="40" s="1"/>
  <c r="W38" i="40"/>
  <c r="F29" i="40"/>
  <c r="S29" i="40" s="1"/>
  <c r="H29" i="40"/>
  <c r="U29" i="40" s="1"/>
  <c r="J29" i="40"/>
  <c r="AC29" i="40" s="1"/>
  <c r="F97" i="40"/>
  <c r="G97" i="40" s="1"/>
  <c r="H97" i="40" s="1"/>
  <c r="I97" i="40" s="1"/>
  <c r="J97" i="40" s="1"/>
  <c r="K97" i="40" s="1"/>
  <c r="L97" i="40" s="1"/>
  <c r="M97" i="40" s="1"/>
  <c r="F87" i="40"/>
  <c r="G87" i="40" s="1"/>
  <c r="F19" i="40"/>
  <c r="AA19" i="40" s="1"/>
  <c r="H19" i="40"/>
  <c r="U19" i="40" s="1"/>
  <c r="J19" i="40"/>
  <c r="W19" i="40" s="1"/>
  <c r="W17" i="40"/>
  <c r="AC17" i="40"/>
  <c r="F17" i="40"/>
  <c r="AA17" i="40" s="1"/>
  <c r="H17" i="40"/>
  <c r="U17" i="40" s="1"/>
  <c r="W21" i="40"/>
  <c r="AB40" i="40"/>
  <c r="U10" i="40"/>
  <c r="U27" i="40"/>
  <c r="AB27" i="40"/>
  <c r="AC44" i="39"/>
  <c r="W13" i="39"/>
  <c r="S11" i="39"/>
  <c r="AB45" i="39"/>
  <c r="S27" i="39"/>
  <c r="AA21" i="39"/>
  <c r="AC19" i="39"/>
  <c r="S29" i="39"/>
  <c r="AC21" i="39"/>
  <c r="S14" i="39"/>
  <c r="U11" i="39"/>
  <c r="U41" i="39"/>
  <c r="AB38" i="39"/>
  <c r="U31" i="39"/>
  <c r="AB31" i="39"/>
  <c r="S25" i="39"/>
  <c r="S38" i="39"/>
  <c r="S22" i="31"/>
  <c r="B20" i="31" s="1"/>
  <c r="D96" i="9"/>
  <c r="BA16" i="3"/>
  <c r="BA17" i="3"/>
  <c r="AZ17" i="3" s="1"/>
  <c r="F3" i="35"/>
  <c r="K1" i="43"/>
  <c r="K1" i="12"/>
  <c r="G1" i="44"/>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7" i="46"/>
  <c r="AA12" i="36"/>
  <c r="W11" i="35"/>
  <c r="S14" i="37"/>
  <c r="C24" i="9"/>
  <c r="C25" i="9"/>
  <c r="B46" i="50"/>
  <c r="B4" i="63" s="1"/>
  <c r="H85" i="46"/>
  <c r="H88"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W8" i="36"/>
  <c r="AC30" i="35"/>
  <c r="W32" i="35"/>
  <c r="S24" i="35"/>
  <c r="AA33" i="35"/>
  <c r="U32" i="35"/>
  <c r="W22" i="35"/>
  <c r="S32" i="35"/>
  <c r="W35" i="37"/>
  <c r="AC33" i="37"/>
  <c r="AC15" i="37"/>
  <c r="S12" i="37"/>
  <c r="W38" i="37"/>
  <c r="W36" i="37"/>
  <c r="U26" i="37"/>
  <c r="AB28" i="37"/>
  <c r="S28" i="37"/>
  <c r="U38" i="37"/>
  <c r="AA31" i="34"/>
  <c r="AB35" i="34"/>
  <c r="W47" i="34"/>
  <c r="AB47" i="34"/>
  <c r="AB13" i="34"/>
  <c r="AC13" i="34"/>
  <c r="S47" i="34"/>
  <c r="AA29" i="34"/>
  <c r="S19" i="34"/>
  <c r="S8" i="34"/>
  <c r="AA19" i="33"/>
  <c r="S43" i="33"/>
  <c r="AB42" i="33"/>
  <c r="AB14" i="33"/>
  <c r="S26" i="33"/>
  <c r="AB12" i="33"/>
  <c r="S15" i="33"/>
  <c r="S9" i="33"/>
  <c r="S39" i="21"/>
  <c r="AB25" i="21"/>
  <c r="W25" i="21"/>
  <c r="AA25" i="21"/>
  <c r="AC37" i="21"/>
  <c r="AA29" i="21"/>
  <c r="U27" i="21"/>
  <c r="W31" i="21"/>
  <c r="S27" i="21"/>
  <c r="AC27" i="21"/>
  <c r="W29" i="21"/>
  <c r="G95" i="40"/>
  <c r="J27" i="40"/>
  <c r="W27" i="40" s="1"/>
  <c r="W37" i="40"/>
  <c r="W30" i="40"/>
  <c r="S34" i="40"/>
  <c r="U38" i="40"/>
  <c r="S42" i="40"/>
  <c r="G104" i="39"/>
  <c r="J31" i="39"/>
  <c r="W31" i="39" s="1"/>
  <c r="W41" i="39"/>
  <c r="AB43" i="39"/>
  <c r="AB33" i="39"/>
  <c r="AC46" i="39"/>
  <c r="S34" i="39"/>
  <c r="W42" i="39"/>
  <c r="W36" i="39"/>
  <c r="AC37" i="39"/>
  <c r="W16"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S26" i="35"/>
  <c r="AB26" i="35"/>
  <c r="W26" i="35"/>
  <c r="AC26" i="35"/>
  <c r="W19" i="37"/>
  <c r="U25" i="34"/>
  <c r="AB25" i="34"/>
  <c r="AA25" i="34"/>
  <c r="W25" i="34"/>
  <c r="AC25" i="34"/>
  <c r="S25" i="33"/>
  <c r="AB23" i="33"/>
  <c r="AC23" i="33"/>
  <c r="AC17" i="33"/>
  <c r="U17" i="33"/>
  <c r="AB17" i="33"/>
  <c r="U23" i="21"/>
  <c r="AB23" i="21"/>
  <c r="W39" i="40"/>
  <c r="S39" i="40"/>
  <c r="AT6" i="3"/>
  <c r="E4" i="4"/>
  <c r="B21" i="55" s="1"/>
  <c r="B72" i="63" s="1"/>
  <c r="G66" i="36"/>
  <c r="J18" i="36"/>
  <c r="AC18" i="36" s="1"/>
  <c r="L20" i="6"/>
  <c r="C45" i="9"/>
  <c r="B7" i="66" s="1"/>
  <c r="C44" i="9"/>
  <c r="B6" i="66" s="1"/>
  <c r="K29" i="9"/>
  <c r="K30" i="9"/>
  <c r="N76" i="9"/>
  <c r="C46" i="9"/>
  <c r="B8" i="66"/>
  <c r="H61" i="46"/>
  <c r="J21" i="46"/>
  <c r="F38" i="46"/>
  <c r="F41" i="46"/>
  <c r="F40" i="46"/>
  <c r="H117" i="46"/>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14" i="67"/>
  <c r="F11" i="67"/>
  <c r="C20" i="9"/>
  <c r="E8" i="67"/>
  <c r="F45" i="44"/>
  <c r="M29" i="15"/>
  <c r="M11" i="44"/>
  <c r="N5" i="65"/>
  <c r="B13" i="67"/>
  <c r="F10" i="67"/>
  <c r="M8" i="15"/>
  <c r="F10" i="44"/>
  <c r="L49" i="44"/>
  <c r="E9" i="67"/>
  <c r="C19" i="9"/>
  <c r="C21" i="9"/>
  <c r="M31" i="44"/>
  <c r="E10" i="67"/>
  <c r="D19" i="9"/>
  <c r="F8" i="67"/>
  <c r="M25" i="44"/>
  <c r="F15" i="44"/>
  <c r="B10" i="67"/>
  <c r="F13" i="15"/>
  <c r="F9" i="67"/>
  <c r="B12" i="67"/>
  <c r="N7" i="65"/>
  <c r="F40" i="44"/>
  <c r="D20" i="9"/>
  <c r="F36" i="15"/>
  <c r="F13" i="67"/>
  <c r="M28" i="15"/>
  <c r="D21" i="9"/>
  <c r="B8" i="67"/>
  <c r="F8" i="44"/>
  <c r="M28" i="44"/>
  <c r="N6" i="65"/>
  <c r="F14" i="67"/>
  <c r="F28" i="44"/>
  <c r="E13" i="67"/>
  <c r="E11" i="67"/>
  <c r="F12" i="67"/>
  <c r="E12" i="67"/>
  <c r="L47" i="15"/>
  <c r="N4" i="65"/>
  <c r="N3" i="65"/>
  <c r="B9" i="67"/>
  <c r="B11" i="67"/>
  <c r="J4" i="65"/>
  <c r="E14" i="67"/>
  <c r="F43" i="15"/>
  <c r="F9" i="15"/>
  <c r="M26" i="44"/>
  <c r="F18" i="44"/>
  <c r="AB34" i="33" l="1"/>
  <c r="U19" i="39"/>
  <c r="U14" i="40"/>
  <c r="AZ507" i="3"/>
  <c r="AZ515" i="3"/>
  <c r="AZ547" i="3"/>
  <c r="AZ378" i="3"/>
  <c r="AZ493" i="3"/>
  <c r="W45" i="21"/>
  <c r="AC45" i="21"/>
  <c r="U36" i="34"/>
  <c r="AB36" i="34"/>
  <c r="AA10" i="21"/>
  <c r="S10" i="21"/>
  <c r="H28" i="33"/>
  <c r="J28" i="33"/>
  <c r="AC28" i="33" s="1"/>
  <c r="H13" i="37"/>
  <c r="F13" i="37"/>
  <c r="J13" i="37"/>
  <c r="AA23" i="40"/>
  <c r="U11" i="34"/>
  <c r="AC15" i="33"/>
  <c r="AC33" i="39"/>
  <c r="AA11" i="34"/>
  <c r="S47" i="39"/>
  <c r="AA32" i="21"/>
  <c r="S32" i="21"/>
  <c r="F12" i="21"/>
  <c r="J12" i="21"/>
  <c r="AZ16" i="3"/>
  <c r="U23" i="39"/>
  <c r="F28" i="6"/>
  <c r="AB19" i="40"/>
  <c r="S23" i="34"/>
  <c r="AB19" i="37"/>
  <c r="W14" i="36"/>
  <c r="W29" i="40"/>
  <c r="AB23" i="34"/>
  <c r="W42" i="40"/>
  <c r="AA23" i="33"/>
  <c r="S19" i="37"/>
  <c r="AA20" i="36"/>
  <c r="U33" i="37"/>
  <c r="AC17" i="39"/>
  <c r="S30" i="40"/>
  <c r="AA27" i="34"/>
  <c r="W20" i="36"/>
  <c r="AB44" i="39"/>
  <c r="AC16" i="40"/>
  <c r="U17" i="34"/>
  <c r="AA29" i="35"/>
  <c r="S33" i="40"/>
  <c r="AB34" i="21"/>
  <c r="AB17" i="37"/>
  <c r="AA38" i="37"/>
  <c r="F28" i="33"/>
  <c r="S28" i="33" s="1"/>
  <c r="F13" i="21"/>
  <c r="J13" i="21"/>
  <c r="F45" i="21"/>
  <c r="AA45" i="21" s="1"/>
  <c r="H45" i="21"/>
  <c r="BL555" i="3"/>
  <c r="BL495" i="3"/>
  <c r="AZ495" i="3" s="1"/>
  <c r="BA484" i="3"/>
  <c r="AB29" i="39"/>
  <c r="AZ503" i="3"/>
  <c r="AZ343" i="3"/>
  <c r="H30" i="34"/>
  <c r="F30" i="34"/>
  <c r="F11" i="35"/>
  <c r="H11" i="35"/>
  <c r="U25" i="59"/>
  <c r="E24" i="59"/>
  <c r="E23" i="59" s="1"/>
  <c r="E22" i="59" s="1"/>
  <c r="E21" i="59" s="1"/>
  <c r="W46" i="33"/>
  <c r="AC46" i="33"/>
  <c r="AC37" i="37"/>
  <c r="W37" i="37"/>
  <c r="U44" i="21"/>
  <c r="AB44" i="21"/>
  <c r="S22" i="35"/>
  <c r="S43" i="21"/>
  <c r="AA43" i="21"/>
  <c r="J44" i="33"/>
  <c r="H44" i="33"/>
  <c r="F44" i="33"/>
  <c r="U31" i="35"/>
  <c r="AB31" i="35"/>
  <c r="BA566" i="3"/>
  <c r="AZ566" i="3" s="1"/>
  <c r="BA555" i="3"/>
  <c r="AZ545" i="3"/>
  <c r="BA525" i="3"/>
  <c r="BA520" i="3"/>
  <c r="BA518" i="3"/>
  <c r="BA511" i="3"/>
  <c r="AZ511" i="3" s="1"/>
  <c r="BA488" i="3"/>
  <c r="AZ488" i="3" s="1"/>
  <c r="BA19" i="3"/>
  <c r="AZ19" i="3" s="1"/>
  <c r="U27" i="39"/>
  <c r="AZ505" i="3"/>
  <c r="AB42" i="21"/>
  <c r="U42" i="21"/>
  <c r="BL561" i="3"/>
  <c r="W23" i="34"/>
  <c r="AC25" i="35"/>
  <c r="W25" i="35"/>
  <c r="BL503" i="3"/>
  <c r="W17" i="37"/>
  <c r="U14" i="36"/>
  <c r="U14" i="39"/>
  <c r="H27" i="33"/>
  <c r="F27" i="33"/>
  <c r="AA27" i="33" s="1"/>
  <c r="AC27" i="34"/>
  <c r="W27" i="34"/>
  <c r="BA540" i="3"/>
  <c r="G553" i="3"/>
  <c r="G516" i="3"/>
  <c r="G500" i="3"/>
  <c r="B44" i="59"/>
  <c r="E52" i="59"/>
  <c r="E53" i="59" s="1"/>
  <c r="U53" i="59" s="1"/>
  <c r="B56" i="59"/>
  <c r="B57" i="59" s="1"/>
  <c r="S57" i="59" s="1"/>
  <c r="AZ379" i="3"/>
  <c r="AZ345" i="3"/>
  <c r="BL558" i="3"/>
  <c r="H29" i="34"/>
  <c r="H14" i="21"/>
  <c r="U14" i="21" s="1"/>
  <c r="W39" i="34"/>
  <c r="AC5" i="3"/>
  <c r="BJ5" i="3"/>
  <c r="BA420" i="3"/>
  <c r="BL431" i="3"/>
  <c r="G432" i="3"/>
  <c r="G440" i="3"/>
  <c r="G456" i="3"/>
  <c r="G472" i="3"/>
  <c r="G42" i="3"/>
  <c r="G405" i="3"/>
  <c r="G431" i="3"/>
  <c r="G438" i="3"/>
  <c r="G462" i="3"/>
  <c r="G336" i="3"/>
  <c r="G243" i="3"/>
  <c r="G251" i="3"/>
  <c r="G259" i="3"/>
  <c r="BA264" i="3"/>
  <c r="BA265" i="3"/>
  <c r="G267" i="3"/>
  <c r="G275" i="3"/>
  <c r="G276" i="3"/>
  <c r="BL282" i="3"/>
  <c r="G125" i="3"/>
  <c r="G178" i="3"/>
  <c r="G23" i="3"/>
  <c r="G64" i="3"/>
  <c r="G72" i="3"/>
  <c r="G105" i="3"/>
  <c r="S18" i="35"/>
  <c r="D77" i="59"/>
  <c r="F40" i="59"/>
  <c r="F41" i="59" s="1"/>
  <c r="V41" i="59" s="1"/>
  <c r="E44" i="59"/>
  <c r="E45" i="59" s="1"/>
  <c r="U45" i="59" s="1"/>
  <c r="F52" i="59"/>
  <c r="F53" i="59" s="1"/>
  <c r="V53" i="59" s="1"/>
  <c r="B60" i="59"/>
  <c r="B61" i="59" s="1"/>
  <c r="S61" i="59" s="1"/>
  <c r="AZ298" i="3"/>
  <c r="H12" i="37"/>
  <c r="U12" i="37" s="1"/>
  <c r="BL546" i="3"/>
  <c r="BL562" i="3"/>
  <c r="J40" i="37"/>
  <c r="W31" i="35"/>
  <c r="G568" i="3"/>
  <c r="BA402" i="3"/>
  <c r="BL429" i="3"/>
  <c r="G79" i="3"/>
  <c r="G87" i="3"/>
  <c r="G104" i="3"/>
  <c r="AZ320" i="3"/>
  <c r="AC8" i="37"/>
  <c r="BL508" i="3"/>
  <c r="BL524" i="3"/>
  <c r="BL540" i="3"/>
  <c r="BL564" i="3"/>
  <c r="AZ564" i="3" s="1"/>
  <c r="H26" i="33"/>
  <c r="AB40" i="34"/>
  <c r="W33" i="33"/>
  <c r="G540" i="3"/>
  <c r="G533" i="3"/>
  <c r="G531" i="3"/>
  <c r="G18" i="3"/>
  <c r="G403" i="3"/>
  <c r="G429" i="3"/>
  <c r="BL384" i="3"/>
  <c r="G208" i="3"/>
  <c r="G224" i="3"/>
  <c r="G241" i="3"/>
  <c r="G249" i="3"/>
  <c r="G281" i="3"/>
  <c r="G290" i="3"/>
  <c r="G115" i="3"/>
  <c r="G123" i="3"/>
  <c r="G141" i="3"/>
  <c r="G151" i="3"/>
  <c r="G394" i="3"/>
  <c r="G411" i="3"/>
  <c r="BL419" i="3"/>
  <c r="G427" i="3"/>
  <c r="G443" i="3"/>
  <c r="G451" i="3"/>
  <c r="G459" i="3"/>
  <c r="G309" i="3"/>
  <c r="BL316" i="3"/>
  <c r="AZ316" i="3" s="1"/>
  <c r="G325" i="3"/>
  <c r="G333" i="3"/>
  <c r="G341" i="3"/>
  <c r="BL348" i="3"/>
  <c r="AZ348" i="3" s="1"/>
  <c r="BL364" i="3"/>
  <c r="G375" i="3"/>
  <c r="G383" i="3"/>
  <c r="G122" i="3"/>
  <c r="G130" i="3"/>
  <c r="G158" i="3"/>
  <c r="G204" i="3"/>
  <c r="G53" i="3"/>
  <c r="G61" i="3"/>
  <c r="G69" i="3"/>
  <c r="G77" i="3"/>
  <c r="G111" i="3"/>
  <c r="J53" i="46"/>
  <c r="G528" i="3"/>
  <c r="G521" i="3"/>
  <c r="G514" i="3"/>
  <c r="G512" i="3"/>
  <c r="G503" i="3"/>
  <c r="G482" i="3"/>
  <c r="G410" i="3"/>
  <c r="G442" i="3"/>
  <c r="BA228" i="3"/>
  <c r="BA260" i="3"/>
  <c r="BL262" i="3"/>
  <c r="BL263" i="3"/>
  <c r="BA33" i="3"/>
  <c r="G44" i="3"/>
  <c r="G52" i="3"/>
  <c r="G60" i="3"/>
  <c r="G76" i="3"/>
  <c r="G400" i="3"/>
  <c r="G409" i="3"/>
  <c r="G425" i="3"/>
  <c r="G433" i="3"/>
  <c r="G449" i="3"/>
  <c r="G473" i="3"/>
  <c r="G331" i="3"/>
  <c r="G381" i="3"/>
  <c r="BA387" i="3"/>
  <c r="G222" i="3"/>
  <c r="G237" i="3"/>
  <c r="G254" i="3"/>
  <c r="G262" i="3"/>
  <c r="S69" i="59"/>
  <c r="T77" i="59"/>
  <c r="W23" i="39"/>
  <c r="AC23" i="39"/>
  <c r="AB39" i="37"/>
  <c r="U39" i="37"/>
  <c r="W34" i="33"/>
  <c r="U47" i="39"/>
  <c r="AA37" i="40"/>
  <c r="S37" i="40"/>
  <c r="AA35" i="40"/>
  <c r="S35" i="40"/>
  <c r="AA45" i="39"/>
  <c r="S45" i="39"/>
  <c r="AA15" i="39"/>
  <c r="S15" i="39"/>
  <c r="AB15" i="34"/>
  <c r="U15" i="34"/>
  <c r="AA14" i="21"/>
  <c r="S14" i="21"/>
  <c r="O41" i="9"/>
  <c r="R8" i="54" s="1"/>
  <c r="B54" i="63" s="1"/>
  <c r="K33" i="9"/>
  <c r="U39" i="40"/>
  <c r="U15" i="21"/>
  <c r="F29" i="6"/>
  <c r="S15" i="21"/>
  <c r="AA15" i="21"/>
  <c r="W11" i="34"/>
  <c r="AC11" i="34"/>
  <c r="AA25" i="36"/>
  <c r="S25" i="36"/>
  <c r="BL570" i="3"/>
  <c r="BL491" i="3"/>
  <c r="AB46" i="39"/>
  <c r="AZ486" i="3"/>
  <c r="S45" i="34"/>
  <c r="AA32" i="33"/>
  <c r="W32" i="36"/>
  <c r="AC14" i="37"/>
  <c r="W16" i="35"/>
  <c r="AZ373" i="3"/>
  <c r="AZ361" i="3"/>
  <c r="AA23" i="37"/>
  <c r="AZ543" i="3"/>
  <c r="S30" i="33"/>
  <c r="AA28" i="33"/>
  <c r="F46" i="21"/>
  <c r="S46" i="21" s="1"/>
  <c r="J44" i="21"/>
  <c r="H28" i="21"/>
  <c r="AB28" i="21" s="1"/>
  <c r="AA37" i="34"/>
  <c r="S8" i="21"/>
  <c r="U33" i="33"/>
  <c r="W23" i="36"/>
  <c r="G572" i="3"/>
  <c r="I4" i="6"/>
  <c r="G3" i="46" s="1"/>
  <c r="Z7" i="46" s="1"/>
  <c r="J9" i="33"/>
  <c r="AB38" i="33"/>
  <c r="AB26" i="36"/>
  <c r="U30" i="33"/>
  <c r="BH5" i="3"/>
  <c r="BL525" i="3"/>
  <c r="BA521" i="3"/>
  <c r="AZ521" i="3" s="1"/>
  <c r="BL520" i="3"/>
  <c r="BA508" i="3"/>
  <c r="AZ508" i="3" s="1"/>
  <c r="AC38" i="39"/>
  <c r="U36" i="33"/>
  <c r="AC32" i="34"/>
  <c r="AB20" i="35"/>
  <c r="U12" i="34"/>
  <c r="AA19" i="39"/>
  <c r="U34" i="39"/>
  <c r="S15" i="34"/>
  <c r="W32" i="33"/>
  <c r="AA14" i="35"/>
  <c r="AB37" i="39"/>
  <c r="AB37" i="34"/>
  <c r="AZ485" i="3"/>
  <c r="AZ491" i="3"/>
  <c r="AZ535" i="3"/>
  <c r="AC34" i="37"/>
  <c r="S25" i="35"/>
  <c r="AZ381" i="3"/>
  <c r="AB31" i="37"/>
  <c r="AA36" i="21"/>
  <c r="AC36" i="34"/>
  <c r="AZ561" i="3"/>
  <c r="S19" i="21"/>
  <c r="AB14" i="21"/>
  <c r="U31" i="33"/>
  <c r="J27" i="33"/>
  <c r="F30" i="21"/>
  <c r="S37" i="33"/>
  <c r="W8" i="34"/>
  <c r="AB8" i="36"/>
  <c r="H12" i="21"/>
  <c r="BL572" i="3"/>
  <c r="F9" i="35"/>
  <c r="G569" i="3"/>
  <c r="G567" i="3"/>
  <c r="BA541" i="3"/>
  <c r="AZ541" i="3" s="1"/>
  <c r="BA536" i="3"/>
  <c r="G497" i="3"/>
  <c r="G392" i="3"/>
  <c r="BL407" i="3"/>
  <c r="G415" i="3"/>
  <c r="G419" i="3"/>
  <c r="G423" i="3"/>
  <c r="G447" i="3"/>
  <c r="G467" i="3"/>
  <c r="G471" i="3"/>
  <c r="BL306" i="3"/>
  <c r="AZ306" i="3" s="1"/>
  <c r="BA388" i="3"/>
  <c r="G230" i="3"/>
  <c r="BA232" i="3"/>
  <c r="G234" i="3"/>
  <c r="G247" i="3"/>
  <c r="G271" i="3"/>
  <c r="G292" i="3"/>
  <c r="G113" i="3"/>
  <c r="G117" i="3"/>
  <c r="BL117" i="3"/>
  <c r="BA127" i="3"/>
  <c r="AZ127" i="3" s="1"/>
  <c r="BA135" i="3"/>
  <c r="AZ135" i="3" s="1"/>
  <c r="BL137" i="3"/>
  <c r="BL138" i="3"/>
  <c r="AZ138" i="3" s="1"/>
  <c r="BL163" i="3"/>
  <c r="BL169" i="3"/>
  <c r="AZ169" i="3" s="1"/>
  <c r="G40" i="3"/>
  <c r="G62" i="3"/>
  <c r="BA71" i="3"/>
  <c r="G73" i="3"/>
  <c r="D39" i="59"/>
  <c r="G418" i="3"/>
  <c r="BL428" i="3"/>
  <c r="BL430" i="3"/>
  <c r="BA479" i="3"/>
  <c r="BA383" i="3"/>
  <c r="AZ383" i="3" s="1"/>
  <c r="BA208" i="3"/>
  <c r="G212" i="3"/>
  <c r="BA212" i="3"/>
  <c r="BL215" i="3"/>
  <c r="G220" i="3"/>
  <c r="BA220" i="3"/>
  <c r="BL226" i="3"/>
  <c r="BA229" i="3"/>
  <c r="G242" i="3"/>
  <c r="G287" i="3"/>
  <c r="G134" i="3"/>
  <c r="G153" i="3"/>
  <c r="G179" i="3"/>
  <c r="BA191" i="3"/>
  <c r="G197" i="3"/>
  <c r="BL31" i="3"/>
  <c r="BL37" i="3"/>
  <c r="BL47" i="3"/>
  <c r="BA49" i="3"/>
  <c r="BA61" i="3"/>
  <c r="BL63" i="3"/>
  <c r="BL78" i="3"/>
  <c r="BA80" i="3"/>
  <c r="G84" i="3"/>
  <c r="BA91" i="3"/>
  <c r="S21" i="34"/>
  <c r="B32" i="59"/>
  <c r="B33" i="59" s="1"/>
  <c r="S33" i="59" s="1"/>
  <c r="Y35" i="59"/>
  <c r="Z35" i="59" s="1"/>
  <c r="Y37" i="59"/>
  <c r="Z37" i="59" s="1"/>
  <c r="B40" i="59"/>
  <c r="B41" i="59" s="1"/>
  <c r="S41" i="59" s="1"/>
  <c r="K76" i="9"/>
  <c r="BA562" i="3"/>
  <c r="BL553" i="3"/>
  <c r="AZ553" i="3" s="1"/>
  <c r="G535" i="3"/>
  <c r="G511" i="3"/>
  <c r="G496" i="3"/>
  <c r="G486" i="3"/>
  <c r="G19" i="3"/>
  <c r="BL400" i="3"/>
  <c r="G401" i="3"/>
  <c r="BL404" i="3"/>
  <c r="G406" i="3"/>
  <c r="BL410" i="3"/>
  <c r="G412" i="3"/>
  <c r="BA425" i="3"/>
  <c r="BA449" i="3"/>
  <c r="BL455" i="3"/>
  <c r="BA457" i="3"/>
  <c r="G460" i="3"/>
  <c r="G464" i="3"/>
  <c r="BA465" i="3"/>
  <c r="G468" i="3"/>
  <c r="G469" i="3"/>
  <c r="BA473" i="3"/>
  <c r="G477" i="3"/>
  <c r="G301" i="3"/>
  <c r="G305" i="3"/>
  <c r="G210" i="3"/>
  <c r="BA211" i="3"/>
  <c r="BL218" i="3"/>
  <c r="G226" i="3"/>
  <c r="BA227" i="3"/>
  <c r="G236" i="3"/>
  <c r="G244" i="3"/>
  <c r="BL246" i="3"/>
  <c r="G248" i="3"/>
  <c r="G252" i="3"/>
  <c r="G264" i="3"/>
  <c r="G268" i="3"/>
  <c r="BL272" i="3"/>
  <c r="G114" i="3"/>
  <c r="G119" i="3"/>
  <c r="BA151" i="3"/>
  <c r="AZ151" i="3" s="1"/>
  <c r="G156" i="3"/>
  <c r="G165" i="3"/>
  <c r="BA176" i="3"/>
  <c r="G177" i="3"/>
  <c r="G191" i="3"/>
  <c r="G195" i="3"/>
  <c r="BL196" i="3"/>
  <c r="AZ196" i="3" s="1"/>
  <c r="BL21" i="3"/>
  <c r="G22" i="3"/>
  <c r="G32" i="3"/>
  <c r="G37" i="3"/>
  <c r="G47" i="3"/>
  <c r="G55" i="3"/>
  <c r="G56" i="3"/>
  <c r="G63" i="3"/>
  <c r="G78" i="3"/>
  <c r="G94" i="3"/>
  <c r="G109" i="3"/>
  <c r="BA109" i="3"/>
  <c r="BL111" i="3"/>
  <c r="G112" i="3"/>
  <c r="C88" i="59"/>
  <c r="D88" i="59" s="1"/>
  <c r="C68" i="59"/>
  <c r="D68" i="59" s="1"/>
  <c r="AB28" i="59"/>
  <c r="AB33" i="59"/>
  <c r="AA33" i="59"/>
  <c r="AA37" i="59"/>
  <c r="B76" i="59"/>
  <c r="B75" i="59" s="1"/>
  <c r="AC19" i="40"/>
  <c r="R22" i="31"/>
  <c r="B21" i="31" s="1"/>
  <c r="AC29" i="39"/>
  <c r="W29" i="39"/>
  <c r="S28" i="21"/>
  <c r="AA28" i="21"/>
  <c r="AB18" i="36"/>
  <c r="W35" i="33"/>
  <c r="AC35" i="33"/>
  <c r="M20" i="44"/>
  <c r="M18" i="15"/>
  <c r="AC32" i="40"/>
  <c r="W32" i="40"/>
  <c r="AA32" i="40"/>
  <c r="S32" i="40"/>
  <c r="U34" i="40"/>
  <c r="AB34" i="40"/>
  <c r="U30" i="21"/>
  <c r="AB30" i="21"/>
  <c r="AZ540" i="3"/>
  <c r="AC13" i="35"/>
  <c r="W13" i="35"/>
  <c r="U37" i="40"/>
  <c r="AB37" i="40"/>
  <c r="S17" i="33"/>
  <c r="U20" i="36"/>
  <c r="AB20" i="36"/>
  <c r="AC9" i="21"/>
  <c r="W9" i="21"/>
  <c r="AZ499" i="3"/>
  <c r="AZ525" i="3"/>
  <c r="AB14" i="34"/>
  <c r="AA35" i="33"/>
  <c r="S42" i="33"/>
  <c r="AZ347" i="3"/>
  <c r="W11" i="37"/>
  <c r="AC37" i="33"/>
  <c r="W14" i="21"/>
  <c r="U13" i="35"/>
  <c r="H13" i="21"/>
  <c r="AA46" i="21"/>
  <c r="AC42" i="21"/>
  <c r="AB39" i="21"/>
  <c r="J34" i="36"/>
  <c r="H34" i="36"/>
  <c r="BA532" i="3"/>
  <c r="AZ532" i="3" s="1"/>
  <c r="J24" i="35"/>
  <c r="H24" i="35"/>
  <c r="BL533" i="3"/>
  <c r="AB15" i="33"/>
  <c r="S32" i="34"/>
  <c r="AA20" i="35"/>
  <c r="W39" i="39"/>
  <c r="AA34" i="33"/>
  <c r="AC13" i="33"/>
  <c r="AZ500" i="3"/>
  <c r="AZ533" i="3"/>
  <c r="AZ568" i="3"/>
  <c r="AC8" i="33"/>
  <c r="AC11" i="36"/>
  <c r="AB16" i="35"/>
  <c r="AZ300" i="3"/>
  <c r="AZ372" i="3"/>
  <c r="AC28" i="34"/>
  <c r="BL482" i="3"/>
  <c r="BL534" i="3"/>
  <c r="AB46" i="21"/>
  <c r="AA33" i="33"/>
  <c r="AC38" i="34"/>
  <c r="W38" i="34"/>
  <c r="G555" i="3"/>
  <c r="W35" i="35"/>
  <c r="AC35" i="35"/>
  <c r="J39" i="37"/>
  <c r="F39" i="37"/>
  <c r="W37" i="34"/>
  <c r="AA26" i="36"/>
  <c r="W14" i="35"/>
  <c r="AA37" i="39"/>
  <c r="U39" i="39"/>
  <c r="AZ482" i="3"/>
  <c r="AZ490" i="3"/>
  <c r="AZ517" i="3"/>
  <c r="AZ522" i="3"/>
  <c r="AZ563" i="3"/>
  <c r="AA44" i="34"/>
  <c r="AC29" i="37"/>
  <c r="S39" i="33"/>
  <c r="W23" i="37"/>
  <c r="U23" i="37"/>
  <c r="BL538" i="3"/>
  <c r="AZ538" i="3" s="1"/>
  <c r="U28" i="21"/>
  <c r="S38" i="21"/>
  <c r="AA38" i="21"/>
  <c r="C17" i="76"/>
  <c r="B83" i="46"/>
  <c r="BL560" i="3"/>
  <c r="AZ560" i="3" s="1"/>
  <c r="BA558" i="3"/>
  <c r="AZ558" i="3" s="1"/>
  <c r="BA501" i="3"/>
  <c r="AZ501" i="3" s="1"/>
  <c r="AC40" i="40"/>
  <c r="AZ529" i="3"/>
  <c r="AZ536" i="3"/>
  <c r="AZ571" i="3"/>
  <c r="AZ339" i="3"/>
  <c r="AZ330" i="3"/>
  <c r="AZ363" i="3"/>
  <c r="AB12" i="37"/>
  <c r="AZ524" i="3"/>
  <c r="F45" i="33"/>
  <c r="AZ304" i="3"/>
  <c r="AZ358" i="3"/>
  <c r="AZ542" i="3"/>
  <c r="S13" i="33"/>
  <c r="AA13" i="33"/>
  <c r="BA551" i="3"/>
  <c r="G542" i="3"/>
  <c r="U42" i="40"/>
  <c r="S25" i="40"/>
  <c r="AB11" i="33"/>
  <c r="U22" i="35"/>
  <c r="S17" i="39"/>
  <c r="AZ513" i="3"/>
  <c r="AZ530" i="3"/>
  <c r="AZ549" i="3"/>
  <c r="AZ299" i="3"/>
  <c r="AZ377" i="3"/>
  <c r="AZ354" i="3"/>
  <c r="AZ303" i="3"/>
  <c r="AZ562" i="3"/>
  <c r="AC13" i="36"/>
  <c r="S27" i="33"/>
  <c r="W9" i="34"/>
  <c r="G571" i="3"/>
  <c r="B90" i="46"/>
  <c r="C23" i="76"/>
  <c r="F12" i="33"/>
  <c r="S12" i="33" s="1"/>
  <c r="F9" i="36"/>
  <c r="G565" i="3"/>
  <c r="G558" i="3"/>
  <c r="BL557" i="3"/>
  <c r="AZ557" i="3" s="1"/>
  <c r="BA498" i="3"/>
  <c r="AZ498" i="3" s="1"/>
  <c r="F25" i="37"/>
  <c r="H25" i="37"/>
  <c r="G524" i="3"/>
  <c r="F23" i="36"/>
  <c r="H23" i="36"/>
  <c r="G552" i="3"/>
  <c r="G532" i="3"/>
  <c r="BL492" i="3"/>
  <c r="AZ492" i="3" s="1"/>
  <c r="BL514" i="3"/>
  <c r="AZ514" i="3" s="1"/>
  <c r="G570" i="3"/>
  <c r="G551" i="3"/>
  <c r="G489" i="3"/>
  <c r="G15" i="3"/>
  <c r="BL394" i="3"/>
  <c r="G395" i="3"/>
  <c r="BA405" i="3"/>
  <c r="BL406" i="3"/>
  <c r="BL409" i="3"/>
  <c r="BL412" i="3"/>
  <c r="G414" i="3"/>
  <c r="G416" i="3"/>
  <c r="G434" i="3"/>
  <c r="G435" i="3"/>
  <c r="G444" i="3"/>
  <c r="G445" i="3"/>
  <c r="BA451" i="3"/>
  <c r="G454" i="3"/>
  <c r="BL468" i="3"/>
  <c r="BL469" i="3"/>
  <c r="BL472" i="3"/>
  <c r="BL308" i="3"/>
  <c r="AZ308" i="3" s="1"/>
  <c r="BA315" i="3"/>
  <c r="AZ315" i="3" s="1"/>
  <c r="BL335" i="3"/>
  <c r="G367" i="3"/>
  <c r="BA385" i="3"/>
  <c r="G205" i="3"/>
  <c r="BL206" i="3"/>
  <c r="BA213" i="3"/>
  <c r="G216" i="3"/>
  <c r="BA216" i="3"/>
  <c r="BL222" i="3"/>
  <c r="BL234" i="3"/>
  <c r="BL243" i="3"/>
  <c r="G245" i="3"/>
  <c r="BL247" i="3"/>
  <c r="BA251" i="3"/>
  <c r="BA252" i="3"/>
  <c r="G256" i="3"/>
  <c r="BA257" i="3"/>
  <c r="BA261" i="3"/>
  <c r="G131" i="3"/>
  <c r="BL133" i="3"/>
  <c r="G142" i="3"/>
  <c r="G173" i="3"/>
  <c r="J52" i="40"/>
  <c r="J52" i="76"/>
  <c r="BA433" i="3"/>
  <c r="T25" i="59"/>
  <c r="C24" i="59"/>
  <c r="BB5" i="3"/>
  <c r="BA398" i="3"/>
  <c r="BA399" i="3"/>
  <c r="BL402" i="3"/>
  <c r="AZ402" i="3" s="1"/>
  <c r="G404" i="3"/>
  <c r="BL421" i="3"/>
  <c r="BL423" i="3"/>
  <c r="AZ423" i="3" s="1"/>
  <c r="BA424" i="3"/>
  <c r="BL426" i="3"/>
  <c r="G428" i="3"/>
  <c r="G430" i="3"/>
  <c r="G452" i="3"/>
  <c r="G453" i="3"/>
  <c r="BA475" i="3"/>
  <c r="G478" i="3"/>
  <c r="BA313" i="3"/>
  <c r="AZ313" i="3" s="1"/>
  <c r="G317" i="3"/>
  <c r="BA321" i="3"/>
  <c r="AZ321" i="3" s="1"/>
  <c r="BA337" i="3"/>
  <c r="AZ337" i="3" s="1"/>
  <c r="G349" i="3"/>
  <c r="BA353" i="3"/>
  <c r="AZ353" i="3" s="1"/>
  <c r="BL382" i="3"/>
  <c r="AZ382" i="3" s="1"/>
  <c r="G388" i="3"/>
  <c r="G214" i="3"/>
  <c r="G215" i="3"/>
  <c r="BA225" i="3"/>
  <c r="G232" i="3"/>
  <c r="BA241" i="3"/>
  <c r="BL242" i="3"/>
  <c r="BL251" i="3"/>
  <c r="G253" i="3"/>
  <c r="BA256" i="3"/>
  <c r="BA259" i="3"/>
  <c r="BA267" i="3"/>
  <c r="BL270" i="3"/>
  <c r="BL271" i="3"/>
  <c r="BL273" i="3"/>
  <c r="BL274" i="3"/>
  <c r="BL290" i="3"/>
  <c r="G129" i="3"/>
  <c r="G161" i="3"/>
  <c r="G26" i="3"/>
  <c r="G83" i="3"/>
  <c r="D76" i="59"/>
  <c r="C75" i="59"/>
  <c r="D75" i="59" s="1"/>
  <c r="BL14" i="3"/>
  <c r="AZ14" i="3" s="1"/>
  <c r="BL391" i="3"/>
  <c r="BA397" i="3"/>
  <c r="BL399" i="3"/>
  <c r="G402" i="3"/>
  <c r="BA423" i="3"/>
  <c r="BL425" i="3"/>
  <c r="G426" i="3"/>
  <c r="BA437" i="3"/>
  <c r="G450" i="3"/>
  <c r="G465" i="3"/>
  <c r="G466" i="3"/>
  <c r="BL476" i="3"/>
  <c r="BL477" i="3"/>
  <c r="BA301" i="3"/>
  <c r="AZ301" i="3" s="1"/>
  <c r="G315" i="3"/>
  <c r="BL332" i="3"/>
  <c r="AZ332" i="3" s="1"/>
  <c r="BL346" i="3"/>
  <c r="AZ346" i="3" s="1"/>
  <c r="G363" i="3"/>
  <c r="BL380" i="3"/>
  <c r="AZ380" i="3" s="1"/>
  <c r="G213" i="3"/>
  <c r="BL214" i="3"/>
  <c r="BL225" i="3"/>
  <c r="BL231" i="3"/>
  <c r="BA237" i="3"/>
  <c r="BA238" i="3"/>
  <c r="BL250" i="3"/>
  <c r="BA145" i="3"/>
  <c r="BA445" i="3"/>
  <c r="BA447" i="3"/>
  <c r="BA459" i="3"/>
  <c r="BA470" i="3"/>
  <c r="G476" i="3"/>
  <c r="BL480" i="3"/>
  <c r="BL302" i="3"/>
  <c r="AZ302" i="3" s="1"/>
  <c r="BA311" i="3"/>
  <c r="AZ311" i="3" s="1"/>
  <c r="BL330" i="3"/>
  <c r="G347" i="3"/>
  <c r="BA369" i="3"/>
  <c r="BL386" i="3"/>
  <c r="BA209" i="3"/>
  <c r="G211" i="3"/>
  <c r="BA219" i="3"/>
  <c r="BA221" i="3"/>
  <c r="BA224" i="3"/>
  <c r="G225" i="3"/>
  <c r="G227" i="3"/>
  <c r="G229" i="3"/>
  <c r="G260" i="3"/>
  <c r="BL267" i="3"/>
  <c r="G269" i="3"/>
  <c r="G289" i="3"/>
  <c r="BA113" i="3"/>
  <c r="BL114" i="3"/>
  <c r="AZ114" i="3" s="1"/>
  <c r="G118" i="3"/>
  <c r="G146" i="3"/>
  <c r="BL149" i="3"/>
  <c r="BA156" i="3"/>
  <c r="BA174" i="3"/>
  <c r="AZ174" i="3" s="1"/>
  <c r="G185" i="3"/>
  <c r="G196" i="3"/>
  <c r="G505" i="3"/>
  <c r="BA417" i="3"/>
  <c r="BL417" i="3"/>
  <c r="BL418" i="3"/>
  <c r="BA444" i="3"/>
  <c r="BL446" i="3"/>
  <c r="BL461" i="3"/>
  <c r="BL464" i="3"/>
  <c r="BA471" i="3"/>
  <c r="BA474" i="3"/>
  <c r="BL312" i="3"/>
  <c r="AZ312" i="3" s="1"/>
  <c r="BA318" i="3"/>
  <c r="BA334" i="3"/>
  <c r="BA350" i="3"/>
  <c r="BL369" i="3"/>
  <c r="BA205" i="3"/>
  <c r="BA217" i="3"/>
  <c r="BL230" i="3"/>
  <c r="BA236" i="3"/>
  <c r="BL239" i="3"/>
  <c r="BA245" i="3"/>
  <c r="BL254" i="3"/>
  <c r="BL258" i="3"/>
  <c r="BA276" i="3"/>
  <c r="BL278" i="3"/>
  <c r="BA152" i="3"/>
  <c r="BL188" i="3"/>
  <c r="AZ188" i="3" s="1"/>
  <c r="G24" i="3"/>
  <c r="BL30" i="3"/>
  <c r="BL389" i="3"/>
  <c r="BL396" i="3"/>
  <c r="BA412" i="3"/>
  <c r="BA415" i="3"/>
  <c r="G417" i="3"/>
  <c r="G420" i="3"/>
  <c r="G422" i="3"/>
  <c r="G424" i="3"/>
  <c r="G436" i="3"/>
  <c r="G437" i="3"/>
  <c r="BA443" i="3"/>
  <c r="G446" i="3"/>
  <c r="G448" i="3"/>
  <c r="BA453" i="3"/>
  <c r="BA458" i="3"/>
  <c r="BL458" i="3"/>
  <c r="G461" i="3"/>
  <c r="BL470" i="3"/>
  <c r="G475" i="3"/>
  <c r="BA309" i="3"/>
  <c r="G313" i="3"/>
  <c r="BA317" i="3"/>
  <c r="AZ317" i="3" s="1"/>
  <c r="BL319" i="3"/>
  <c r="BA333" i="3"/>
  <c r="BA341" i="3"/>
  <c r="AZ341" i="3" s="1"/>
  <c r="G345" i="3"/>
  <c r="BA349" i="3"/>
  <c r="BL351" i="3"/>
  <c r="BA367" i="3"/>
  <c r="AZ367" i="3" s="1"/>
  <c r="BL368" i="3"/>
  <c r="BL207" i="3"/>
  <c r="BL217" i="3"/>
  <c r="BL223" i="3"/>
  <c r="BA235" i="3"/>
  <c r="BL235" i="3"/>
  <c r="G239" i="3"/>
  <c r="BA243" i="3"/>
  <c r="BA248" i="3"/>
  <c r="BA249" i="3"/>
  <c r="BA254" i="3"/>
  <c r="BL266" i="3"/>
  <c r="BA275" i="3"/>
  <c r="G278" i="3"/>
  <c r="G279" i="3"/>
  <c r="BA284" i="3"/>
  <c r="BL286" i="3"/>
  <c r="G133" i="3"/>
  <c r="BL146" i="3"/>
  <c r="AZ146" i="3" s="1"/>
  <c r="BL155" i="3"/>
  <c r="BA190" i="3"/>
  <c r="U29" i="59"/>
  <c r="E28" i="59"/>
  <c r="E27" i="59" s="1"/>
  <c r="BA413" i="3"/>
  <c r="BL414" i="3"/>
  <c r="BL435" i="3"/>
  <c r="BA441" i="3"/>
  <c r="BL445" i="3"/>
  <c r="BA452" i="3"/>
  <c r="BL454" i="3"/>
  <c r="G457" i="3"/>
  <c r="G458" i="3"/>
  <c r="BA467" i="3"/>
  <c r="G470" i="3"/>
  <c r="BA478" i="3"/>
  <c r="BA297" i="3"/>
  <c r="AZ297" i="3" s="1"/>
  <c r="G311" i="3"/>
  <c r="G320" i="3"/>
  <c r="BA325" i="3"/>
  <c r="AZ325" i="3" s="1"/>
  <c r="BL326" i="3"/>
  <c r="AZ326" i="3" s="1"/>
  <c r="BL342" i="3"/>
  <c r="AZ342" i="3" s="1"/>
  <c r="G352" i="3"/>
  <c r="G206" i="3"/>
  <c r="G207" i="3"/>
  <c r="BL210" i="3"/>
  <c r="G217" i="3"/>
  <c r="G219" i="3"/>
  <c r="G221" i="3"/>
  <c r="G223" i="3"/>
  <c r="BA233" i="3"/>
  <c r="G235" i="3"/>
  <c r="BL238" i="3"/>
  <c r="BA244" i="3"/>
  <c r="G246" i="3"/>
  <c r="BA253" i="3"/>
  <c r="G257" i="3"/>
  <c r="G265" i="3"/>
  <c r="BA274" i="3"/>
  <c r="AZ274" i="3" s="1"/>
  <c r="BA283" i="3"/>
  <c r="BA292" i="3"/>
  <c r="BA119" i="3"/>
  <c r="AZ119" i="3" s="1"/>
  <c r="BA137" i="3"/>
  <c r="BA140" i="3"/>
  <c r="G143" i="3"/>
  <c r="BL152" i="3"/>
  <c r="BL153" i="3"/>
  <c r="AZ153" i="3" s="1"/>
  <c r="G164" i="3"/>
  <c r="G183" i="3"/>
  <c r="BA198" i="3"/>
  <c r="BL200" i="3"/>
  <c r="AZ200" i="3" s="1"/>
  <c r="G231" i="3"/>
  <c r="G240" i="3"/>
  <c r="BA240" i="3"/>
  <c r="BA246" i="3"/>
  <c r="G250" i="3"/>
  <c r="BL255" i="3"/>
  <c r="BL259" i="3"/>
  <c r="BA268" i="3"/>
  <c r="G270" i="3"/>
  <c r="G273" i="3"/>
  <c r="G274" i="3"/>
  <c r="BL281" i="3"/>
  <c r="G282" i="3"/>
  <c r="G284" i="3"/>
  <c r="BA291" i="3"/>
  <c r="G294" i="3"/>
  <c r="G121" i="3"/>
  <c r="G135" i="3"/>
  <c r="BL144" i="3"/>
  <c r="G150" i="3"/>
  <c r="BL160" i="3"/>
  <c r="BL161" i="3"/>
  <c r="AZ161" i="3" s="1"/>
  <c r="G166" i="3"/>
  <c r="G176" i="3"/>
  <c r="BA182" i="3"/>
  <c r="BL184" i="3"/>
  <c r="AZ184" i="3" s="1"/>
  <c r="G199" i="3"/>
  <c r="BL203" i="3"/>
  <c r="BA22" i="3"/>
  <c r="BA23" i="3"/>
  <c r="BL25" i="3"/>
  <c r="G28" i="3"/>
  <c r="BL34" i="3"/>
  <c r="G41" i="3"/>
  <c r="BL50" i="3"/>
  <c r="BL54" i="3"/>
  <c r="BA63" i="3"/>
  <c r="AZ63" i="3" s="1"/>
  <c r="BA67" i="3"/>
  <c r="G68" i="3"/>
  <c r="G70" i="3"/>
  <c r="BL72" i="3"/>
  <c r="G85" i="3"/>
  <c r="BA90" i="3"/>
  <c r="G93" i="3"/>
  <c r="BA93" i="3"/>
  <c r="BL102" i="3"/>
  <c r="G103" i="3"/>
  <c r="BA111" i="3"/>
  <c r="C31" i="39"/>
  <c r="T69" i="59"/>
  <c r="Y31" i="59"/>
  <c r="Z31" i="59" s="1"/>
  <c r="Y33" i="59"/>
  <c r="Z33" i="59" s="1"/>
  <c r="X35" i="59"/>
  <c r="X37" i="59"/>
  <c r="Y38" i="59"/>
  <c r="Z38" i="59" s="1"/>
  <c r="B52" i="59"/>
  <c r="B53" i="59" s="1"/>
  <c r="S53" i="59" s="1"/>
  <c r="F67" i="59"/>
  <c r="Q66" i="59" s="1"/>
  <c r="AA24" i="59"/>
  <c r="X18" i="59"/>
  <c r="BL289" i="3"/>
  <c r="G293" i="3"/>
  <c r="BA116" i="3"/>
  <c r="BA117" i="3"/>
  <c r="AZ117" i="3" s="1"/>
  <c r="BL125" i="3"/>
  <c r="BA129" i="3"/>
  <c r="BL130" i="3"/>
  <c r="AZ130" i="3" s="1"/>
  <c r="BL141" i="3"/>
  <c r="BA143" i="3"/>
  <c r="AZ143" i="3" s="1"/>
  <c r="G174" i="3"/>
  <c r="BL202" i="3"/>
  <c r="G25" i="3"/>
  <c r="BL38" i="3"/>
  <c r="BL53" i="3"/>
  <c r="G54" i="3"/>
  <c r="BL57" i="3"/>
  <c r="BA64" i="3"/>
  <c r="BL66" i="3"/>
  <c r="G67" i="3"/>
  <c r="BL77" i="3"/>
  <c r="BL79" i="3"/>
  <c r="G80" i="3"/>
  <c r="G82" i="3"/>
  <c r="BA89" i="3"/>
  <c r="G102" i="3"/>
  <c r="BA110" i="3"/>
  <c r="BL112" i="3"/>
  <c r="B87" i="46"/>
  <c r="AA31" i="59"/>
  <c r="AA38" i="59"/>
  <c r="B45" i="59"/>
  <c r="S45" i="59" s="1"/>
  <c r="E64" i="59"/>
  <c r="E65" i="59" s="1"/>
  <c r="U65" i="59" s="1"/>
  <c r="AB24" i="59"/>
  <c r="AA11" i="59"/>
  <c r="P62" i="15"/>
  <c r="BL75" i="3"/>
  <c r="BA87" i="3"/>
  <c r="BL88" i="3"/>
  <c r="G90" i="3"/>
  <c r="G91" i="3"/>
  <c r="BA95" i="3"/>
  <c r="BA96" i="3"/>
  <c r="BL99" i="3"/>
  <c r="BL101" i="3"/>
  <c r="BA106" i="3"/>
  <c r="K13" i="1"/>
  <c r="M13" i="1" s="1"/>
  <c r="S18" i="36"/>
  <c r="C67" i="59"/>
  <c r="O67" i="59" s="1"/>
  <c r="U69" i="59"/>
  <c r="Y30" i="59"/>
  <c r="Z30" i="59" s="1"/>
  <c r="AB35" i="59"/>
  <c r="AB37" i="59"/>
  <c r="B48" i="59"/>
  <c r="B49" i="59" s="1"/>
  <c r="S49" i="59" s="1"/>
  <c r="X26" i="59"/>
  <c r="AB25" i="59"/>
  <c r="Y19" i="59"/>
  <c r="Z19" i="59" s="1"/>
  <c r="G169" i="3"/>
  <c r="BL172" i="3"/>
  <c r="BA189" i="3"/>
  <c r="AZ189" i="3" s="1"/>
  <c r="BL192" i="3"/>
  <c r="AZ192" i="3" s="1"/>
  <c r="G193" i="3"/>
  <c r="BA199" i="3"/>
  <c r="G21" i="3"/>
  <c r="G36" i="3"/>
  <c r="BA36" i="3"/>
  <c r="BL46" i="3"/>
  <c r="G49" i="3"/>
  <c r="BL51" i="3"/>
  <c r="BA52" i="3"/>
  <c r="BA58" i="3"/>
  <c r="BL60" i="3"/>
  <c r="BL62" i="3"/>
  <c r="BL65" i="3"/>
  <c r="BA70" i="3"/>
  <c r="G75" i="3"/>
  <c r="BL81" i="3"/>
  <c r="G88" i="3"/>
  <c r="BA94" i="3"/>
  <c r="G98" i="3"/>
  <c r="G99" i="3"/>
  <c r="BA105" i="3"/>
  <c r="G110" i="3"/>
  <c r="C71" i="59"/>
  <c r="D71" i="59" s="1"/>
  <c r="P69" i="59"/>
  <c r="E32" i="59"/>
  <c r="E33" i="59" s="1"/>
  <c r="U33" i="59" s="1"/>
  <c r="AA26" i="59"/>
  <c r="Y32" i="59"/>
  <c r="Z32" i="59" s="1"/>
  <c r="X36" i="59"/>
  <c r="Y39" i="59"/>
  <c r="Z39" i="59" s="1"/>
  <c r="F48" i="59"/>
  <c r="F49" i="59" s="1"/>
  <c r="V49" i="59" s="1"/>
  <c r="E56" i="59"/>
  <c r="E57" i="59" s="1"/>
  <c r="U57" i="59" s="1"/>
  <c r="F76" i="59"/>
  <c r="F75" i="59" s="1"/>
  <c r="B80" i="59"/>
  <c r="B79" i="59" s="1"/>
  <c r="Y28" i="59"/>
  <c r="Z28" i="59" s="1"/>
  <c r="AA22" i="59"/>
  <c r="AA13" i="59"/>
  <c r="X15" i="59"/>
  <c r="BA41" i="3"/>
  <c r="AZ41" i="3" s="1"/>
  <c r="BA43" i="3"/>
  <c r="BA45" i="3"/>
  <c r="BL48" i="3"/>
  <c r="BA56" i="3"/>
  <c r="BA69" i="3"/>
  <c r="BA74" i="3"/>
  <c r="BL86" i="3"/>
  <c r="BL95" i="3"/>
  <c r="BL97" i="3"/>
  <c r="P27" i="6"/>
  <c r="AB26" i="59"/>
  <c r="F32" i="59"/>
  <c r="F33" i="59" s="1"/>
  <c r="V33" i="59" s="1"/>
  <c r="AA32" i="59"/>
  <c r="Y34" i="59"/>
  <c r="Z34" i="59" s="1"/>
  <c r="Y36" i="59"/>
  <c r="Z36" i="59" s="1"/>
  <c r="AA39" i="59"/>
  <c r="F56" i="59"/>
  <c r="F57" i="59" s="1"/>
  <c r="V57" i="59" s="1"/>
  <c r="F60" i="59"/>
  <c r="F61" i="59" s="1"/>
  <c r="V61" i="59" s="1"/>
  <c r="Y25" i="59"/>
  <c r="Z25" i="59" s="1"/>
  <c r="AA18" i="59"/>
  <c r="Y13" i="59"/>
  <c r="Z13" i="59" s="1"/>
  <c r="BA294" i="3"/>
  <c r="G126" i="3"/>
  <c r="BA147" i="3"/>
  <c r="AZ147" i="3" s="1"/>
  <c r="G152" i="3"/>
  <c r="BA160" i="3"/>
  <c r="BL167" i="3"/>
  <c r="BA175" i="3"/>
  <c r="BL180" i="3"/>
  <c r="BA187" i="3"/>
  <c r="BA194" i="3"/>
  <c r="G200" i="3"/>
  <c r="BA204" i="3"/>
  <c r="BA25" i="3"/>
  <c r="AZ25" i="3" s="1"/>
  <c r="BA27" i="3"/>
  <c r="BA29" i="3"/>
  <c r="G30" i="3"/>
  <c r="BL32" i="3"/>
  <c r="G35" i="3"/>
  <c r="BL35" i="3"/>
  <c r="BA40" i="3"/>
  <c r="BA42" i="3"/>
  <c r="BL44" i="3"/>
  <c r="G45" i="3"/>
  <c r="G48" i="3"/>
  <c r="BA54" i="3"/>
  <c r="AZ54" i="3" s="1"/>
  <c r="BA55" i="3"/>
  <c r="G59" i="3"/>
  <c r="BA59" i="3"/>
  <c r="G71" i="3"/>
  <c r="BA73" i="3"/>
  <c r="G86" i="3"/>
  <c r="G95" i="3"/>
  <c r="G97" i="3"/>
  <c r="BL104" i="3"/>
  <c r="G106" i="3"/>
  <c r="G107" i="3"/>
  <c r="C42" i="1"/>
  <c r="C9" i="76"/>
  <c r="C64" i="76" s="1"/>
  <c r="B77" i="46"/>
  <c r="B88" i="46"/>
  <c r="C27" i="76"/>
  <c r="C87" i="59"/>
  <c r="D87" i="59" s="1"/>
  <c r="Y27" i="59"/>
  <c r="Z27" i="59" s="1"/>
  <c r="AB30" i="59"/>
  <c r="AB32" i="59"/>
  <c r="AA34" i="59"/>
  <c r="X38" i="59"/>
  <c r="AB39" i="59"/>
  <c r="E48" i="59"/>
  <c r="E49" i="59" s="1"/>
  <c r="U49" i="59" s="1"/>
  <c r="X3" i="59"/>
  <c r="AB19" i="59"/>
  <c r="BA159" i="3"/>
  <c r="BA166" i="3"/>
  <c r="AZ166" i="3" s="1"/>
  <c r="BA186" i="3"/>
  <c r="BL186" i="3"/>
  <c r="BA195" i="3"/>
  <c r="BA24" i="3"/>
  <c r="BA26" i="3"/>
  <c r="BL28" i="3"/>
  <c r="BA38" i="3"/>
  <c r="BA39" i="3"/>
  <c r="BL41" i="3"/>
  <c r="BL68" i="3"/>
  <c r="BA83" i="3"/>
  <c r="BL85" i="3"/>
  <c r="BA103" i="3"/>
  <c r="B57" i="46"/>
  <c r="E76" i="59"/>
  <c r="E75" i="59" s="1"/>
  <c r="X29" i="59"/>
  <c r="X31" i="59"/>
  <c r="X33" i="59"/>
  <c r="F36" i="59"/>
  <c r="F37" i="59" s="1"/>
  <c r="V37" i="59" s="1"/>
  <c r="B64" i="59"/>
  <c r="B65" i="59" s="1"/>
  <c r="S65" i="59" s="1"/>
  <c r="Y24" i="59"/>
  <c r="Z24" i="59" s="1"/>
  <c r="X19" i="59"/>
  <c r="AB15" i="59"/>
  <c r="AB18" i="59"/>
  <c r="M84" i="46"/>
  <c r="N84" i="46" s="1"/>
  <c r="C18" i="9"/>
  <c r="J14" i="11"/>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W27" i="39"/>
  <c r="AZ494" i="3"/>
  <c r="AZ506" i="3"/>
  <c r="AZ518" i="3"/>
  <c r="AZ523" i="3"/>
  <c r="O40" i="9"/>
  <c r="K31" i="9" s="1"/>
  <c r="K32" i="9" s="1"/>
  <c r="AC30" i="33"/>
  <c r="AZ556" i="3"/>
  <c r="AZ569" i="3"/>
  <c r="S45" i="21"/>
  <c r="W31" i="34"/>
  <c r="W30" i="21"/>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BL462" i="3"/>
  <c r="BA401" i="3"/>
  <c r="BA404" i="3"/>
  <c r="AZ404" i="3" s="1"/>
  <c r="BA407" i="3"/>
  <c r="AZ407" i="3" s="1"/>
  <c r="BA409" i="3"/>
  <c r="AZ409" i="3" s="1"/>
  <c r="BA410" i="3"/>
  <c r="AZ410" i="3" s="1"/>
  <c r="AZ412" i="3"/>
  <c r="BA414" i="3"/>
  <c r="G398" i="3"/>
  <c r="BL398" i="3"/>
  <c r="AZ398" i="3" s="1"/>
  <c r="BA403" i="3"/>
  <c r="BA408" i="3"/>
  <c r="BA411" i="3"/>
  <c r="BA418" i="3"/>
  <c r="AZ418" i="3" s="1"/>
  <c r="BA421" i="3"/>
  <c r="AZ421" i="3" s="1"/>
  <c r="BL448" i="3"/>
  <c r="BL460" i="3"/>
  <c r="A30" i="64"/>
  <c r="A30" i="51"/>
  <c r="B22" i="63" s="1"/>
  <c r="AZ399" i="3"/>
  <c r="BL401" i="3"/>
  <c r="AZ458" i="3"/>
  <c r="BL416" i="3"/>
  <c r="BL420" i="3"/>
  <c r="AZ420" i="3" s="1"/>
  <c r="BL422" i="3"/>
  <c r="BA389" i="3"/>
  <c r="AZ389" i="3" s="1"/>
  <c r="BA390" i="3"/>
  <c r="AZ390" i="3" s="1"/>
  <c r="BA391" i="3"/>
  <c r="AZ391" i="3" s="1"/>
  <c r="BA393" i="3"/>
  <c r="BA394" i="3"/>
  <c r="AZ394" i="3" s="1"/>
  <c r="BL442" i="3"/>
  <c r="BA392" i="3"/>
  <c r="BA395" i="3"/>
  <c r="BA396" i="3"/>
  <c r="AZ396" i="3" s="1"/>
  <c r="BA438" i="3"/>
  <c r="BL441" i="3"/>
  <c r="BL453" i="3"/>
  <c r="BL456" i="3"/>
  <c r="BA462" i="3"/>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BA133" i="3"/>
  <c r="AZ133" i="3" s="1"/>
  <c r="BA167" i="3"/>
  <c r="AZ167" i="3" s="1"/>
  <c r="BA171" i="3"/>
  <c r="BL175" i="3"/>
  <c r="BA183" i="3"/>
  <c r="BL415" i="3"/>
  <c r="AZ415" i="3" s="1"/>
  <c r="BA426" i="3"/>
  <c r="BL439" i="3"/>
  <c r="BA442" i="3"/>
  <c r="BL447" i="3"/>
  <c r="BA450" i="3"/>
  <c r="BL463" i="3"/>
  <c r="BL471" i="3"/>
  <c r="AZ471" i="3" s="1"/>
  <c r="BL479" i="3"/>
  <c r="AZ479" i="3" s="1"/>
  <c r="BA368" i="3"/>
  <c r="BA371" i="3"/>
  <c r="AZ371" i="3" s="1"/>
  <c r="BA384" i="3"/>
  <c r="AZ384" i="3" s="1"/>
  <c r="BA266" i="3"/>
  <c r="AZ266" i="3" s="1"/>
  <c r="BL277" i="3"/>
  <c r="BL280" i="3"/>
  <c r="BA285" i="3"/>
  <c r="BA288" i="3"/>
  <c r="BA289" i="3"/>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BA210" i="3"/>
  <c r="BA218" i="3"/>
  <c r="AZ218" i="3" s="1"/>
  <c r="BA226" i="3"/>
  <c r="AZ226" i="3" s="1"/>
  <c r="BA234" i="3"/>
  <c r="AZ234" i="3" s="1"/>
  <c r="BA242" i="3"/>
  <c r="AZ242" i="3" s="1"/>
  <c r="BA250" i="3"/>
  <c r="AZ250" i="3" s="1"/>
  <c r="BA258" i="3"/>
  <c r="AZ258" i="3" s="1"/>
  <c r="BL264" i="3"/>
  <c r="AZ264" i="3" s="1"/>
  <c r="G277" i="3"/>
  <c r="G280" i="3"/>
  <c r="BA287" i="3"/>
  <c r="BA296" i="3"/>
  <c r="BA120" i="3"/>
  <c r="AZ120" i="3" s="1"/>
  <c r="BA123" i="3"/>
  <c r="AZ123" i="3" s="1"/>
  <c r="BL124" i="3"/>
  <c r="G127" i="3"/>
  <c r="BL129" i="3"/>
  <c r="AZ129" i="3" s="1"/>
  <c r="BL132" i="3"/>
  <c r="BL136" i="3"/>
  <c r="BA162" i="3"/>
  <c r="AZ162" i="3" s="1"/>
  <c r="G168" i="3"/>
  <c r="G184" i="3"/>
  <c r="BL433" i="3"/>
  <c r="AZ433" i="3" s="1"/>
  <c r="BA436" i="3"/>
  <c r="BL457" i="3"/>
  <c r="BA460" i="3"/>
  <c r="AZ460" i="3" s="1"/>
  <c r="BL465" i="3"/>
  <c r="BA468" i="3"/>
  <c r="AZ468" i="3" s="1"/>
  <c r="BL473" i="3"/>
  <c r="BA476" i="3"/>
  <c r="AZ476" i="3" s="1"/>
  <c r="BA319" i="3"/>
  <c r="AZ319" i="3" s="1"/>
  <c r="BA351" i="3"/>
  <c r="AZ351" i="3" s="1"/>
  <c r="BL366" i="3"/>
  <c r="AZ366" i="3" s="1"/>
  <c r="BL208" i="3"/>
  <c r="AZ208" i="3" s="1"/>
  <c r="BL216" i="3"/>
  <c r="AZ216" i="3" s="1"/>
  <c r="BL224" i="3"/>
  <c r="AZ224" i="3" s="1"/>
  <c r="BL232" i="3"/>
  <c r="AZ232" i="3" s="1"/>
  <c r="BL240" i="3"/>
  <c r="BL248" i="3"/>
  <c r="AZ248" i="3" s="1"/>
  <c r="BL256" i="3"/>
  <c r="BL265" i="3"/>
  <c r="AZ265" i="3" s="1"/>
  <c r="BA269" i="3"/>
  <c r="BA270" i="3"/>
  <c r="AZ270" i="3" s="1"/>
  <c r="BL285" i="3"/>
  <c r="BL288" i="3"/>
  <c r="BA293" i="3"/>
  <c r="BA295" i="3"/>
  <c r="BL121" i="3"/>
  <c r="BL122" i="3"/>
  <c r="AZ122" i="3" s="1"/>
  <c r="BA158" i="3"/>
  <c r="AZ158" i="3" s="1"/>
  <c r="BL466" i="3"/>
  <c r="BA469" i="3"/>
  <c r="AZ469" i="3" s="1"/>
  <c r="BL474" i="3"/>
  <c r="AZ474" i="3" s="1"/>
  <c r="BA477" i="3"/>
  <c r="AZ477" i="3" s="1"/>
  <c r="AZ309" i="3"/>
  <c r="AZ349" i="3"/>
  <c r="AZ364" i="3"/>
  <c r="AZ369" i="3"/>
  <c r="BL385" i="3"/>
  <c r="AZ385" i="3" s="1"/>
  <c r="BL209" i="3"/>
  <c r="AZ209" i="3" s="1"/>
  <c r="BL233" i="3"/>
  <c r="AZ233" i="3" s="1"/>
  <c r="BL241" i="3"/>
  <c r="BL249" i="3"/>
  <c r="AZ249" i="3" s="1"/>
  <c r="BL257" i="3"/>
  <c r="BA271" i="3"/>
  <c r="BA272" i="3"/>
  <c r="AZ272" i="3" s="1"/>
  <c r="G285" i="3"/>
  <c r="BL296" i="3"/>
  <c r="BA115" i="3"/>
  <c r="AZ115" i="3" s="1"/>
  <c r="BA144" i="3"/>
  <c r="BL403" i="3"/>
  <c r="BA406" i="3"/>
  <c r="BL411" i="3"/>
  <c r="BA422" i="3"/>
  <c r="BL427" i="3"/>
  <c r="BA430" i="3"/>
  <c r="AZ430" i="3" s="1"/>
  <c r="BL443" i="3"/>
  <c r="AZ443" i="3" s="1"/>
  <c r="BA446" i="3"/>
  <c r="BL451" i="3"/>
  <c r="BA454" i="3"/>
  <c r="AZ454" i="3" s="1"/>
  <c r="BL459" i="3"/>
  <c r="AZ459" i="3" s="1"/>
  <c r="BL467" i="3"/>
  <c r="AZ467" i="3" s="1"/>
  <c r="BL475" i="3"/>
  <c r="AZ475" i="3" s="1"/>
  <c r="BL310" i="3"/>
  <c r="AZ310" i="3" s="1"/>
  <c r="BL314" i="3"/>
  <c r="AZ314" i="3" s="1"/>
  <c r="BA262" i="3"/>
  <c r="BL269" i="3"/>
  <c r="BA273" i="3"/>
  <c r="BL293" i="3"/>
  <c r="BL294" i="3"/>
  <c r="AZ294" i="3" s="1"/>
  <c r="G296" i="3"/>
  <c r="BL113" i="3"/>
  <c r="AZ113" i="3" s="1"/>
  <c r="BL116" i="3"/>
  <c r="BL120" i="3"/>
  <c r="BA148" i="3"/>
  <c r="BA149" i="3"/>
  <c r="BA154" i="3"/>
  <c r="AZ154" i="3" s="1"/>
  <c r="BL157" i="3"/>
  <c r="AZ157" i="3" s="1"/>
  <c r="G160" i="3"/>
  <c r="BA177" i="3"/>
  <c r="BL444" i="3"/>
  <c r="BL452" i="3"/>
  <c r="BA455" i="3"/>
  <c r="AZ455" i="3" s="1"/>
  <c r="BL318" i="3"/>
  <c r="BL350" i="3"/>
  <c r="AZ350" i="3" s="1"/>
  <c r="BA375" i="3"/>
  <c r="AZ375" i="3" s="1"/>
  <c r="BL387" i="3"/>
  <c r="AZ387" i="3" s="1"/>
  <c r="BA206" i="3"/>
  <c r="BL211" i="3"/>
  <c r="BA214" i="3"/>
  <c r="AZ214" i="3" s="1"/>
  <c r="BL219" i="3"/>
  <c r="BA222" i="3"/>
  <c r="BL227" i="3"/>
  <c r="BA230" i="3"/>
  <c r="AZ230" i="3" s="1"/>
  <c r="AZ238" i="3"/>
  <c r="AZ246" i="3"/>
  <c r="BL164" i="3"/>
  <c r="BL397" i="3"/>
  <c r="BA400" i="3"/>
  <c r="AZ400" i="3" s="1"/>
  <c r="BL405" i="3"/>
  <c r="BL413" i="3"/>
  <c r="BA416" i="3"/>
  <c r="AZ416" i="3" s="1"/>
  <c r="BL437" i="3"/>
  <c r="AZ437" i="3" s="1"/>
  <c r="BA440" i="3"/>
  <c r="BA448" i="3"/>
  <c r="BA456" i="3"/>
  <c r="BA464" i="3"/>
  <c r="AZ464" i="3" s="1"/>
  <c r="BA472" i="3"/>
  <c r="AZ472" i="3" s="1"/>
  <c r="BA480" i="3"/>
  <c r="BA335" i="3"/>
  <c r="AZ335" i="3" s="1"/>
  <c r="BL360" i="3"/>
  <c r="AZ360" i="3" s="1"/>
  <c r="BL376" i="3"/>
  <c r="AZ376" i="3" s="1"/>
  <c r="BL388" i="3"/>
  <c r="AZ388" i="3" s="1"/>
  <c r="BA207" i="3"/>
  <c r="BL212" i="3"/>
  <c r="AZ212" i="3" s="1"/>
  <c r="BA215" i="3"/>
  <c r="AZ215" i="3" s="1"/>
  <c r="BL220" i="3"/>
  <c r="AZ220" i="3" s="1"/>
  <c r="BA223" i="3"/>
  <c r="AZ223" i="3" s="1"/>
  <c r="BL228" i="3"/>
  <c r="AZ228" i="3" s="1"/>
  <c r="BA231" i="3"/>
  <c r="BL236" i="3"/>
  <c r="AZ236" i="3" s="1"/>
  <c r="BA239" i="3"/>
  <c r="BL244" i="3"/>
  <c r="AZ244" i="3" s="1"/>
  <c r="BA247" i="3"/>
  <c r="AZ247" i="3" s="1"/>
  <c r="BL252" i="3"/>
  <c r="AZ252" i="3" s="1"/>
  <c r="BA255" i="3"/>
  <c r="AZ255" i="3" s="1"/>
  <c r="BL260" i="3"/>
  <c r="AZ260" i="3" s="1"/>
  <c r="G261" i="3"/>
  <c r="BL261" i="3"/>
  <c r="AZ261" i="3" s="1"/>
  <c r="BA277" i="3"/>
  <c r="BA280" i="3"/>
  <c r="BA281" i="3"/>
  <c r="BA128" i="3"/>
  <c r="BA136" i="3"/>
  <c r="BA139" i="3"/>
  <c r="AZ139" i="3" s="1"/>
  <c r="BL140" i="3"/>
  <c r="AZ140" i="3" s="1"/>
  <c r="BL145" i="3"/>
  <c r="AZ145" i="3" s="1"/>
  <c r="BL148" i="3"/>
  <c r="BA28" i="3"/>
  <c r="BL33" i="3"/>
  <c r="BA44" i="3"/>
  <c r="AZ44" i="3" s="1"/>
  <c r="BL49" i="3"/>
  <c r="AZ49" i="3" s="1"/>
  <c r="BA66" i="3"/>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AZ42" i="3" s="1"/>
  <c r="BA53" i="3"/>
  <c r="AZ53" i="3" s="1"/>
  <c r="BL64" i="3"/>
  <c r="AZ64" i="3" s="1"/>
  <c r="BA75" i="3"/>
  <c r="AZ75" i="3" s="1"/>
  <c r="BL83" i="3"/>
  <c r="AZ83" i="3" s="1"/>
  <c r="BL84" i="3"/>
  <c r="BL96" i="3"/>
  <c r="BL98" i="3"/>
  <c r="BL100" i="3"/>
  <c r="C52" i="59"/>
  <c r="D51" i="59"/>
  <c r="BL279" i="3"/>
  <c r="BA282" i="3"/>
  <c r="AZ282" i="3" s="1"/>
  <c r="BL287" i="3"/>
  <c r="BA290" i="3"/>
  <c r="BL295" i="3"/>
  <c r="BL126" i="3"/>
  <c r="AZ126" i="3" s="1"/>
  <c r="BL142" i="3"/>
  <c r="AZ142" i="3" s="1"/>
  <c r="BL156" i="3"/>
  <c r="BA163" i="3"/>
  <c r="AZ163" i="3" s="1"/>
  <c r="BL173" i="3"/>
  <c r="AZ173" i="3" s="1"/>
  <c r="BL190" i="3"/>
  <c r="BA193" i="3"/>
  <c r="AZ193" i="3" s="1"/>
  <c r="BL27" i="3"/>
  <c r="AZ27" i="3" s="1"/>
  <c r="BA30" i="3"/>
  <c r="AZ30" i="3" s="1"/>
  <c r="BL43" i="3"/>
  <c r="AZ43" i="3" s="1"/>
  <c r="BA46" i="3"/>
  <c r="BL58" i="3"/>
  <c r="AZ58" i="3" s="1"/>
  <c r="BA60" i="3"/>
  <c r="AZ60" i="3" s="1"/>
  <c r="BA68" i="3"/>
  <c r="BA76" i="3"/>
  <c r="AZ76" i="3" s="1"/>
  <c r="BA77" i="3"/>
  <c r="AZ77" i="3" s="1"/>
  <c r="BA88" i="3"/>
  <c r="AZ88" i="3" s="1"/>
  <c r="G100" i="3"/>
  <c r="BA104" i="3"/>
  <c r="AZ104" i="3" s="1"/>
  <c r="D32" i="59"/>
  <c r="C33" i="59"/>
  <c r="M23" i="46"/>
  <c r="C44" i="59"/>
  <c r="D43" i="59"/>
  <c r="BL159" i="3"/>
  <c r="AZ159" i="3" s="1"/>
  <c r="BA164" i="3"/>
  <c r="BA180" i="3"/>
  <c r="AZ180" i="3" s="1"/>
  <c r="BL191" i="3"/>
  <c r="AZ191" i="3" s="1"/>
  <c r="BL204" i="3"/>
  <c r="BA31" i="3"/>
  <c r="AZ31" i="3" s="1"/>
  <c r="BL36" i="3"/>
  <c r="BA47" i="3"/>
  <c r="AZ47" i="3" s="1"/>
  <c r="BL52" i="3"/>
  <c r="AZ52" i="3" s="1"/>
  <c r="BL59" i="3"/>
  <c r="AZ59" i="3" s="1"/>
  <c r="G74" i="3"/>
  <c r="BL74" i="3"/>
  <c r="AZ74" i="3" s="1"/>
  <c r="BA78" i="3"/>
  <c r="AZ78" i="3" s="1"/>
  <c r="D84" i="46"/>
  <c r="C56" i="59"/>
  <c r="D55" i="59"/>
  <c r="N68" i="59"/>
  <c r="B67" i="59"/>
  <c r="BL176" i="3"/>
  <c r="BA179" i="3"/>
  <c r="AZ179" i="3" s="1"/>
  <c r="BA181" i="3"/>
  <c r="AZ181" i="3" s="1"/>
  <c r="BL194" i="3"/>
  <c r="BA197" i="3"/>
  <c r="AZ197" i="3" s="1"/>
  <c r="BL29" i="3"/>
  <c r="BA32" i="3"/>
  <c r="AZ32" i="3" s="1"/>
  <c r="BL45" i="3"/>
  <c r="BA48" i="3"/>
  <c r="AZ48" i="3" s="1"/>
  <c r="BA62" i="3"/>
  <c r="AZ62" i="3" s="1"/>
  <c r="BL67" i="3"/>
  <c r="BL76" i="3"/>
  <c r="BA79" i="3"/>
  <c r="AZ79" i="3" s="1"/>
  <c r="BL87" i="3"/>
  <c r="AZ87" i="3" s="1"/>
  <c r="BL103" i="3"/>
  <c r="AZ103" i="3" s="1"/>
  <c r="BL177" i="3"/>
  <c r="BL195" i="3"/>
  <c r="AZ195" i="3" s="1"/>
  <c r="BL22" i="3"/>
  <c r="AZ22" i="3" s="1"/>
  <c r="AZ95" i="3"/>
  <c r="AZ111" i="3"/>
  <c r="D47" i="59"/>
  <c r="C48" i="59"/>
  <c r="D48" i="59" s="1"/>
  <c r="P68" i="59"/>
  <c r="E67" i="59"/>
  <c r="BL275" i="3"/>
  <c r="AZ275" i="3" s="1"/>
  <c r="BA278" i="3"/>
  <c r="AZ278" i="3" s="1"/>
  <c r="BL283" i="3"/>
  <c r="AZ283" i="3" s="1"/>
  <c r="BA286" i="3"/>
  <c r="BL291" i="3"/>
  <c r="AZ291" i="3" s="1"/>
  <c r="BL118" i="3"/>
  <c r="AZ118" i="3" s="1"/>
  <c r="BL134" i="3"/>
  <c r="AZ134" i="3" s="1"/>
  <c r="BL150" i="3"/>
  <c r="AZ150" i="3" s="1"/>
  <c r="BA155" i="3"/>
  <c r="AZ155" i="3" s="1"/>
  <c r="BL165" i="3"/>
  <c r="AZ165" i="3" s="1"/>
  <c r="BL182" i="3"/>
  <c r="AZ182" i="3" s="1"/>
  <c r="BA185" i="3"/>
  <c r="AZ185" i="3" s="1"/>
  <c r="BL198" i="3"/>
  <c r="BA201" i="3"/>
  <c r="AZ201" i="3" s="1"/>
  <c r="BA202" i="3"/>
  <c r="AZ202" i="3" s="1"/>
  <c r="BL23" i="3"/>
  <c r="AZ23" i="3" s="1"/>
  <c r="BA34" i="3"/>
  <c r="AZ34" i="3" s="1"/>
  <c r="BL39" i="3"/>
  <c r="BA50" i="3"/>
  <c r="AZ50" i="3" s="1"/>
  <c r="BL55" i="3"/>
  <c r="BA57" i="3"/>
  <c r="AZ57" i="3" s="1"/>
  <c r="BL61" i="3"/>
  <c r="AZ61" i="3" s="1"/>
  <c r="BL69" i="3"/>
  <c r="BA81" i="3"/>
  <c r="AZ81" i="3" s="1"/>
  <c r="BA82" i="3"/>
  <c r="BL90" i="3"/>
  <c r="BL92" i="3"/>
  <c r="BL106" i="3"/>
  <c r="AZ106" i="3" s="1"/>
  <c r="BL108" i="3"/>
  <c r="BA112" i="3"/>
  <c r="AZ112" i="3" s="1"/>
  <c r="C60" i="59"/>
  <c r="D59" i="59"/>
  <c r="V29" i="59"/>
  <c r="F28" i="59"/>
  <c r="F27" i="59" s="1"/>
  <c r="BA263" i="3"/>
  <c r="AZ263" i="3" s="1"/>
  <c r="BL268" i="3"/>
  <c r="AZ268" i="3" s="1"/>
  <c r="BL276" i="3"/>
  <c r="AZ276" i="3" s="1"/>
  <c r="BL284" i="3"/>
  <c r="AZ284" i="3" s="1"/>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BL70" i="3"/>
  <c r="BA72" i="3"/>
  <c r="AZ72" i="3" s="1"/>
  <c r="BA84" i="3"/>
  <c r="BA85" i="3"/>
  <c r="G92" i="3"/>
  <c r="BL93" i="3"/>
  <c r="BL94" i="3"/>
  <c r="AZ94" i="3" s="1"/>
  <c r="BA97" i="3"/>
  <c r="AZ97" i="3" s="1"/>
  <c r="BA98" i="3"/>
  <c r="AZ98" i="3" s="1"/>
  <c r="BA99" i="3"/>
  <c r="AZ99" i="3" s="1"/>
  <c r="BA100" i="3"/>
  <c r="BA101" i="3"/>
  <c r="AZ101" i="3" s="1"/>
  <c r="G108" i="3"/>
  <c r="BL109" i="3"/>
  <c r="AZ109" i="3" s="1"/>
  <c r="BL110" i="3"/>
  <c r="AZ110" i="3" s="1"/>
  <c r="C41" i="59"/>
  <c r="D40" i="59"/>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BL105" i="3"/>
  <c r="AZ105" i="3" s="1"/>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AP6" i="1" s="1"/>
  <c r="G29" i="6"/>
  <c r="E29" i="6" s="1"/>
  <c r="K15" i="1" s="1"/>
  <c r="E5" i="6"/>
  <c r="D12" i="11" s="1"/>
  <c r="C12" i="11" s="1"/>
  <c r="A11" i="55"/>
  <c r="B62" i="63" s="1"/>
  <c r="A18" i="64"/>
  <c r="B74" i="63" s="1"/>
  <c r="C53" i="10"/>
  <c r="A25" i="64" s="1"/>
  <c r="A18" i="51"/>
  <c r="B14" i="63" s="1"/>
  <c r="K5" i="54"/>
  <c r="B38" i="63" s="1"/>
  <c r="L5" i="54"/>
  <c r="B39" i="63" s="1"/>
  <c r="T41" i="4"/>
  <c r="A17" i="64" s="1"/>
  <c r="H72" i="46"/>
  <c r="H86" i="46"/>
  <c r="H90" i="46"/>
  <c r="H89" i="46"/>
  <c r="H83" i="46"/>
  <c r="G12" i="1"/>
  <c r="D65" i="46"/>
  <c r="D50" i="46"/>
  <c r="F36" i="44"/>
  <c r="M22" i="44"/>
  <c r="M20" i="15"/>
  <c r="C6" i="12"/>
  <c r="C24" i="12" s="1"/>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AZ20" i="3"/>
  <c r="AZ484" i="3"/>
  <c r="AZ397" i="3"/>
  <c r="AZ405" i="3"/>
  <c r="AZ411" i="3"/>
  <c r="AZ413" i="3"/>
  <c r="AZ417" i="3"/>
  <c r="AZ427" i="3"/>
  <c r="AZ447" i="3"/>
  <c r="AZ451" i="3"/>
  <c r="AZ457" i="3"/>
  <c r="AZ465" i="3"/>
  <c r="AZ473" i="3"/>
  <c r="AZ206" i="3"/>
  <c r="AZ116" i="3"/>
  <c r="BT5" i="3"/>
  <c r="G28" i="6" s="1"/>
  <c r="BI5" i="3"/>
  <c r="BG5" i="3"/>
  <c r="AZ211" i="3"/>
  <c r="AZ219" i="3"/>
  <c r="AZ227" i="3"/>
  <c r="AZ235" i="3"/>
  <c r="AZ243" i="3"/>
  <c r="AZ251" i="3"/>
  <c r="AZ259" i="3"/>
  <c r="AZ271" i="3"/>
  <c r="AZ287" i="3"/>
  <c r="AZ168" i="3"/>
  <c r="AZ176" i="3"/>
  <c r="AZ186" i="3"/>
  <c r="AZ190" i="3"/>
  <c r="AZ194" i="3"/>
  <c r="AZ198" i="3"/>
  <c r="AZ29" i="3"/>
  <c r="AZ33" i="3"/>
  <c r="AZ45" i="3"/>
  <c r="AZ69" i="3"/>
  <c r="AZ80" i="3"/>
  <c r="AZ96" i="3"/>
  <c r="AZ100" i="3"/>
  <c r="AP7" i="1"/>
  <c r="B21" i="63"/>
  <c r="N4" i="63"/>
  <c r="A9" i="51"/>
  <c r="B9" i="63" s="1"/>
  <c r="A28" i="64"/>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10" i="1"/>
  <c r="G13" i="1"/>
  <c r="F12" i="59"/>
  <c r="V13" i="59"/>
  <c r="C95" i="9"/>
  <c r="C92" i="9" s="1"/>
  <c r="C25" i="12"/>
  <c r="C15" i="43"/>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6" i="46"/>
  <c r="P27" i="46"/>
  <c r="P29" i="46"/>
  <c r="B72" i="39" s="1"/>
  <c r="L44" i="9"/>
  <c r="L43" i="9"/>
  <c r="D22" i="9"/>
  <c r="C29" i="44"/>
  <c r="F70" i="15"/>
  <c r="L59" i="15"/>
  <c r="I54" i="15"/>
  <c r="I55" i="44"/>
  <c r="J54" i="44"/>
  <c r="L57" i="44"/>
  <c r="J58" i="44"/>
  <c r="J56" i="44" s="1"/>
  <c r="J59" i="44" s="1"/>
  <c r="Q52" i="44" s="1"/>
  <c r="F63" i="15"/>
  <c r="C4" i="65"/>
  <c r="B39" i="1" s="1"/>
  <c r="F38" i="44"/>
  <c r="L48" i="44"/>
  <c r="I6" i="65"/>
  <c r="F39" i="44"/>
  <c r="F9" i="44"/>
  <c r="F40" i="15"/>
  <c r="M24" i="44"/>
  <c r="J17" i="44"/>
  <c r="M23" i="15"/>
  <c r="M24" i="15"/>
  <c r="F16" i="15"/>
  <c r="F6" i="15"/>
  <c r="C18" i="44"/>
  <c r="F11" i="44"/>
  <c r="F7" i="15"/>
  <c r="M9" i="15"/>
  <c r="J15" i="15"/>
  <c r="F42" i="15"/>
  <c r="I7" i="65"/>
  <c r="M10" i="44"/>
  <c r="F38" i="15"/>
  <c r="F8" i="15"/>
  <c r="J3" i="65"/>
  <c r="J36" i="15"/>
  <c r="J6" i="65"/>
  <c r="M22" i="15"/>
  <c r="M6" i="15"/>
  <c r="J7" i="65"/>
  <c r="F26" i="15"/>
  <c r="L48" i="15"/>
  <c r="I4" i="65"/>
  <c r="F43" i="44"/>
  <c r="M8" i="44"/>
  <c r="I3" i="65"/>
  <c r="M26" i="15"/>
  <c r="F37" i="15"/>
  <c r="J5" i="65"/>
  <c r="M30" i="44"/>
  <c r="I5" i="65"/>
  <c r="Q73" i="44" l="1"/>
  <c r="F64" i="15"/>
  <c r="M7" i="15"/>
  <c r="M17" i="15" s="1"/>
  <c r="F49" i="15"/>
  <c r="E20" i="59"/>
  <c r="E19" i="59" s="1"/>
  <c r="E18" i="59" s="1"/>
  <c r="E17" i="59" s="1"/>
  <c r="U21" i="59"/>
  <c r="AC13" i="21"/>
  <c r="W13" i="21"/>
  <c r="AZ85" i="3"/>
  <c r="AZ231" i="3"/>
  <c r="AZ177" i="3"/>
  <c r="AZ240" i="3"/>
  <c r="AZ453" i="3"/>
  <c r="AA13" i="21"/>
  <c r="S13" i="21"/>
  <c r="AB28" i="33"/>
  <c r="U28" i="33"/>
  <c r="AC40" i="37"/>
  <c r="W40" i="37"/>
  <c r="U27" i="33"/>
  <c r="AB27" i="33"/>
  <c r="AB11" i="35"/>
  <c r="U11" i="35"/>
  <c r="W12" i="21"/>
  <c r="AC12" i="21"/>
  <c r="AZ136" i="3"/>
  <c r="S11" i="35"/>
  <c r="AA11" i="35"/>
  <c r="S12" i="21"/>
  <c r="AA12" i="21"/>
  <c r="U26" i="33"/>
  <c r="AB26" i="33"/>
  <c r="U29" i="34"/>
  <c r="AB29" i="34"/>
  <c r="S44" i="33"/>
  <c r="AA44" i="33"/>
  <c r="S30" i="34"/>
  <c r="AA30" i="34"/>
  <c r="D67" i="59"/>
  <c r="AZ65" i="3"/>
  <c r="AZ55" i="3"/>
  <c r="AZ286" i="3"/>
  <c r="AZ36" i="3"/>
  <c r="AZ281" i="3"/>
  <c r="AZ222" i="3"/>
  <c r="AZ318" i="3"/>
  <c r="AZ149" i="3"/>
  <c r="AZ273" i="3"/>
  <c r="AZ406" i="3"/>
  <c r="AZ257" i="3"/>
  <c r="AZ425" i="3"/>
  <c r="U44" i="33"/>
  <c r="AB44" i="33"/>
  <c r="AB30" i="34"/>
  <c r="U30" i="34"/>
  <c r="AC13" i="37"/>
  <c r="W13" i="37"/>
  <c r="AZ403" i="3"/>
  <c r="AC44" i="33"/>
  <c r="W44" i="33"/>
  <c r="U45" i="21"/>
  <c r="AB45" i="21"/>
  <c r="S13" i="37"/>
  <c r="AA13" i="37"/>
  <c r="AZ13" i="3"/>
  <c r="O66" i="59"/>
  <c r="AZ90" i="3"/>
  <c r="AZ67" i="3"/>
  <c r="AZ204" i="3"/>
  <c r="AZ68" i="3"/>
  <c r="AZ239" i="3"/>
  <c r="AZ207" i="3"/>
  <c r="AZ456" i="3"/>
  <c r="AZ452" i="3"/>
  <c r="AZ262" i="3"/>
  <c r="AZ446" i="3"/>
  <c r="AZ144" i="3"/>
  <c r="AZ241" i="3"/>
  <c r="AZ256" i="3"/>
  <c r="AZ386" i="3"/>
  <c r="AZ289" i="3"/>
  <c r="AZ368" i="3"/>
  <c r="AZ426" i="3"/>
  <c r="AZ414" i="3"/>
  <c r="AZ449" i="3"/>
  <c r="AA12" i="33"/>
  <c r="AZ137" i="3"/>
  <c r="AB13" i="37"/>
  <c r="U13" i="37"/>
  <c r="U12" i="21"/>
  <c r="AB12" i="21"/>
  <c r="S30" i="21"/>
  <c r="AA30" i="21"/>
  <c r="AZ448" i="3"/>
  <c r="AZ152" i="3"/>
  <c r="AC27" i="33"/>
  <c r="W27" i="33"/>
  <c r="AZ295" i="3"/>
  <c r="AZ288" i="3"/>
  <c r="AZ395" i="3"/>
  <c r="AZ160" i="3"/>
  <c r="AZ254" i="3"/>
  <c r="AA9" i="35"/>
  <c r="S9" i="35"/>
  <c r="AC9" i="33"/>
  <c r="W9" i="33"/>
  <c r="AC44" i="21"/>
  <c r="W44" i="21"/>
  <c r="AZ269" i="3"/>
  <c r="AZ442" i="3"/>
  <c r="AZ392" i="3"/>
  <c r="AZ445" i="3"/>
  <c r="AZ225" i="3"/>
  <c r="H16" i="1"/>
  <c r="F67" i="15"/>
  <c r="L58" i="15"/>
  <c r="Q74" i="15" s="1"/>
  <c r="J53" i="15"/>
  <c r="F1" i="15" s="1"/>
  <c r="J57" i="15"/>
  <c r="J55" i="15" s="1"/>
  <c r="J58" i="15" s="1"/>
  <c r="Q51" i="15" s="1"/>
  <c r="L56" i="15"/>
  <c r="L60" i="44"/>
  <c r="Q63" i="44" s="1"/>
  <c r="L59" i="44"/>
  <c r="Q62" i="44" s="1"/>
  <c r="J1" i="65"/>
  <c r="F48" i="15"/>
  <c r="C27" i="15"/>
  <c r="C8" i="44"/>
  <c r="C34" i="44" s="1"/>
  <c r="M9" i="44"/>
  <c r="J8" i="44" s="1"/>
  <c r="J20" i="44" s="1"/>
  <c r="Q72" i="15"/>
  <c r="AZ82" i="3"/>
  <c r="AZ290" i="3"/>
  <c r="AZ28" i="3"/>
  <c r="AZ438" i="3"/>
  <c r="AA25" i="37"/>
  <c r="S25" i="37"/>
  <c r="AZ280" i="3"/>
  <c r="AZ121" i="3"/>
  <c r="AZ439" i="3"/>
  <c r="AZ217" i="3"/>
  <c r="BL5" i="3"/>
  <c r="AZ84" i="3"/>
  <c r="AZ277" i="3"/>
  <c r="AZ441" i="3"/>
  <c r="AZ434" i="3"/>
  <c r="C66" i="76"/>
  <c r="D64" i="76"/>
  <c r="AZ267" i="3"/>
  <c r="AB34" i="36"/>
  <c r="U34" i="36"/>
  <c r="A1" i="70"/>
  <c r="AZ132" i="3"/>
  <c r="AB24" i="35"/>
  <c r="U24" i="35"/>
  <c r="AC34" i="36"/>
  <c r="W34" i="36"/>
  <c r="P25" i="46"/>
  <c r="O23" i="46"/>
  <c r="AZ70" i="3"/>
  <c r="AZ164" i="3"/>
  <c r="AZ46" i="3"/>
  <c r="AZ156" i="3"/>
  <c r="AZ66" i="3"/>
  <c r="AZ444" i="3"/>
  <c r="AZ296" i="3"/>
  <c r="AZ285" i="3"/>
  <c r="AZ5" i="3" s="1"/>
  <c r="E3" i="6" s="1"/>
  <c r="AZ401" i="3"/>
  <c r="AZ38" i="3"/>
  <c r="D24" i="59"/>
  <c r="C23" i="59"/>
  <c r="AB23" i="36"/>
  <c r="U23" i="36"/>
  <c r="AZ92" i="3"/>
  <c r="AA23" i="36"/>
  <c r="S23" i="36"/>
  <c r="AA9" i="36"/>
  <c r="S9" i="36"/>
  <c r="AZ462" i="3"/>
  <c r="S45" i="33"/>
  <c r="AA45" i="33"/>
  <c r="P28" i="46"/>
  <c r="B67" i="40" s="1"/>
  <c r="G30" i="6"/>
  <c r="G31" i="6" s="1"/>
  <c r="AZ93" i="3"/>
  <c r="AZ39" i="3"/>
  <c r="AZ480" i="3"/>
  <c r="AZ436" i="3"/>
  <c r="AZ210" i="3"/>
  <c r="AZ175" i="3"/>
  <c r="AZ432" i="3"/>
  <c r="AZ408" i="3"/>
  <c r="AZ470" i="3"/>
  <c r="U25" i="37"/>
  <c r="AB25" i="37"/>
  <c r="S39" i="37"/>
  <c r="AA39" i="37"/>
  <c r="U13" i="21"/>
  <c r="AB13" i="21"/>
  <c r="M43" i="9"/>
  <c r="D18" i="9"/>
  <c r="C20" i="46"/>
  <c r="J15" i="11"/>
  <c r="E14" i="11" s="1"/>
  <c r="E53" i="40"/>
  <c r="E53" i="76"/>
  <c r="G9" i="1"/>
  <c r="F50" i="15"/>
  <c r="C6" i="15"/>
  <c r="C32" i="15" s="1"/>
  <c r="F65" i="15"/>
  <c r="I1" i="65"/>
  <c r="D80" i="59"/>
  <c r="C79" i="59"/>
  <c r="D79" i="59" s="1"/>
  <c r="AZ440" i="3"/>
  <c r="AZ422" i="3"/>
  <c r="W36" i="35"/>
  <c r="AC36" i="35"/>
  <c r="E16" i="59"/>
  <c r="E15" i="59" s="1"/>
  <c r="E14" i="59" s="1"/>
  <c r="E13" i="59" s="1"/>
  <c r="E12" i="59" s="1"/>
  <c r="U17" i="59"/>
  <c r="E15" i="6"/>
  <c r="E61" i="76" s="1"/>
  <c r="I24" i="46"/>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G6" i="1"/>
  <c r="M89" i="46"/>
  <c r="N89" i="46" s="1"/>
  <c r="K89" i="46"/>
  <c r="AZ108" i="3"/>
  <c r="T33" i="59"/>
  <c r="D33" i="59"/>
  <c r="AZ466" i="3"/>
  <c r="AZ450" i="3"/>
  <c r="AZ393" i="3"/>
  <c r="U12" i="36"/>
  <c r="AB12" i="36"/>
  <c r="AB34" i="35"/>
  <c r="U34" i="35"/>
  <c r="J7" i="33"/>
  <c r="W7"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P16" i="1"/>
  <c r="F22" i="11" s="1"/>
  <c r="A25" i="51"/>
  <c r="B18" i="63" s="1"/>
  <c r="A17" i="51"/>
  <c r="B13" i="63" s="1"/>
  <c r="A3" i="55"/>
  <c r="B56" i="63" s="1"/>
  <c r="J60" i="44"/>
  <c r="J61" i="44" s="1"/>
  <c r="Q50" i="44" s="1"/>
  <c r="D26" i="46"/>
  <c r="C25" i="46" s="1"/>
  <c r="C29" i="12"/>
  <c r="BA5" i="3"/>
  <c r="E12" i="6"/>
  <c r="J7" i="21"/>
  <c r="W7"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3" i="39"/>
  <c r="E66" i="39"/>
  <c r="H7" i="34"/>
  <c r="U7" i="34" s="1"/>
  <c r="F7" i="34"/>
  <c r="AA7" i="34" s="1"/>
  <c r="R49" i="34" s="1"/>
  <c r="J7" i="34"/>
  <c r="W7" i="34" s="1"/>
  <c r="F11" i="59"/>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F11" i="15"/>
  <c r="M11" i="15"/>
  <c r="F13" i="44"/>
  <c r="C12" i="44" s="1"/>
  <c r="M32" i="46"/>
  <c r="P32" i="46"/>
  <c r="O32" i="46"/>
  <c r="N32" i="46"/>
  <c r="F1" i="44"/>
  <c r="Q54" i="44"/>
  <c r="J6" i="15"/>
  <c r="J18" i="15" s="1"/>
  <c r="AE6" i="1"/>
  <c r="AE12" i="1"/>
  <c r="AE7" i="1"/>
  <c r="AE8" i="1"/>
  <c r="AE9" i="1"/>
  <c r="AE10" i="1"/>
  <c r="AE11" i="1"/>
  <c r="E3" i="65"/>
  <c r="C16" i="15"/>
  <c r="E2" i="65"/>
  <c r="F46" i="44"/>
  <c r="F41" i="15"/>
  <c r="J7" i="44" l="1"/>
  <c r="Q61" i="15"/>
  <c r="AC7" i="21"/>
  <c r="V48" i="21" s="1"/>
  <c r="I48" i="21" s="1"/>
  <c r="E61" i="40"/>
  <c r="C7" i="44"/>
  <c r="C40" i="44" s="1"/>
  <c r="B67" i="76"/>
  <c r="Q53" i="15"/>
  <c r="C14" i="11"/>
  <c r="C10" i="11" s="1"/>
  <c r="C48" i="15"/>
  <c r="Q76" i="44"/>
  <c r="Q75" i="44"/>
  <c r="AB7" i="34"/>
  <c r="T49" i="34" s="1"/>
  <c r="G49" i="34" s="1"/>
  <c r="G53" i="34" s="1"/>
  <c r="H53" i="34" s="1"/>
  <c r="AC7" i="33"/>
  <c r="V48" i="33" s="1"/>
  <c r="I48" i="33" s="1"/>
  <c r="G16" i="1"/>
  <c r="J12" i="40" s="1"/>
  <c r="W12" i="40" s="1"/>
  <c r="E64" i="76"/>
  <c r="D66" i="76"/>
  <c r="C22" i="59"/>
  <c r="D23" i="59"/>
  <c r="U13" i="59"/>
  <c r="S7" i="34"/>
  <c r="J89" i="46"/>
  <c r="D89" i="46"/>
  <c r="M44" i="9"/>
  <c r="G21" i="9"/>
  <c r="G19" i="9"/>
  <c r="G20" i="9"/>
  <c r="E62" i="39"/>
  <c r="E57" i="76"/>
  <c r="E65" i="39"/>
  <c r="E60" i="76"/>
  <c r="D16" i="43"/>
  <c r="C16" i="43" s="1"/>
  <c r="B14" i="66"/>
  <c r="E59" i="40"/>
  <c r="E59" i="76"/>
  <c r="E58" i="40"/>
  <c r="E58" i="76"/>
  <c r="B40" i="1"/>
  <c r="C24" i="46"/>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7" i="15"/>
  <c r="M29" i="44"/>
  <c r="H12" i="40" l="1"/>
  <c r="F12" i="39"/>
  <c r="F12" i="40"/>
  <c r="C47" i="15"/>
  <c r="C65" i="15" s="1"/>
  <c r="F12" i="76"/>
  <c r="AA12" i="76" s="1"/>
  <c r="H12" i="76"/>
  <c r="U12" i="76" s="1"/>
  <c r="J12" i="76"/>
  <c r="W12" i="76" s="1"/>
  <c r="C21" i="59"/>
  <c r="D22" i="59"/>
  <c r="B1" i="66"/>
  <c r="C7" i="66" s="1"/>
  <c r="F64" i="76"/>
  <c r="E66" i="76"/>
  <c r="AC12" i="40"/>
  <c r="C32" i="9"/>
  <c r="N43" i="9"/>
  <c r="S12" i="76"/>
  <c r="L36" i="46"/>
  <c r="N36" i="46" s="1"/>
  <c r="F17" i="11"/>
  <c r="B12" i="59"/>
  <c r="B11" i="59" s="1"/>
  <c r="B10" i="59" s="1"/>
  <c r="S13" i="59"/>
  <c r="D22" i="12"/>
  <c r="C22" i="12" s="1"/>
  <c r="C20" i="12" s="1"/>
  <c r="E83" i="46"/>
  <c r="B81" i="46" s="1"/>
  <c r="C28" i="46" s="1"/>
  <c r="T7" i="46" s="1"/>
  <c r="V7" i="46" s="1"/>
  <c r="D37" i="59"/>
  <c r="T37" i="59"/>
  <c r="E31" i="6"/>
  <c r="K21" i="6"/>
  <c r="S8" i="1" s="1"/>
  <c r="C16" i="12"/>
  <c r="G43" i="35"/>
  <c r="H43" i="35" s="1"/>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59" i="15" l="1"/>
  <c r="AC12" i="76"/>
  <c r="AB12" i="76"/>
  <c r="F66" i="76"/>
  <c r="G64" i="76"/>
  <c r="C8" i="66"/>
  <c r="C6" i="66"/>
  <c r="C20" i="59"/>
  <c r="T21" i="59"/>
  <c r="D21" i="59"/>
  <c r="K27" i="6"/>
  <c r="O43" i="9"/>
  <c r="O38" i="9"/>
  <c r="C42" i="9"/>
  <c r="C33" i="9"/>
  <c r="T6" i="46"/>
  <c r="V6" i="46" s="1"/>
  <c r="C39" i="46"/>
  <c r="G39" i="46" s="1"/>
  <c r="I39" i="46" s="1"/>
  <c r="T4" i="46"/>
  <c r="V4" i="46" s="1"/>
  <c r="C37" i="46"/>
  <c r="E37" i="46" s="1"/>
  <c r="T5" i="46"/>
  <c r="V5" i="46" s="1"/>
  <c r="T15" i="46"/>
  <c r="V15" i="46" s="1"/>
  <c r="T8" i="46"/>
  <c r="V8" i="46" s="1"/>
  <c r="T16" i="46"/>
  <c r="V16" i="46" s="1"/>
  <c r="C25" i="11"/>
  <c r="C38" i="46"/>
  <c r="E38" i="46" s="1"/>
  <c r="C41" i="46"/>
  <c r="G41" i="46" s="1"/>
  <c r="I41" i="46" s="1"/>
  <c r="C42" i="46"/>
  <c r="E42" i="46" s="1"/>
  <c r="T13" i="46"/>
  <c r="V13" i="46" s="1"/>
  <c r="T12" i="46"/>
  <c r="V12" i="46" s="1"/>
  <c r="T10" i="46"/>
  <c r="V10" i="46" s="1"/>
  <c r="T3" i="46"/>
  <c r="V3" i="46" s="1"/>
  <c r="T2" i="46"/>
  <c r="V2" i="46" s="1"/>
  <c r="C33" i="46"/>
  <c r="F1" i="46"/>
  <c r="D33" i="46" s="1"/>
  <c r="D1" i="46" s="1"/>
  <c r="C14" i="66"/>
  <c r="D26" i="11"/>
  <c r="E62" i="76"/>
  <c r="M21" i="6"/>
  <c r="I21" i="6" s="1"/>
  <c r="S21" i="6" s="1"/>
  <c r="O36" i="46"/>
  <c r="L37" i="46"/>
  <c r="O37" i="46" s="1"/>
  <c r="P36" i="46"/>
  <c r="M36" i="46"/>
  <c r="Q36" i="46"/>
  <c r="T14" i="46"/>
  <c r="V14" i="46" s="1"/>
  <c r="T9" i="46"/>
  <c r="V9" i="46" s="1"/>
  <c r="C40" i="46"/>
  <c r="T11" i="46"/>
  <c r="V11"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D12" i="6"/>
  <c r="H20" i="6"/>
  <c r="H26" i="6"/>
  <c r="D23" i="6"/>
  <c r="E46" i="9"/>
  <c r="F45" i="9"/>
  <c r="D28" i="6"/>
  <c r="G22" i="9"/>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E39" i="46" l="1"/>
  <c r="B2" i="66"/>
  <c r="G66" i="76"/>
  <c r="H64" i="76"/>
  <c r="C19" i="59"/>
  <c r="D20" i="59"/>
  <c r="C34" i="46"/>
  <c r="E34" i="46" s="1"/>
  <c r="B4" i="72"/>
  <c r="B5" i="72" s="1"/>
  <c r="G38" i="46"/>
  <c r="I38" i="46" s="1"/>
  <c r="H25" i="6"/>
  <c r="D30" i="6"/>
  <c r="H21" i="6"/>
  <c r="H24" i="6"/>
  <c r="R24" i="6" s="1"/>
  <c r="R11" i="1" s="1"/>
  <c r="D63" i="9"/>
  <c r="R5" i="54"/>
  <c r="B48" i="63" s="1"/>
  <c r="N68" i="9"/>
  <c r="D42" i="9"/>
  <c r="Q5" i="54" s="1"/>
  <c r="B47" i="63" s="1"/>
  <c r="N38" i="9"/>
  <c r="K28" i="9" s="1"/>
  <c r="K26" i="9"/>
  <c r="K25" i="9"/>
  <c r="E41" i="46"/>
  <c r="G42" i="46"/>
  <c r="I42" i="46" s="1"/>
  <c r="G37" i="46"/>
  <c r="I37" i="46" s="1"/>
  <c r="N37" i="46"/>
  <c r="Q37" i="46"/>
  <c r="P37" i="46"/>
  <c r="M37" i="46"/>
  <c r="S16" i="1"/>
  <c r="T9" i="1" s="1"/>
  <c r="H22" i="6"/>
  <c r="R22" i="6" s="1"/>
  <c r="R9" i="1" s="1"/>
  <c r="G40" i="46"/>
  <c r="I40" i="46" s="1"/>
  <c r="E40" i="46"/>
  <c r="M27" i="6"/>
  <c r="E33" i="46"/>
  <c r="T8" i="1"/>
  <c r="T12" i="1"/>
  <c r="I27" i="6"/>
  <c r="S19" i="6"/>
  <c r="S27" i="6" s="1"/>
  <c r="H19" i="6"/>
  <c r="R19" i="6" s="1"/>
  <c r="R6"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15"/>
  <c r="M23" i="44"/>
  <c r="M21" i="15"/>
  <c r="C14" i="15"/>
  <c r="F37" i="44"/>
  <c r="T6" i="1" l="1"/>
  <c r="T7" i="1"/>
  <c r="T11" i="1"/>
  <c r="T13" i="1"/>
  <c r="C18" i="59"/>
  <c r="D19" i="59"/>
  <c r="T10" i="1"/>
  <c r="H66" i="76"/>
  <c r="I64" i="76"/>
  <c r="D73" i="9"/>
  <c r="N73" i="9" s="1"/>
  <c r="C96" i="9"/>
  <c r="C91" i="9" s="1"/>
  <c r="C103" i="9"/>
  <c r="C90" i="9"/>
  <c r="C111" i="9"/>
  <c r="C104" i="9" s="1"/>
  <c r="C82" i="9"/>
  <c r="C81" i="9" s="1"/>
  <c r="C85" i="9" s="1"/>
  <c r="C86" i="9" s="1"/>
  <c r="D72" i="9" s="1"/>
  <c r="D70" i="9"/>
  <c r="D71" i="9"/>
  <c r="D66" i="9" s="1"/>
  <c r="N72" i="9" s="1"/>
  <c r="C31" i="46"/>
  <c r="C30" i="46"/>
  <c r="B2" i="46" s="1"/>
  <c r="D4" i="46" s="1"/>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17" i="44"/>
  <c r="C20" i="44"/>
  <c r="C97" i="9"/>
  <c r="C98" i="9" s="1"/>
  <c r="E98" i="9" s="1"/>
  <c r="E99" i="9" s="1"/>
  <c r="I66" i="76"/>
  <c r="J64" i="76"/>
  <c r="D18" i="59"/>
  <c r="C17" i="59"/>
  <c r="C113" i="9"/>
  <c r="B3" i="46"/>
  <c r="B4" i="46"/>
  <c r="F7" i="36"/>
  <c r="S7" i="36" s="1"/>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C99" i="9"/>
  <c r="J66" i="76"/>
  <c r="K64" i="76"/>
  <c r="D17" i="59"/>
  <c r="C16" i="59"/>
  <c r="T17" i="59"/>
  <c r="C114" i="9"/>
  <c r="E114" i="9" s="1"/>
  <c r="E115" i="9" s="1"/>
  <c r="C115" i="9"/>
  <c r="D76" i="9" s="1"/>
  <c r="D74" i="9" s="1"/>
  <c r="N74" i="9" s="1"/>
  <c r="O77" i="9" s="1"/>
  <c r="AA7" i="36"/>
  <c r="R36" i="36" s="1"/>
  <c r="E5" i="59"/>
  <c r="U5" i="59" s="1"/>
  <c r="B5" i="59"/>
  <c r="C21" i="43"/>
  <c r="R37" i="36"/>
  <c r="E36" i="36"/>
  <c r="I41" i="36" s="1"/>
  <c r="J41" i="36" s="1"/>
  <c r="K66" i="40"/>
  <c r="L64" i="40"/>
  <c r="G41" i="36"/>
  <c r="H41" i="36" s="1"/>
  <c r="G40" i="36"/>
  <c r="H40" i="36" s="1"/>
  <c r="I40" i="36"/>
  <c r="J40" i="36" s="1"/>
  <c r="L69" i="39"/>
  <c r="K71" i="39"/>
  <c r="D16" i="59" l="1"/>
  <c r="C15" i="59"/>
  <c r="L64" i="76"/>
  <c r="K66" i="76"/>
  <c r="O78" i="9"/>
  <c r="O79" i="9"/>
  <c r="Q77" i="9"/>
  <c r="S5" i="59"/>
  <c r="L71" i="39"/>
  <c r="M69" i="39"/>
  <c r="M64" i="40"/>
  <c r="L66" i="40"/>
  <c r="E40" i="36"/>
  <c r="F40" i="36" s="1"/>
  <c r="E41" i="36"/>
  <c r="F41" i="36" s="1"/>
  <c r="C37" i="36"/>
  <c r="B3" i="36" s="1"/>
  <c r="B2" i="36" s="1"/>
  <c r="C36" i="36"/>
  <c r="M64" i="76" l="1"/>
  <c r="L66" i="76"/>
  <c r="D15" i="59"/>
  <c r="C14" i="59"/>
  <c r="O81" i="9"/>
  <c r="O80" i="9"/>
  <c r="N64" i="40"/>
  <c r="N66" i="40" s="1"/>
  <c r="M66" i="40"/>
  <c r="N69" i="39"/>
  <c r="N71" i="39" s="1"/>
  <c r="M71" i="39"/>
  <c r="C13" i="59" l="1"/>
  <c r="D14" i="59"/>
  <c r="N64" i="76"/>
  <c r="M66" i="76"/>
  <c r="J9" i="40"/>
  <c r="H9" i="40"/>
  <c r="F9" i="40"/>
  <c r="J9" i="39"/>
  <c r="H9" i="39"/>
  <c r="F9" i="39"/>
  <c r="N66" i="76" l="1"/>
  <c r="O64" i="76"/>
  <c r="D13" i="59"/>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P64" i="76"/>
  <c r="O66" i="76"/>
  <c r="R45" i="40"/>
  <c r="E44" i="40"/>
  <c r="G53" i="39"/>
  <c r="H53" i="39" s="1"/>
  <c r="G54" i="39"/>
  <c r="H54" i="39" s="1"/>
  <c r="G48" i="40"/>
  <c r="H48" i="40" s="1"/>
  <c r="G49" i="40"/>
  <c r="H49" i="40" s="1"/>
  <c r="I53" i="39"/>
  <c r="J53" i="39" s="1"/>
  <c r="R50" i="39"/>
  <c r="E49" i="39"/>
  <c r="I54" i="39" s="1"/>
  <c r="J54" i="39" s="1"/>
  <c r="Q64" i="76" l="1"/>
  <c r="Q66" i="76" s="1"/>
  <c r="P66" i="76"/>
  <c r="C10" i="59"/>
  <c r="D11" i="59"/>
  <c r="E54" i="39"/>
  <c r="F54" i="39" s="1"/>
  <c r="E53" i="39"/>
  <c r="F53" i="39" s="1"/>
  <c r="I49" i="40"/>
  <c r="J49" i="40" s="1"/>
  <c r="E49" i="40"/>
  <c r="F49" i="40" s="1"/>
  <c r="E48" i="40"/>
  <c r="F48" i="40" s="1"/>
  <c r="C49" i="39"/>
  <c r="C50" i="39"/>
  <c r="C44" i="40"/>
  <c r="C45" i="40"/>
  <c r="B10" i="72" s="1"/>
  <c r="C9" i="59" l="1"/>
  <c r="D10" i="59"/>
  <c r="F9" i="76"/>
  <c r="J9" i="76"/>
  <c r="H9" i="76"/>
  <c r="C10" i="72"/>
  <c r="B26" i="66" s="1"/>
  <c r="B27" i="6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AA9" i="76" l="1"/>
  <c r="S9" i="76"/>
  <c r="AC9" i="76"/>
  <c r="V44" i="76" s="1"/>
  <c r="I44" i="76" s="1"/>
  <c r="W9" i="76"/>
  <c r="U9" i="76"/>
  <c r="AB9" i="76"/>
  <c r="T44" i="76" s="1"/>
  <c r="G44" i="76" s="1"/>
  <c r="C8" i="59"/>
  <c r="D9" i="59"/>
  <c r="T9" i="59"/>
  <c r="B5" i="39"/>
  <c r="B4" i="39"/>
  <c r="B3" i="39"/>
  <c r="B5" i="40"/>
  <c r="B4" i="40"/>
  <c r="B3" i="40"/>
  <c r="G48" i="76" l="1"/>
  <c r="H48" i="76" s="1"/>
  <c r="G49" i="76"/>
  <c r="H49" i="76" s="1"/>
  <c r="I48" i="76"/>
  <c r="J48" i="76" s="1"/>
  <c r="C7" i="59"/>
  <c r="D8" i="59"/>
  <c r="F20" i="43"/>
  <c r="D20" i="43" s="1"/>
  <c r="F26" i="12"/>
  <c r="F26" i="44"/>
  <c r="F24" i="15"/>
  <c r="C6" i="59" l="1"/>
  <c r="D7" i="59"/>
  <c r="C20" i="43"/>
  <c r="C24" i="15"/>
  <c r="C23" i="15"/>
  <c r="C27" i="12"/>
  <c r="D26" i="12" s="1"/>
  <c r="C32" i="12" s="1"/>
  <c r="D30" i="12" s="1"/>
  <c r="C28" i="12"/>
  <c r="C26" i="12" s="1"/>
  <c r="C31" i="12" s="1"/>
  <c r="C30" i="12" s="1"/>
  <c r="C26" i="44"/>
  <c r="C25" i="44"/>
  <c r="C5" i="59" l="1"/>
  <c r="D6" i="59"/>
  <c r="C23" i="43"/>
  <c r="C31" i="44"/>
  <c r="C38" i="44" s="1"/>
  <c r="C36" i="12"/>
  <c r="B2" i="12" s="1"/>
  <c r="B3" i="12" s="1"/>
  <c r="C29" i="15"/>
  <c r="T5" i="59" l="1"/>
  <c r="D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L4" i="75" l="1"/>
  <c r="M4" i="75" s="1"/>
  <c r="E43" i="76" s="1"/>
  <c r="E50" i="76" l="1"/>
  <c r="F50" i="76" s="1"/>
  <c r="R43" i="76"/>
  <c r="R44" i="76" s="1"/>
  <c r="I50" i="76"/>
  <c r="J50" i="76" s="1"/>
  <c r="E44" i="76" l="1"/>
  <c r="R45" i="76"/>
  <c r="C44" i="76" l="1"/>
  <c r="C45" i="76"/>
  <c r="E49" i="76"/>
  <c r="F49" i="76" s="1"/>
  <c r="I49" i="76"/>
  <c r="J49" i="76" s="1"/>
  <c r="E48" i="76"/>
  <c r="F48" i="76" s="1"/>
  <c r="B54" i="76" l="1"/>
  <c r="F54" i="76" s="1"/>
  <c r="E8" i="11"/>
  <c r="C8" i="11" s="1"/>
  <c r="C7" i="11" s="1"/>
  <c r="B53" i="76"/>
  <c r="F53" i="76" s="1"/>
  <c r="B57" i="76"/>
  <c r="F57" i="76" s="1"/>
  <c r="B58" i="76"/>
  <c r="F58" i="76" s="1"/>
  <c r="B4" i="76"/>
  <c r="B55" i="76"/>
  <c r="F55" i="76" s="1"/>
  <c r="F62" i="76"/>
  <c r="B2" i="76" s="1"/>
  <c r="B61" i="76"/>
  <c r="F61" i="76" s="1"/>
  <c r="B59" i="76"/>
  <c r="F59" i="76" s="1"/>
  <c r="B56" i="76"/>
  <c r="F56" i="76" s="1"/>
  <c r="B60" i="76"/>
  <c r="F60" i="76" s="1"/>
  <c r="C18" i="11" l="1"/>
  <c r="C17" i="11"/>
  <c r="C19" i="11" s="1"/>
  <c r="B3" i="76"/>
  <c r="B5" i="76"/>
  <c r="C26" i="11" l="1"/>
  <c r="C20" i="11"/>
  <c r="C21" i="11" s="1"/>
  <c r="C22" i="11" s="1"/>
  <c r="C23" i="11" s="1"/>
  <c r="B2" i="11" s="1"/>
  <c r="B3" i="11" l="1"/>
  <c r="B4" i="11"/>
  <c r="B5" i="11"/>
  <c r="E26" i="11"/>
  <c r="C26" i="66" s="1"/>
  <c r="B30" i="66" s="1"/>
  <c r="C27" i="66"/>
  <c r="B33" i="66" s="1"/>
  <c r="B32" i="66" s="1"/>
  <c r="D14" i="66" l="1"/>
  <c r="B38" i="66"/>
  <c r="B39" i="66" s="1"/>
  <c r="E14" i="66" l="1"/>
  <c r="B5" i="66"/>
  <c r="F14"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4" authorId="3" shapeId="0">
      <text>
        <r>
          <rPr>
            <sz val="10"/>
            <color rgb="FF000000"/>
            <rFont val="宋体"/>
            <family val="3"/>
            <charset val="134"/>
          </rPr>
          <t>需在此处填写剩余土地年限</t>
        </r>
        <r>
          <rPr>
            <sz val="10"/>
            <color rgb="FF000000"/>
            <rFont val="宋体"/>
            <family val="3"/>
            <charset val="134"/>
          </rPr>
          <t xml:space="preserve">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<sst xmlns="http://schemas.openxmlformats.org/spreadsheetml/2006/main" count="9623" uniqueCount="3793">
  <si>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</si>
  <si>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</si>
  <si>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</si>
  <si>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</si>
  <si>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</si>
  <si>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</si>
  <si>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</si>
  <si>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</si>
  <si>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</si>
  <si>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</si>
  <si>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</si>
  <si>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</si>
  <si>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</si>
  <si>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</si>
  <si>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</si>
  <si>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</si>
  <si>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</si>
  <si>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</si>
  <si>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</si>
  <si>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</si>
  <si>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</si>
  <si>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</si>
  <si>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</si>
  <si>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</si>
  <si>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</si>
  <si>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</si>
  <si>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</si>
  <si>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</si>
  <si>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</si>
  <si>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</si>
  <si>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</si>
  <si>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</si>
  <si>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</si>
  <si>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</si>
  <si>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</si>
  <si>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</si>
  <si>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</si>
  <si>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</si>
  <si>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</si>
  <si>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</si>
  <si>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</si>
  <si>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</si>
  <si>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</si>
  <si>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</si>
  <si>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</si>
  <si>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</si>
  <si>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</si>
  <si>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</si>
  <si>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</si>
  <si>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</si>
  <si>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</si>
  <si>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</si>
  <si>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</si>
  <si>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</si>
  <si>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</si>
  <si>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</si>
  <si>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</si>
  <si>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</si>
  <si>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</si>
  <si>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</si>
  <si>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</si>
  <si>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</si>
  <si>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</si>
  <si>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</si>
  <si>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</si>
  <si>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</si>
  <si>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</si>
  <si>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</si>
  <si>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</si>
  <si>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</si>
  <si>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</si>
  <si>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</si>
  <si>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</si>
  <si>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</si>
  <si>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</si>
  <si>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</si>
  <si>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</si>
  <si>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</si>
  <si>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</si>
  <si>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</si>
  <si>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</si>
  <si>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</si>
  <si>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</si>
  <si>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</si>
  <si>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</si>
  <si>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</si>
  <si>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</si>
  <si>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</si>
  <si>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</si>
  <si>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</si>
  <si>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</si>
  <si>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</si>
  <si>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</si>
  <si>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</si>
  <si>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</si>
  <si>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</si>
  <si>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</si>
  <si>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</si>
  <si>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</si>
  <si>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</si>
  <si>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</si>
  <si>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</si>
  <si>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</si>
  <si>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</si>
  <si>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</si>
  <si>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</si>
  <si>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</si>
  <si>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</si>
  <si>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</si>
  <si>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</si>
  <si>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</si>
  <si>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</si>
  <si>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</si>
  <si>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</si>
  <si>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</si>
  <si>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</si>
  <si>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</si>
  <si>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</si>
  <si>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</si>
  <si>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</si>
  <si>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</si>
  <si>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</si>
  <si>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</si>
  <si>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</si>
  <si>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</si>
  <si>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</si>
  <si>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</si>
  <si>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</si>
  <si>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</si>
  <si>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</si>
  <si>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</si>
  <si>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</si>
  <si>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</si>
  <si>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</si>
  <si>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</si>
  <si>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</si>
  <si>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</si>
  <si>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</si>
  <si>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</si>
  <si>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</si>
  <si>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</si>
  <si>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</si>
  <si>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</si>
  <si>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</si>
  <si>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</si>
  <si>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</si>
  <si>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</si>
  <si>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</si>
  <si>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</si>
  <si>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</si>
  <si>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</si>
  <si>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</si>
  <si>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</si>
  <si>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</si>
  <si>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</si>
  <si>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</si>
  <si>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</si>
  <si>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</si>
  <si>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</si>
  <si>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</si>
  <si>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</si>
  <si>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</si>
  <si>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</si>
  <si>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</si>
  <si>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</si>
  <si>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</si>
  <si>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</si>
  <si>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</si>
  <si>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</si>
  <si>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</si>
  <si>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</si>
  <si>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</si>
  <si>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</si>
  <si>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</si>
  <si>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</si>
  <si>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</si>
  <si>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</si>
  <si>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</si>
  <si>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</si>
  <si>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</si>
  <si>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</si>
  <si>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</si>
  <si>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</si>
  <si>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</si>
  <si>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</si>
  <si>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</si>
  <si>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</si>
  <si>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</si>
  <si>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</si>
  <si>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</si>
  <si>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</si>
  <si>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</si>
  <si>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</si>
  <si>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</si>
  <si>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</si>
  <si>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</si>
  <si>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</si>
  <si>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</si>
  <si>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</si>
  <si>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</si>
  <si>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</si>
  <si>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</si>
  <si>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</si>
  <si>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</si>
  <si>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</si>
  <si>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</si>
  <si>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</si>
  <si>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</si>
  <si>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</si>
  <si>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</si>
  <si>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</si>
  <si>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</si>
  <si>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</si>
  <si>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</si>
  <si>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</si>
  <si>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</si>
  <si>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</si>
  <si>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</si>
  <si>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</si>
  <si>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</si>
  <si>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</si>
  <si>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</si>
  <si>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</si>
  <si>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</si>
  <si>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</si>
  <si>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</si>
  <si>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</si>
  <si>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</si>
  <si>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</si>
  <si>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</si>
  <si>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</si>
  <si>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</si>
  <si>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</si>
  <si>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</si>
  <si>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</si>
  <si>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</si>
  <si>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</si>
  <si>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</si>
  <si>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</si>
  <si>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</si>
  <si>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</si>
  <si>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</si>
  <si>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</si>
  <si>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</si>
  <si>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</si>
  <si>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</si>
  <si>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</si>
  <si>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</si>
  <si>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</si>
  <si>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</si>
  <si>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</si>
  <si>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</si>
  <si>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</si>
  <si>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</si>
  <si>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</si>
  <si>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</si>
  <si>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</si>
  <si>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</si>
  <si>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</si>
  <si>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</si>
  <si>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</si>
  <si>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</si>
  <si>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</si>
  <si>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</si>
  <si>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</si>
  <si>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</si>
  <si>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</si>
  <si>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</si>
  <si>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</si>
  <si>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</si>
  <si>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</si>
  <si>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</si>
  <si>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</si>
  <si>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</si>
  <si>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</si>
  <si>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</si>
  <si>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</si>
  <si>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</si>
  <si>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</si>
  <si>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</si>
  <si>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</si>
  <si>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</si>
  <si>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</si>
  <si>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</si>
  <si>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</si>
  <si>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</si>
  <si>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</si>
  <si>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</si>
  <si>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</si>
  <si>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</si>
  <si>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</si>
  <si>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</si>
  <si>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</si>
  <si>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</si>
  <si>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</si>
  <si>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</si>
  <si>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</si>
  <si>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</si>
  <si>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</si>
  <si>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</si>
  <si>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</si>
  <si>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</si>
  <si>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</si>
  <si>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</si>
  <si>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</si>
  <si>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</si>
  <si>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</si>
  <si>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</si>
  <si>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</si>
  <si>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</si>
  <si>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</si>
  <si>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</si>
  <si>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</si>
  <si>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</si>
  <si>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</si>
  <si>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</si>
  <si>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</si>
  <si>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</si>
  <si>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</si>
  <si>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</si>
  <si>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</si>
  <si>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</si>
  <si>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</si>
  <si>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</si>
  <si>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</si>
  <si>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</si>
  <si>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</si>
  <si>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</si>
  <si>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</si>
  <si>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</si>
  <si>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</si>
  <si>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</si>
  <si>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</si>
  <si>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</si>
  <si>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</si>
  <si>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</si>
  <si>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</si>
  <si>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</si>
  <si>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</si>
  <si>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</si>
  <si>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</si>
  <si>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</si>
  <si>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</si>
  <si>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</si>
  <si>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</si>
  <si>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</si>
  <si>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</si>
  <si>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</si>
  <si>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</si>
  <si>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</si>
  <si>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</si>
  <si>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</si>
  <si>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</si>
  <si>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</si>
  <si>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</si>
  <si>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</si>
  <si>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</si>
  <si>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</si>
  <si>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</si>
  <si>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</si>
  <si>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</si>
  <si>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</si>
  <si>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</si>
  <si>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</si>
  <si>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</si>
  <si>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</si>
  <si>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</si>
  <si>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</si>
  <si>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</si>
  <si>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</si>
  <si>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</si>
  <si>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</si>
  <si>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</si>
  <si>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</si>
  <si>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</si>
  <si>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</si>
  <si>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</si>
  <si>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</si>
  <si>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</si>
  <si>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</si>
  <si>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</si>
  <si>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</si>
  <si>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</si>
  <si>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</si>
  <si>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</si>
  <si>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</si>
  <si>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</si>
  <si>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</si>
  <si>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</si>
  <si>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</si>
  <si>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</si>
  <si>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</si>
  <si>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</si>
  <si>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</si>
  <si>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</si>
  <si>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</si>
  <si>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</si>
  <si>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</si>
  <si>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</si>
  <si>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</si>
  <si>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</si>
  <si>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</si>
  <si>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</si>
  <si>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</si>
  <si>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</si>
  <si>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</si>
  <si>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</si>
  <si>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</si>
  <si>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</si>
  <si>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</si>
  <si>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</si>
  <si>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</si>
  <si>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</si>
  <si>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</si>
  <si>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</si>
  <si>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</si>
  <si>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</si>
  <si>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</si>
  <si>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</si>
  <si>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</si>
  <si>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</si>
  <si>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</si>
  <si>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</si>
  <si>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</si>
  <si>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</si>
  <si>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</si>
  <si>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</si>
  <si>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</si>
  <si>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</si>
  <si>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</si>
  <si>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</si>
  <si>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</si>
  <si>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</si>
  <si>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</si>
  <si>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</si>
  <si>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</si>
  <si>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</si>
  <si>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</si>
  <si>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</si>
  <si>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</si>
  <si>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</si>
  <si>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</si>
  <si>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</si>
  <si>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</si>
  <si>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</si>
  <si>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</si>
  <si>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</si>
  <si>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</si>
  <si>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</si>
  <si>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</si>
  <si>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</si>
  <si>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</si>
  <si>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</si>
  <si>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</si>
  <si>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</si>
  <si>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</si>
  <si>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</si>
  <si>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</si>
  <si>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</si>
  <si>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</si>
  <si>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</si>
  <si>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</si>
  <si>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</si>
  <si>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</si>
  <si>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</si>
  <si>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</si>
  <si>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</si>
  <si>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</si>
  <si>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</si>
  <si>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</si>
  <si>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</si>
  <si>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</si>
  <si>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</si>
  <si>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</si>
  <si>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</si>
  <si>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</si>
  <si>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</si>
  <si>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</si>
  <si>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</si>
  <si>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</si>
  <si>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</si>
  <si>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</si>
  <si>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</si>
  <si>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</si>
  <si>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</si>
  <si>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</si>
  <si>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</si>
  <si>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</si>
  <si>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</si>
  <si>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</si>
  <si>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</si>
  <si>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</si>
  <si>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</si>
  <si>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</si>
  <si>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</si>
  <si>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</si>
  <si>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</si>
  <si>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</si>
  <si>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</si>
  <si>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</si>
  <si>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</si>
  <si>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</si>
  <si>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</si>
  <si>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</si>
  <si>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</si>
  <si>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</si>
  <si>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</si>
  <si>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</si>
  <si>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</si>
  <si>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</si>
  <si>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</si>
  <si>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</si>
  <si>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</si>
  <si>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</si>
  <si>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</si>
  <si>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</si>
  <si>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</si>
  <si>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</si>
  <si>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</si>
  <si>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</si>
  <si>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</si>
  <si>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</si>
  <si>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</si>
  <si>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</si>
  <si>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</si>
  <si>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</si>
  <si>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</si>
  <si>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</si>
  <si>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</si>
  <si>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</si>
  <si>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</si>
  <si>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</si>
  <si>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</si>
  <si>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</si>
  <si>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</si>
  <si>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</si>
  <si>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</si>
  <si>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</si>
  <si>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</si>
  <si>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</si>
  <si>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</si>
  <si>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</si>
  <si>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</si>
  <si>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</si>
  <si>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</si>
  <si>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</si>
  <si>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</si>
  <si>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</si>
  <si>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</si>
  <si>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</si>
  <si>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</si>
  <si>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</si>
  <si>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</si>
  <si>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</si>
  <si>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</si>
  <si>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</si>
  <si>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</si>
  <si>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</si>
  <si>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</si>
  <si>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</si>
  <si>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</si>
  <si>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</si>
  <si>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</si>
  <si>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</si>
  <si>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</si>
  <si>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</si>
  <si>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</si>
  <si>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</si>
  <si>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</si>
  <si>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</si>
  <si>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</si>
  <si>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</si>
  <si>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</si>
  <si>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</si>
  <si>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</si>
  <si>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</si>
  <si>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</si>
  <si>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</si>
  <si>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</si>
  <si>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</si>
  <si>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</si>
  <si>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</si>
  <si>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</si>
  <si>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</si>
  <si>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</si>
  <si>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</si>
  <si>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</si>
  <si>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</si>
  <si>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</si>
  <si>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</si>
  <si>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</si>
  <si>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</si>
  <si>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</si>
  <si>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</si>
  <si>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</si>
  <si>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</si>
  <si>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</si>
  <si>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</si>
  <si>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</si>
  <si>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</si>
  <si>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</si>
  <si>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</si>
  <si>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</si>
  <si>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</si>
  <si>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</si>
  <si>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</si>
  <si>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</si>
  <si>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</si>
  <si>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</si>
  <si>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</si>
  <si>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</si>
  <si>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</si>
  <si>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</si>
  <si>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</si>
  <si>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</si>
  <si>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</si>
  <si>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</si>
  <si>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</si>
  <si>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</si>
  <si>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</si>
  <si>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</si>
  <si>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</si>
  <si>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</si>
  <si>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</si>
  <si>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</si>
  <si>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</si>
  <si>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</si>
  <si>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</si>
  <si>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</si>
  <si>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</si>
  <si>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</si>
  <si>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</si>
  <si>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</si>
  <si>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</si>
  <si>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</si>
  <si>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</si>
  <si>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</si>
  <si>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</si>
  <si>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</si>
  <si>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</si>
  <si>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</si>
  <si>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</si>
  <si>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</si>
  <si>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</si>
  <si>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</si>
  <si>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</si>
  <si>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</si>
  <si>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</si>
  <si>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</si>
  <si>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</si>
  <si>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</si>
  <si>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</si>
  <si>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</si>
  <si>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</si>
  <si>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</si>
  <si>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</si>
  <si>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</si>
  <si>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</si>
  <si>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</si>
  <si>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</si>
  <si>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</si>
  <si>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</si>
  <si>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</si>
  <si>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</si>
  <si>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</si>
  <si>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</si>
  <si>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</si>
  <si>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</si>
  <si>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</si>
  <si>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</si>
  <si>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</si>
  <si>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</si>
  <si>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</si>
  <si>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</si>
  <si>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</si>
  <si>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</si>
  <si>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</si>
  <si>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</si>
  <si>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</si>
  <si>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</si>
  <si>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</si>
  <si>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</si>
  <si>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</si>
  <si>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</si>
  <si>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</si>
  <si>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</si>
  <si>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</si>
  <si>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</si>
  <si>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</si>
  <si>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</si>
  <si>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</si>
  <si>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</si>
  <si>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</si>
  <si>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</si>
  <si>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</si>
  <si>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</si>
  <si>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</si>
  <si>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</si>
  <si>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</si>
  <si>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</si>
  <si>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</si>
  <si>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</si>
  <si>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</si>
  <si>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</si>
  <si>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</si>
  <si>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</si>
  <si>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</si>
  <si>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</si>
  <si>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</si>
  <si>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</si>
  <si>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</si>
  <si>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</si>
  <si>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</si>
  <si>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</si>
  <si>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</si>
  <si>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</si>
  <si>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</si>
  <si>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</si>
  <si>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</si>
  <si>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</si>
  <si>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</si>
  <si>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</si>
  <si>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</si>
  <si>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</si>
  <si>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</si>
  <si>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</si>
  <si>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</si>
  <si>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</si>
  <si>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</si>
  <si>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</si>
  <si>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</si>
  <si>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</si>
  <si>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</si>
  <si>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</si>
  <si>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</si>
  <si>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</si>
  <si>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</si>
  <si>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</si>
  <si>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</si>
  <si>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</si>
  <si>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</si>
  <si>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</si>
  <si>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</si>
  <si>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</si>
  <si>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</si>
  <si>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</si>
  <si>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</si>
  <si>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</si>
  <si>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</si>
  <si>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</si>
  <si>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</si>
  <si>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</si>
  <si>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</si>
  <si>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</si>
  <si>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</si>
  <si>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</si>
  <si>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</si>
  <si>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</si>
  <si>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</si>
  <si>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</si>
  <si>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</si>
  <si>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</si>
  <si>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</si>
  <si>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</si>
  <si>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</si>
  <si>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</si>
  <si>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</si>
  <si>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</si>
  <si>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</si>
  <si>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</si>
  <si>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</si>
  <si>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</si>
  <si>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</si>
  <si>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</si>
  <si>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</si>
  <si>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</si>
  <si>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</si>
  <si>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</si>
  <si>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</si>
  <si>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</si>
  <si>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</si>
  <si>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</si>
  <si>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</si>
  <si>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</si>
  <si>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</si>
  <si>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</si>
  <si>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</si>
  <si>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</si>
  <si>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</si>
  <si>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</si>
  <si>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</si>
  <si>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</si>
  <si>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</si>
  <si>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</si>
  <si>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</si>
  <si>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</si>
  <si>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</si>
  <si>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</si>
  <si>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</si>
  <si>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</si>
  <si>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</si>
  <si>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</si>
  <si>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</si>
  <si>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</si>
  <si>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</si>
  <si>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</si>
  <si>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</si>
  <si>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</si>
  <si>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</si>
  <si>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</si>
  <si>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</si>
  <si>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</si>
  <si>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</si>
  <si>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</si>
  <si>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</si>
  <si>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</si>
  <si>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</si>
  <si>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</si>
  <si>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</si>
  <si>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</si>
  <si>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</si>
  <si>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</si>
  <si>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</si>
  <si>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</si>
  <si>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</si>
  <si>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</si>
  <si>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</si>
  <si>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</si>
  <si>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</si>
  <si>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</si>
  <si>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</si>
  <si>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</si>
  <si>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</si>
  <si>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</si>
  <si>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</si>
  <si>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</si>
  <si>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</si>
  <si>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</si>
  <si>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</si>
  <si>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</si>
  <si>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</si>
  <si>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</si>
  <si>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</si>
  <si>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</si>
  <si>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</si>
  <si>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</si>
  <si>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</si>
  <si>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</si>
  <si>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</si>
  <si>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</si>
  <si>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</si>
  <si>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</si>
  <si>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</si>
  <si>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</si>
  <si>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</si>
  <si>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</si>
  <si>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</si>
  <si>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</si>
  <si>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</si>
  <si>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</si>
  <si>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</si>
  <si>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</si>
  <si>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</si>
  <si>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</si>
  <si>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</si>
  <si>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</si>
  <si>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</si>
  <si>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</si>
  <si>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</si>
  <si>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</si>
  <si>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</si>
  <si>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</si>
  <si>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</si>
  <si>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</si>
  <si>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</si>
  <si>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</si>
  <si>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</si>
  <si>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</si>
  <si>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</si>
  <si>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</si>
  <si>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</si>
  <si>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</si>
  <si>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</si>
  <si>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</si>
  <si>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</si>
  <si>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</si>
  <si>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</si>
  <si>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</si>
  <si>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</si>
  <si>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</si>
  <si>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</si>
  <si>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</si>
  <si>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</si>
  <si>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</si>
  <si>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</si>
  <si>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</si>
  <si>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</si>
  <si>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</si>
  <si>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</si>
  <si>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</si>
  <si>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</si>
  <si>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</si>
  <si>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</si>
  <si>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</si>
  <si>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</si>
  <si>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</si>
  <si>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</si>
  <si>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</si>
  <si>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</si>
  <si>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</si>
  <si>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</si>
  <si>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</si>
  <si>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</si>
  <si>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</si>
  <si>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</si>
  <si>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</si>
  <si>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</si>
  <si>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</si>
  <si>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</si>
  <si>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</si>
  <si>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</si>
  <si>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</si>
  <si>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</si>
  <si>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</si>
  <si>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</si>
  <si>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</si>
  <si>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</si>
  <si>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</si>
  <si>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</si>
  <si>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</si>
  <si>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</si>
  <si>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</si>
  <si>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</si>
  <si>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</si>
  <si>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</si>
  <si>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</si>
  <si>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</si>
  <si>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</si>
  <si>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</si>
  <si>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</si>
  <si>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</si>
  <si>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</si>
  <si>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</si>
  <si>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</si>
  <si>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</si>
  <si>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</si>
  <si>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</si>
  <si>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</si>
  <si>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</si>
  <si>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</si>
  <si>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</si>
  <si>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</si>
  <si>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</si>
  <si>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</si>
  <si>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</si>
  <si>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</si>
  <si>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</si>
  <si>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</si>
  <si>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</si>
  <si>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</si>
  <si>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</si>
  <si>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</si>
  <si>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</si>
  <si>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</si>
  <si>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</si>
  <si>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</si>
  <si>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</si>
  <si>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</si>
  <si>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</si>
  <si>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</si>
  <si>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</si>
  <si>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</si>
  <si>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</si>
  <si>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</si>
  <si>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</si>
  <si>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</si>
  <si>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</si>
  <si>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</si>
  <si>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</si>
  <si>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</si>
  <si>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</si>
  <si>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</si>
  <si>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</si>
  <si>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</si>
  <si>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</si>
  <si>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</si>
  <si>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</si>
  <si>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</si>
  <si>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</si>
  <si>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</si>
  <si>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</si>
  <si>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</si>
  <si>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</si>
  <si>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</si>
  <si>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</si>
  <si>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</si>
  <si>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</si>
  <si>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</si>
  <si>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</si>
  <si>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</si>
  <si>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</si>
  <si>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</si>
  <si>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</si>
  <si>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</si>
  <si>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</si>
  <si>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</si>
  <si>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</si>
  <si>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</si>
  <si>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</si>
  <si>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</si>
  <si>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</si>
  <si>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</si>
  <si>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</si>
  <si>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</si>
  <si>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</si>
  <si>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</si>
  <si>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</si>
  <si>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</si>
  <si>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</si>
  <si>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</si>
  <si>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</si>
  <si>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</si>
  <si>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</si>
  <si>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</si>
  <si>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</si>
  <si>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</si>
  <si>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</si>
  <si>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</si>
  <si>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</si>
  <si>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</si>
  <si>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</si>
  <si>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</si>
  <si>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</si>
  <si>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</si>
  <si>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</si>
  <si>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</si>
  <si>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</si>
  <si>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</si>
  <si>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</si>
  <si>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</si>
  <si>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</si>
  <si>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</si>
  <si>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</si>
  <si>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</si>
  <si>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</si>
  <si>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</si>
  <si>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</si>
  <si>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</si>
  <si>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</si>
  <si>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</si>
  <si>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</si>
  <si>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</si>
  <si>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</si>
  <si>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</si>
  <si>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</si>
  <si>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</si>
  <si>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</si>
  <si>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</si>
  <si>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</si>
  <si>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</si>
  <si>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</si>
  <si>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</si>
  <si>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</si>
  <si>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</si>
  <si>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</si>
  <si>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</si>
  <si>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</si>
  <si>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</si>
  <si>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</si>
  <si>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</si>
  <si>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</si>
  <si>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</si>
  <si>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</si>
  <si>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</si>
  <si>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</si>
  <si>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</si>
  <si>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</si>
  <si>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</si>
  <si>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</si>
  <si>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</si>
  <si>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</si>
  <si>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</si>
  <si>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</si>
  <si>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</si>
  <si>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</si>
  <si>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</si>
  <si>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</si>
  <si>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</si>
  <si>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</si>
  <si>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</si>
  <si>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</si>
  <si>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</si>
  <si>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</si>
  <si>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</si>
  <si>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</si>
  <si>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</si>
  <si>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</si>
  <si>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</si>
  <si>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</si>
  <si>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</si>
  <si>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</si>
  <si>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</si>
  <si>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</si>
  <si>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</si>
  <si>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</si>
  <si>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</si>
  <si>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</si>
  <si>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</si>
  <si>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</si>
  <si>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</si>
  <si>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</si>
  <si>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</si>
  <si>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</si>
  <si>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</si>
  <si>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</si>
  <si>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</si>
  <si>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</si>
  <si>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</si>
  <si>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</si>
  <si>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</si>
  <si>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</si>
  <si>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</si>
  <si>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</si>
  <si>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</si>
  <si>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</si>
  <si>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</si>
  <si>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</si>
  <si>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</si>
  <si>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</si>
  <si>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</si>
  <si>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</si>
  <si>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</si>
  <si>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</si>
  <si>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</si>
  <si>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</si>
  <si>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</si>
  <si>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</si>
  <si>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</si>
  <si>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</si>
  <si>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</si>
  <si>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</si>
  <si>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</si>
  <si>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</si>
  <si>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</si>
  <si>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</si>
  <si>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</si>
  <si>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</si>
  <si>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</si>
  <si>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</si>
  <si>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</si>
  <si>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</si>
  <si>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</si>
  <si>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</si>
  <si>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</si>
  <si>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</si>
  <si>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</si>
  <si>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</si>
  <si>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</si>
  <si>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</si>
  <si>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</si>
  <si>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</si>
  <si>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</si>
  <si>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</si>
  <si>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</si>
  <si>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</si>
  <si>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</si>
  <si>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</si>
  <si>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</si>
  <si>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</si>
  <si>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</si>
  <si>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</si>
  <si>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</si>
  <si>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</si>
  <si>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</si>
  <si>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</si>
  <si>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</si>
  <si>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</si>
  <si>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</si>
  <si>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</si>
  <si>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</si>
  <si>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</si>
  <si>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</si>
  <si>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</si>
  <si>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</si>
  <si>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</si>
  <si>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</si>
  <si>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</si>
  <si>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</si>
  <si>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</si>
  <si>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</si>
  <si>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</si>
  <si>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</si>
  <si>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</si>
  <si>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</si>
  <si>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</si>
  <si>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</si>
  <si>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</si>
  <si>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</si>
  <si>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</si>
  <si>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</si>
  <si>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</si>
  <si>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</si>
  <si>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</si>
  <si>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</si>
  <si>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</si>
  <si>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</si>
  <si>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</si>
  <si>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</si>
  <si>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</si>
  <si>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</si>
  <si>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</si>
  <si>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</si>
  <si>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</si>
  <si>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</si>
  <si>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</si>
  <si>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</si>
  <si>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</si>
  <si>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</si>
  <si>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</si>
  <si>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</si>
  <si>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</si>
  <si>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</si>
  <si>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</si>
  <si>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</si>
  <si>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</si>
  <si>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</si>
  <si>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</si>
  <si>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</si>
  <si>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</si>
  <si>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</si>
  <si>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</si>
  <si>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</si>
  <si>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</si>
  <si>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</si>
  <si>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</si>
  <si>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</si>
  <si>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</si>
  <si>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</si>
  <si>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</si>
  <si>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</si>
  <si>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</si>
  <si>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</si>
  <si>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</si>
  <si>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</si>
  <si>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</si>
  <si>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</si>
  <si>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</si>
  <si>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</si>
  <si>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</si>
  <si>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</si>
  <si>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</si>
  <si>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</si>
  <si>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</si>
  <si>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</si>
  <si>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</si>
  <si>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</si>
  <si>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</si>
  <si>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</si>
  <si>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</si>
  <si>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</si>
  <si>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</si>
  <si>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</si>
  <si>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</si>
  <si>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</si>
  <si>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</si>
  <si>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</si>
  <si>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</si>
  <si>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</si>
  <si>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</si>
  <si>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</si>
  <si>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</si>
  <si>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</si>
  <si>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</si>
  <si>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</si>
  <si>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</si>
  <si>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</si>
  <si>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</si>
  <si>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</si>
  <si>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</si>
  <si>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</si>
  <si>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</si>
  <si>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</si>
  <si>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</si>
  <si>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</si>
  <si>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</si>
  <si>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</si>
  <si>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</si>
  <si>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</si>
  <si>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</si>
  <si>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</si>
  <si>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</si>
  <si>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</si>
  <si>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</si>
  <si>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</si>
  <si>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</si>
  <si>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</si>
  <si>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</si>
  <si>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</si>
  <si>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</si>
  <si>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</si>
  <si>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</si>
  <si>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</si>
  <si>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</si>
  <si>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</si>
  <si>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</si>
  <si>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</si>
  <si>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</si>
  <si>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</si>
  <si>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</si>
  <si>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</si>
  <si>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</si>
  <si>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</si>
  <si>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</si>
  <si>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</si>
  <si>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</si>
  <si>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</si>
  <si>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</si>
  <si>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</si>
  <si>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</si>
  <si>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</si>
  <si>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</si>
  <si>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</si>
  <si>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</si>
  <si>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</si>
  <si>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</si>
  <si>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</si>
  <si>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</si>
  <si>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</si>
  <si>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</si>
  <si>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</si>
  <si>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</si>
  <si>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</si>
  <si>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</si>
  <si>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</si>
  <si>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</si>
  <si>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</si>
  <si>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</si>
  <si>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</si>
  <si>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</si>
  <si>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</si>
  <si>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</si>
  <si>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</si>
  <si>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</si>
  <si>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</si>
  <si>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</si>
  <si>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</si>
  <si>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</si>
  <si>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</si>
  <si>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</si>
  <si>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</si>
  <si>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</si>
  <si>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</si>
  <si>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</si>
  <si>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</si>
  <si>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</si>
  <si>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</si>
  <si>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</si>
  <si>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</si>
  <si>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</si>
  <si>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</si>
  <si>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</si>
  <si>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</si>
  <si>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</si>
  <si>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</si>
  <si>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</si>
  <si>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</si>
  <si>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</si>
  <si>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</si>
  <si>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</si>
  <si>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</si>
  <si>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</si>
  <si>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</si>
  <si>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</si>
  <si>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</si>
  <si>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</si>
  <si>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</si>
  <si>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</si>
  <si>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</si>
  <si>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</si>
  <si>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</si>
  <si>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</si>
  <si>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</si>
  <si>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</si>
  <si>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</si>
  <si>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</si>
  <si>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</si>
  <si>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</si>
  <si>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</si>
  <si>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</si>
  <si>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</si>
  <si>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</si>
  <si>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</si>
  <si>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</si>
  <si>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</si>
  <si>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</si>
  <si>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</si>
  <si>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</si>
  <si>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</si>
  <si>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</si>
  <si>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</si>
  <si>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</si>
  <si>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</si>
  <si>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</si>
  <si>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</si>
  <si>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</si>
  <si>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</si>
  <si>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</si>
  <si>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</si>
  <si>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</si>
  <si>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</si>
  <si>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</si>
  <si>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</si>
  <si>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</si>
  <si>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</si>
  <si>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</si>
  <si>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</si>
  <si>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</si>
  <si>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</si>
  <si>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</si>
  <si>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</si>
  <si>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</si>
  <si>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</si>
  <si>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</si>
  <si>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</si>
  <si>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</si>
  <si>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</si>
  <si>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</si>
  <si>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</si>
  <si>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</si>
  <si>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</si>
  <si>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</si>
  <si>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</si>
  <si>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</si>
  <si>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</si>
  <si>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</si>
  <si>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</si>
  <si>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</si>
  <si>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</si>
  <si>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</si>
  <si>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</si>
  <si>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</si>
  <si>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</si>
  <si>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</si>
  <si>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</si>
  <si>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</si>
  <si>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</si>
  <si>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</si>
  <si>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</si>
  <si>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</si>
  <si>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</si>
  <si>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</si>
  <si>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</si>
  <si>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</si>
  <si>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</si>
  <si>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</si>
  <si>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</si>
  <si>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</si>
  <si>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</si>
  <si>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</si>
  <si>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</si>
  <si>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</si>
  <si>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</si>
  <si>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</si>
  <si>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</si>
  <si>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</si>
  <si>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</si>
  <si>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</si>
  <si>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</si>
  <si>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</si>
  <si>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</si>
  <si>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</si>
  <si>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</si>
  <si>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</si>
  <si>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</si>
  <si>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</si>
  <si>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</si>
  <si>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</si>
  <si>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</si>
  <si>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</si>
  <si>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</si>
  <si>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</si>
  <si>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</si>
  <si>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</si>
  <si>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</si>
  <si>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</si>
  <si>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</si>
  <si>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</si>
  <si>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</si>
  <si>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</si>
  <si>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</si>
  <si>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</si>
  <si>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</si>
  <si>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</si>
  <si>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</si>
  <si>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</si>
  <si>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</si>
  <si>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</si>
  <si>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</si>
  <si>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</si>
  <si>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</si>
  <si>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</si>
  <si>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</si>
  <si>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</si>
  <si>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</si>
  <si>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</si>
  <si>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</si>
  <si>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</si>
  <si>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</si>
  <si>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</si>
  <si>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</si>
  <si>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</si>
  <si>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</si>
  <si>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</si>
  <si>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</si>
  <si>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</si>
  <si>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</si>
  <si>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</si>
  <si>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</si>
  <si>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</si>
  <si>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</si>
  <si>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</si>
  <si>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</si>
  <si>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</si>
  <si>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</si>
  <si>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</si>
  <si>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</si>
  <si>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</si>
  <si>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</si>
  <si>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</si>
  <si>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</si>
  <si>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</si>
  <si>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</si>
  <si>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</si>
  <si>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</si>
  <si>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</si>
  <si>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</si>
  <si>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</si>
  <si>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</si>
  <si>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</si>
  <si>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</si>
  <si>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</si>
  <si>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</si>
  <si>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</si>
  <si>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</si>
  <si>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</si>
  <si>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</si>
  <si>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</si>
  <si>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</si>
  <si>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</si>
  <si>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</si>
  <si>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</si>
  <si>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</si>
  <si>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</si>
  <si>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</si>
  <si>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</si>
  <si>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</si>
  <si>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</si>
  <si>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</si>
  <si>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</si>
  <si>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</si>
  <si>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</si>
  <si>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</si>
  <si>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</si>
  <si>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</si>
  <si>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</si>
  <si>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</si>
  <si>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</si>
  <si>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</si>
  <si>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</si>
  <si>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</si>
  <si>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</si>
  <si>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</si>
  <si>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</si>
  <si>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</si>
  <si>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</si>
  <si>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</si>
  <si>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</si>
  <si>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</si>
  <si>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</si>
  <si>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</si>
  <si>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</si>
  <si>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</si>
  <si>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</si>
  <si>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</si>
  <si>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</si>
  <si>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</si>
  <si>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</si>
  <si>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</si>
  <si>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</si>
  <si>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</si>
  <si>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</si>
  <si>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</si>
  <si>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</si>
  <si>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</si>
  <si>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</si>
  <si>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</si>
  <si>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</si>
  <si>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</si>
  <si>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</si>
  <si>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</si>
  <si>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</si>
  <si>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</si>
  <si>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</si>
  <si>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</si>
  <si>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</si>
  <si>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</si>
  <si>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</si>
  <si>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</si>
  <si>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</si>
  <si>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</si>
  <si>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</si>
  <si>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</si>
  <si>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</si>
  <si>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</si>
  <si>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</si>
  <si>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</si>
  <si>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</si>
  <si>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</si>
  <si>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</si>
  <si>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</si>
  <si>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</si>
  <si>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</si>
  <si>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</si>
  <si>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</si>
  <si>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</si>
  <si>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</si>
  <si>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</si>
  <si>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</si>
  <si>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</si>
  <si>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</si>
  <si>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</si>
  <si>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</si>
  <si>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</si>
  <si>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</si>
  <si>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</si>
  <si>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</si>
  <si>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</si>
  <si>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</si>
  <si>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</si>
  <si>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</si>
  <si>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</si>
  <si>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</si>
  <si>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</si>
  <si>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</si>
  <si>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</si>
  <si>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</si>
  <si>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</si>
  <si>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</si>
  <si>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</si>
  <si>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</si>
  <si>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</si>
  <si>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</si>
  <si>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</si>
  <si>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</si>
  <si>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</si>
  <si>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</si>
  <si>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</si>
  <si>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</si>
  <si>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</si>
  <si>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</si>
  <si>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</si>
  <si>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</si>
  <si>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</si>
  <si>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</si>
  <si>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</si>
  <si>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</si>
  <si>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</si>
  <si>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</si>
  <si>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</si>
  <si>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</si>
  <si>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</si>
  <si>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</si>
  <si>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</si>
  <si>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</si>
  <si>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</si>
  <si>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</si>
  <si>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</si>
  <si>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</si>
  <si>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</si>
  <si>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</si>
  <si>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</si>
  <si>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</si>
  <si>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</si>
  <si>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</si>
  <si>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</si>
  <si>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</si>
  <si>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</si>
  <si>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</si>
  <si>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</si>
  <si>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</si>
  <si>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</si>
  <si>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</si>
  <si>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</si>
  <si>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</si>
  <si>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</si>
  <si>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</si>
  <si>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</si>
  <si>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</si>
  <si>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</si>
  <si>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</si>
  <si>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</si>
  <si>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</si>
  <si>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</si>
  <si>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</si>
  <si>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</si>
  <si>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</si>
  <si>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</si>
  <si>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</si>
  <si>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</si>
  <si>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</si>
  <si>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</si>
  <si>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</si>
  <si>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</si>
  <si>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</si>
  <si>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</si>
  <si>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</si>
  <si>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</si>
  <si>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</si>
  <si>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</si>
  <si>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</si>
  <si>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</si>
  <si>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</si>
  <si>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</si>
  <si>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</si>
  <si>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</si>
  <si>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</si>
  <si>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</si>
  <si>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</si>
  <si>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</si>
  <si>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</si>
  <si>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</si>
  <si>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</si>
  <si>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</si>
  <si>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</si>
  <si>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</si>
  <si>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</si>
  <si>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</si>
  <si>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</si>
  <si>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</si>
  <si>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</si>
  <si>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</si>
  <si>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</si>
  <si>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</si>
  <si>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</si>
  <si>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</si>
  <si>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</si>
  <si>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</si>
  <si>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</si>
  <si>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</si>
  <si>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</si>
  <si>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</si>
  <si>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</si>
  <si>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</si>
  <si>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</si>
  <si>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</si>
  <si>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</si>
  <si>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</si>
  <si>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</si>
  <si>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</si>
  <si>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</si>
  <si>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</si>
  <si>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</si>
  <si>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</si>
  <si>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</si>
  <si>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</si>
  <si>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</si>
  <si>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</si>
  <si>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</si>
  <si>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</si>
  <si>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</si>
  <si>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</si>
  <si>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</si>
  <si>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</si>
  <si>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</si>
  <si>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</si>
  <si>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</si>
  <si>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</si>
  <si>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</si>
  <si>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</si>
  <si>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</si>
  <si>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</si>
  <si>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</si>
  <si>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</si>
  <si>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</si>
  <si>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</si>
  <si>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</si>
  <si>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</si>
  <si>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</si>
  <si>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</si>
  <si>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</si>
  <si>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</si>
  <si>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</si>
  <si>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</si>
  <si>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</si>
  <si>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</si>
  <si>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</si>
  <si>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</si>
  <si>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</si>
  <si>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</si>
  <si>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</si>
  <si>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</si>
  <si>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</si>
  <si>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</si>
  <si>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</si>
  <si>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</si>
  <si>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</si>
  <si>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</si>
  <si>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</si>
  <si>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</si>
  <si>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</si>
  <si>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</si>
  <si>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</si>
  <si>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</si>
  <si>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</si>
  <si>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</si>
  <si>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</si>
  <si>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</si>
  <si>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</si>
  <si>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</si>
  <si>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</si>
  <si>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</si>
  <si>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</si>
  <si>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</si>
  <si>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</si>
  <si>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</si>
  <si>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</si>
  <si>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</si>
  <si>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</si>
  <si>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</si>
  <si>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</si>
  <si>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</si>
  <si>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</si>
  <si>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</si>
  <si>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</si>
  <si>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</si>
  <si>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</si>
  <si>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</si>
  <si>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</si>
  <si>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</si>
  <si>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</si>
  <si>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</si>
  <si>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</si>
  <si>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</si>
  <si>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</si>
  <si>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</si>
  <si>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</si>
  <si>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</si>
  <si>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</si>
  <si>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</si>
  <si>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</si>
  <si>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</si>
  <si>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</si>
  <si>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</si>
  <si>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</si>
  <si>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</si>
  <si>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</si>
  <si>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</si>
  <si>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</si>
  <si>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</si>
  <si>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</si>
  <si>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</si>
  <si>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</si>
  <si>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</si>
  <si>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</si>
  <si>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</si>
  <si>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</si>
  <si>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</si>
  <si>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</si>
  <si>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</si>
  <si>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</si>
  <si>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</si>
  <si>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</si>
  <si>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</si>
  <si>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</si>
  <si>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</si>
  <si>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</si>
  <si>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</si>
  <si>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</si>
  <si>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</si>
  <si>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</si>
  <si>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</si>
  <si>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</si>
  <si>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</si>
  <si>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</si>
  <si>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</si>
  <si>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</si>
  <si>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</si>
  <si>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</si>
  <si>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</si>
  <si>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</si>
  <si>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</si>
  <si>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</si>
  <si>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</si>
  <si>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</si>
  <si>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</si>
  <si>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</si>
  <si>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</si>
  <si>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</si>
  <si>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</si>
  <si>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</si>
  <si>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</si>
  <si>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</si>
  <si>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</si>
  <si>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</si>
  <si>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</si>
  <si>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</si>
  <si>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</si>
  <si>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</si>
  <si>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</si>
  <si>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</si>
  <si>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</si>
  <si>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</si>
  <si>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</si>
  <si>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</si>
  <si>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</si>
  <si>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</si>
  <si>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</si>
  <si>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</si>
  <si>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</si>
  <si>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</si>
  <si>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</si>
  <si>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</si>
  <si>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</si>
  <si>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</si>
  <si>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</si>
  <si>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</si>
  <si>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</si>
  <si>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</si>
  <si>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</si>
  <si>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</si>
  <si>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</si>
  <si>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</si>
  <si>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</si>
  <si>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</si>
  <si>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</si>
  <si>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</si>
  <si>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</si>
  <si>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</si>
  <si>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</si>
  <si>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</si>
  <si>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</si>
  <si>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</si>
  <si>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</si>
  <si>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</si>
  <si>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</si>
  <si>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</si>
  <si>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</si>
  <si>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</si>
  <si>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</si>
  <si>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</si>
  <si>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</si>
  <si>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</si>
  <si>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</si>
  <si>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</si>
  <si>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</si>
  <si>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</si>
  <si>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</si>
  <si>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</si>
  <si>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</si>
  <si>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</si>
  <si>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</si>
  <si>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</si>
  <si>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</si>
  <si>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</si>
  <si>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</si>
  <si>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</si>
  <si>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</si>
  <si>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</si>
  <si>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</si>
  <si>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</si>
  <si>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</si>
  <si>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</si>
  <si>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</si>
  <si>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</si>
  <si>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</si>
  <si>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</si>
  <si>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</si>
  <si>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</si>
  <si>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</si>
  <si>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</si>
  <si>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</si>
  <si>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</si>
  <si>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</si>
  <si>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</si>
  <si>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</si>
  <si>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</si>
  <si>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</si>
  <si>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</si>
  <si>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</si>
  <si>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</si>
  <si>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</si>
  <si>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</si>
  <si>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</si>
  <si>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</si>
  <si>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</si>
  <si>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</si>
  <si>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</si>
  <si>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</si>
  <si>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</si>
  <si>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</si>
  <si>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</si>
  <si>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</si>
  <si>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</si>
  <si>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</si>
  <si>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</si>
  <si>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</si>
  <si>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</si>
  <si>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</si>
  <si>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</si>
  <si>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</si>
  <si>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</si>
  <si>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</si>
  <si>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</si>
  <si>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</si>
  <si>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</si>
  <si>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</si>
  <si>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</si>
  <si>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</si>
  <si>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</si>
  <si>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</si>
  <si>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</si>
  <si>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</si>
  <si>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</si>
  <si>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</si>
  <si>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</si>
  <si>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</si>
  <si>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</si>
  <si>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</si>
  <si>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</si>
  <si>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</si>
  <si>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</si>
  <si>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</si>
  <si>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</si>
  <si>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</si>
  <si>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</si>
  <si>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</si>
  <si>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</si>
  <si>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</si>
  <si>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</si>
  <si>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</si>
  <si>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</si>
  <si>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</si>
  <si>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</si>
  <si>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</si>
  <si>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</si>
  <si>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</si>
  <si>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</si>
  <si>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</si>
  <si>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</si>
  <si>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</si>
  <si>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</si>
  <si>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</si>
  <si>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</si>
  <si>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</si>
  <si>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</si>
  <si>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</si>
  <si>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</si>
  <si>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</si>
  <si>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</si>
  <si>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</si>
  <si>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</si>
  <si>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</si>
  <si>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</si>
  <si>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</si>
  <si>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</si>
  <si>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</si>
  <si>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</si>
  <si>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</si>
  <si>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</si>
  <si>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</si>
  <si>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</si>
  <si>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</si>
  <si>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</si>
  <si>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</si>
  <si>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</si>
  <si>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</si>
  <si>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</si>
  <si>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</si>
  <si>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</si>
  <si>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</si>
  <si>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</si>
  <si>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</si>
  <si>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</si>
  <si>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</si>
  <si>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</si>
  <si>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</si>
  <si>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</si>
  <si>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</si>
  <si>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</si>
  <si>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</si>
  <si>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</si>
  <si>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</si>
  <si>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</si>
  <si>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</si>
  <si>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</si>
  <si>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</si>
  <si>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</si>
  <si>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</si>
  <si>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</si>
  <si>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</si>
  <si>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</si>
  <si>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</si>
  <si>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</si>
  <si>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</si>
  <si>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</si>
  <si>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</si>
  <si>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</si>
  <si>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</si>
  <si>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</si>
  <si>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</si>
  <si>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</si>
  <si>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</si>
  <si>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</si>
  <si>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</si>
  <si>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</si>
  <si>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</si>
  <si>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</si>
  <si>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</si>
  <si>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</si>
  <si>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</si>
  <si>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</si>
  <si>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</si>
  <si>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</si>
  <si>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</si>
  <si>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</si>
  <si>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</si>
  <si>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</si>
  <si>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</si>
  <si>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</si>
  <si>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</si>
  <si>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</si>
  <si>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</si>
  <si>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</si>
  <si>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</si>
  <si>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</si>
  <si>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</si>
  <si>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</si>
  <si>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</si>
  <si>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</si>
  <si>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</si>
  <si>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</si>
  <si>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</si>
  <si>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</si>
  <si>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</si>
  <si>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</si>
  <si>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</si>
  <si>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</si>
  <si>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</si>
  <si>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</si>
  <si>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</si>
  <si>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</si>
  <si>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</si>
  <si>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</si>
  <si>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</si>
  <si>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</si>
  <si>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</si>
  <si>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</si>
  <si>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</si>
  <si>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</si>
  <si>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</si>
  <si>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</si>
  <si>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</si>
  <si>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</si>
  <si>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</si>
  <si>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</si>
  <si>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</si>
  <si>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</si>
  <si>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</si>
  <si>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</si>
  <si>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</si>
  <si>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</si>
  <si>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</si>
  <si>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</si>
  <si>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</si>
  <si>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</si>
  <si>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</si>
  <si>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</si>
  <si>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</si>
  <si>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</si>
  <si>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</si>
  <si>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</si>
  <si>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</si>
  <si>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</si>
  <si>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</si>
  <si>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</si>
  <si>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</si>
  <si>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</si>
  <si>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</si>
  <si>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</si>
  <si>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</si>
  <si>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</si>
  <si>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</si>
  <si>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</si>
  <si>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</si>
  <si>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</si>
  <si>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</si>
  <si>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</si>
  <si>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</si>
  <si>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</si>
  <si>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</si>
  <si>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</si>
  <si>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</si>
  <si>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</si>
  <si>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</si>
  <si>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</si>
  <si>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</si>
  <si>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</si>
  <si>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</si>
  <si>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</si>
  <si>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</si>
  <si>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</si>
  <si>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</si>
  <si>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</si>
  <si>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</si>
  <si>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</si>
  <si>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</si>
  <si>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</si>
  <si>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</si>
  <si>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</si>
  <si>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</si>
  <si>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</si>
  <si>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</si>
  <si>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</si>
  <si>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</si>
  <si>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</si>
  <si>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</si>
  <si>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</si>
  <si>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</si>
  <si>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</si>
  <si>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</si>
  <si>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</si>
  <si>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</si>
  <si>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</si>
  <si>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</si>
  <si>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</si>
  <si>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</si>
  <si>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</si>
  <si>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</si>
  <si>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</si>
  <si>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</si>
  <si>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</si>
  <si>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</si>
  <si>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</si>
  <si>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</si>
  <si>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</si>
  <si>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</si>
  <si>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</si>
  <si>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</si>
  <si>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</si>
  <si>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</si>
  <si>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</si>
  <si>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</si>
  <si>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</si>
  <si>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</si>
  <si>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</si>
  <si>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</si>
  <si>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</si>
  <si>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</si>
  <si>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</si>
  <si>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</si>
  <si>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</si>
  <si>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</si>
  <si>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</si>
  <si>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</si>
  <si>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</si>
  <si>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</si>
  <si>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</si>
  <si>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</si>
  <si>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</si>
  <si>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</si>
  <si>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</si>
  <si>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</si>
  <si>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</si>
  <si>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</si>
  <si>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</si>
  <si>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</si>
  <si>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</si>
  <si>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</si>
  <si>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</si>
  <si>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</si>
  <si>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</si>
  <si>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</si>
  <si>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</si>
  <si>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</si>
  <si>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</si>
  <si>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</si>
  <si>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</si>
  <si>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</si>
  <si>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</si>
  <si>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</si>
  <si>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</si>
  <si>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</si>
  <si>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</si>
  <si>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</si>
  <si>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</si>
  <si>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</si>
  <si>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</si>
  <si>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</si>
  <si>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</si>
  <si>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</si>
  <si>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</si>
  <si>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</si>
  <si>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</si>
  <si>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</si>
  <si>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</si>
  <si>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</si>
  <si>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</si>
  <si>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</si>
  <si>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</si>
  <si>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</si>
  <si>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</si>
  <si>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</si>
  <si>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</si>
  <si>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</si>
  <si>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</si>
  <si>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</si>
  <si>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</si>
  <si>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</si>
  <si>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</si>
  <si>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</si>
  <si>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</si>
  <si>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</si>
  <si>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</si>
  <si>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</si>
  <si>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</si>
  <si>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</si>
  <si>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</si>
  <si>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</si>
  <si>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</si>
  <si>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</si>
  <si>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</si>
  <si>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</si>
  <si>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</si>
  <si>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</si>
  <si>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</si>
  <si>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</si>
  <si>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</si>
  <si>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</si>
  <si>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</si>
  <si>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</si>
  <si>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</si>
  <si>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</si>
  <si>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</si>
  <si>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</si>
  <si>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</si>
  <si>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</si>
  <si>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</si>
  <si>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</si>
  <si>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</si>
  <si>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</si>
  <si>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</si>
  <si>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</si>
  <si>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</si>
  <si>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</si>
  <si>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</si>
  <si>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</si>
  <si>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</si>
  <si>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</si>
  <si>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</si>
  <si>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</si>
  <si>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</si>
  <si>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</si>
  <si>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</si>
  <si>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</si>
  <si>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</si>
  <si>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</si>
  <si>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</si>
  <si>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</si>
  <si>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</si>
  <si>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</si>
  <si>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</si>
  <si>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</si>
  <si>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</si>
  <si>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</si>
  <si>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</si>
  <si>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</si>
  <si>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</si>
  <si>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</si>
  <si>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</si>
  <si>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</si>
  <si>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</si>
  <si>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</si>
  <si>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</si>
  <si>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</si>
  <si>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</si>
  <si>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</si>
  <si>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</si>
  <si>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</si>
  <si>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</si>
  <si>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</si>
  <si>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</si>
  <si>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</si>
  <si>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</si>
  <si>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</si>
  <si>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</si>
  <si>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</si>
  <si>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</si>
  <si>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</si>
  <si>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</si>
  <si>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</si>
  <si>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</si>
  <si>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</si>
  <si>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</si>
  <si>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</si>
  <si>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</si>
  <si>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</si>
  <si>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</si>
  <si>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</si>
  <si>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</si>
  <si>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</si>
  <si>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</si>
  <si>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</si>
  <si>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</si>
  <si>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</si>
  <si>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</si>
  <si>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</si>
  <si>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</si>
  <si>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</si>
  <si>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</si>
  <si>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</si>
  <si>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</si>
  <si>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</si>
  <si>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</si>
  <si>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</si>
  <si>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</si>
  <si>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</si>
  <si>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</si>
  <si>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</si>
  <si>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</si>
  <si>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</si>
  <si>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</si>
  <si>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</si>
  <si>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</si>
  <si>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</si>
  <si>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</si>
  <si>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</si>
  <si>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</si>
  <si>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</si>
  <si>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</si>
  <si>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</si>
  <si>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</si>
  <si>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</si>
  <si>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</si>
  <si>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</si>
  <si>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</si>
  <si>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</si>
  <si>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</si>
  <si>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</si>
  <si>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</si>
  <si>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</si>
  <si>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</si>
  <si>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</si>
  <si>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</si>
  <si>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</si>
  <si>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</si>
  <si>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</si>
  <si>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</si>
  <si>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</si>
  <si>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</si>
  <si>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</si>
  <si>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</si>
  <si>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</si>
  <si>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</si>
  <si>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</si>
  <si>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</si>
  <si>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</si>
  <si>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</si>
  <si>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</si>
  <si>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</si>
  <si>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</si>
  <si>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</si>
  <si>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</si>
  <si>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</si>
  <si>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</si>
  <si>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</si>
  <si>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</si>
  <si>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</si>
  <si>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</si>
  <si>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</si>
  <si>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</si>
  <si>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</si>
  <si>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</si>
  <si>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</si>
  <si>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</si>
  <si>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</si>
  <si>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</si>
  <si>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</si>
  <si>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</si>
  <si>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</si>
  <si>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</si>
  <si>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</si>
  <si>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</si>
  <si>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</si>
  <si>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</si>
  <si>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</si>
  <si>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</si>
  <si>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</si>
  <si>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</si>
  <si>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</si>
  <si>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</si>
  <si>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</si>
  <si>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</si>
  <si>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</si>
  <si>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</si>
  <si>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</si>
  <si>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</si>
  <si>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</si>
  <si>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</si>
  <si>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</si>
  <si>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</si>
  <si>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</si>
  <si>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</si>
  <si>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</si>
  <si>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</si>
  <si>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</si>
  <si>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</si>
  <si>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</si>
  <si>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</si>
  <si>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</si>
  <si>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</si>
  <si>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</si>
  <si>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</si>
  <si>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</si>
  <si>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</si>
  <si>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</si>
  <si>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</si>
  <si>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</si>
  <si>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</si>
  <si>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</si>
  <si>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</si>
  <si>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</si>
  <si>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</si>
  <si>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</si>
  <si>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</si>
  <si>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</si>
  <si>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</si>
  <si>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</si>
  <si>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</si>
  <si>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</si>
  <si>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</si>
  <si>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</si>
  <si>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</si>
  <si>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</si>
  <si>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</si>
  <si>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</si>
  <si>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</si>
  <si>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</si>
  <si>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</si>
  <si>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</si>
  <si>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</si>
  <si>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</si>
  <si>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</si>
  <si>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</si>
  <si>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</si>
  <si>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</si>
  <si>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</si>
  <si>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</si>
  <si>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</si>
  <si>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</si>
  <si>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</si>
  <si>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</si>
  <si>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</si>
  <si>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</si>
  <si>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</si>
  <si>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</si>
  <si>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</si>
  <si>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</si>
  <si>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</si>
  <si>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</si>
  <si>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</si>
  <si>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</si>
  <si>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</si>
  <si>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</si>
  <si>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</si>
  <si>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</si>
  <si>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</si>
  <si>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</si>
  <si>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</si>
  <si>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</si>
  <si>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</si>
  <si>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</si>
  <si>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</si>
  <si>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</si>
  <si>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</si>
  <si>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</si>
  <si>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</si>
  <si>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</si>
  <si>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</si>
  <si>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</si>
  <si>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</si>
  <si>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</si>
  <si>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</si>
  <si>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</si>
  <si>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</si>
  <si>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</si>
  <si>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</si>
  <si>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</si>
  <si>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</si>
  <si>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</si>
  <si>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</si>
  <si>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</si>
  <si>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</si>
  <si>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</si>
  <si>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</si>
  <si>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</si>
  <si>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</si>
  <si>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</si>
  <si>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</si>
  <si>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</si>
  <si>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</si>
  <si>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</si>
  <si>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</si>
  <si>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</si>
  <si>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</si>
  <si>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</si>
  <si>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</si>
  <si>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</si>
  <si>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</si>
  <si>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</si>
  <si>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</si>
  <si>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</si>
  <si>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</si>
  <si>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</si>
  <si>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</si>
  <si>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</si>
  <si>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</si>
  <si>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</si>
  <si>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</si>
  <si>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</si>
  <si>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</si>
  <si>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</si>
  <si>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</si>
  <si>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</si>
  <si>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</si>
  <si>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</si>
  <si>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</si>
  <si>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</si>
  <si>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</si>
  <si>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</si>
  <si>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</si>
  <si>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</si>
  <si>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</si>
  <si>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</si>
  <si>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</si>
  <si>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</si>
  <si>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</si>
  <si>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</si>
  <si>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</si>
  <si>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</si>
  <si>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</si>
  <si>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</si>
  <si>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</si>
  <si>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</si>
  <si>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</si>
  <si>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</si>
  <si>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</si>
  <si>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</si>
  <si>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</si>
  <si>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</si>
  <si>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</si>
  <si>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</si>
  <si>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</si>
  <si>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</si>
  <si>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</si>
  <si>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</si>
  <si>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</si>
  <si>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</si>
  <si>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</si>
  <si>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</si>
  <si>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</si>
  <si>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</si>
  <si>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</si>
  <si>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</si>
  <si>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</si>
  <si>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</si>
  <si>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</si>
  <si>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</si>
  <si>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</si>
  <si>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</si>
  <si>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</si>
  <si>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</si>
  <si>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</si>
  <si>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</si>
  <si>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</si>
  <si>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</si>
  <si>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</si>
  <si>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</si>
  <si>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</si>
  <si>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</si>
  <si>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</si>
  <si>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</si>
  <si>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</si>
  <si>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</si>
  <si>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</si>
  <si>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</si>
  <si>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</si>
  <si>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</si>
  <si>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</si>
  <si>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</si>
  <si>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</si>
  <si>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</si>
  <si>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</si>
  <si>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</si>
  <si>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</si>
  <si>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</si>
  <si>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</si>
  <si>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</si>
  <si>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</si>
  <si>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</si>
  <si>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</si>
  <si>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</si>
  <si>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</si>
  <si>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</si>
  <si>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</si>
  <si>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</si>
  <si>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</si>
  <si>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</si>
  <si>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</si>
  <si>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</si>
  <si>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</si>
  <si>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</si>
  <si>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</si>
  <si>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</si>
  <si>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</si>
  <si>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</si>
  <si>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</si>
  <si>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</si>
  <si>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</si>
  <si>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</si>
  <si>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</si>
  <si>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</si>
  <si>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</si>
  <si>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</si>
  <si>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</si>
  <si>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</si>
  <si>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</si>
  <si>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</si>
  <si>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</si>
  <si>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</si>
  <si>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</si>
  <si>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</si>
  <si>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</si>
  <si>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</si>
  <si>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</si>
  <si>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</si>
  <si>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</si>
  <si>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</si>
  <si>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</si>
  <si>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</si>
  <si>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</si>
  <si>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</si>
  <si>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</si>
  <si>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</si>
  <si>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</si>
  <si>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</si>
  <si>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</si>
  <si>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</si>
  <si>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</si>
  <si>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</si>
  <si>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</si>
  <si>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</si>
  <si>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</si>
  <si>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</si>
  <si>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</si>
  <si>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</si>
  <si>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</si>
  <si>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</si>
  <si>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</si>
  <si>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</si>
  <si>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</si>
  <si>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</si>
  <si>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</si>
  <si>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</si>
  <si>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</si>
  <si>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</si>
  <si>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</si>
  <si>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</si>
  <si>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</si>
  <si>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</si>
  <si>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</si>
  <si>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</si>
  <si>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</si>
  <si>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</si>
  <si>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</si>
  <si>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</si>
  <si>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</si>
  <si>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</si>
  <si>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</si>
  <si>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</si>
  <si>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</si>
  <si>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</si>
  <si>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</si>
  <si>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</si>
  <si>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</si>
  <si>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</si>
  <si>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</si>
  <si>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</si>
  <si>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</si>
  <si>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</si>
  <si>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</si>
  <si>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</si>
  <si>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</si>
  <si>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</si>
  <si>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</si>
  <si>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</si>
  <si>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</si>
  <si>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</si>
  <si>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</si>
  <si>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</si>
  <si>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</si>
  <si>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</si>
  <si>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</si>
  <si>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</si>
  <si>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</si>
  <si>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</si>
  <si>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</si>
  <si>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</si>
  <si>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</si>
  <si>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</si>
  <si>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</si>
  <si>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</si>
  <si>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</si>
  <si>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</si>
  <si>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</si>
  <si>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</si>
  <si>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</si>
  <si>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</si>
  <si>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</si>
  <si>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</si>
  <si>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</si>
  <si>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</si>
  <si>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</si>
  <si>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</si>
  <si>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</si>
  <si>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</si>
  <si>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</si>
  <si>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</si>
  <si>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</si>
  <si>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</si>
  <si>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</si>
  <si>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</si>
  <si>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</si>
  <si>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</si>
  <si>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</si>
  <si>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</si>
  <si>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</si>
  <si>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</si>
  <si>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</si>
  <si>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</si>
  <si>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</si>
  <si>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</si>
  <si>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</si>
  <si>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</si>
  <si>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</si>
  <si>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</si>
  <si>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</si>
  <si>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</si>
  <si>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</si>
  <si>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</si>
  <si>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</si>
  <si>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</si>
  <si>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</si>
  <si>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</si>
  <si>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</si>
  <si>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</si>
  <si>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</si>
  <si>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</si>
  <si>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</si>
  <si>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</si>
  <si>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</si>
  <si>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</si>
  <si>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</si>
  <si>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</si>
  <si>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</si>
  <si>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</si>
  <si>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</si>
  <si>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</si>
  <si>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</si>
  <si>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</si>
  <si>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</si>
  <si>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</si>
  <si>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</si>
  <si>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</si>
  <si>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</si>
  <si>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</si>
  <si>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</si>
  <si>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</si>
  <si>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</si>
  <si>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</si>
  <si>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</si>
  <si>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</si>
  <si>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</si>
  <si>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</si>
  <si>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</si>
  <si>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</si>
  <si>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</si>
  <si>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</si>
  <si>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</si>
  <si>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</si>
  <si>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</si>
  <si>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</si>
  <si>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</si>
  <si>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</si>
  <si>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</si>
  <si>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</si>
  <si>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</si>
  <si>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</si>
  <si>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</si>
  <si>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</si>
  <si>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</si>
  <si>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</si>
  <si>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</si>
  <si>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</si>
  <si>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</si>
  <si>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</si>
  <si>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</si>
  <si>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</si>
  <si>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</si>
  <si>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</si>
  <si>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</si>
  <si>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</si>
  <si>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</si>
  <si>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</si>
  <si>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</si>
  <si>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</si>
  <si>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</si>
  <si>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</si>
  <si>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</si>
  <si>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</si>
  <si>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</si>
  <si>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</si>
  <si>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</si>
  <si>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</si>
  <si>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</si>
  <si>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</si>
  <si>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</si>
  <si>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</si>
  <si>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</si>
  <si>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</si>
  <si>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</si>
  <si>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</si>
  <si>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</si>
  <si>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</si>
  <si>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</si>
  <si>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</si>
  <si>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</si>
  <si>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</si>
  <si>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</si>
  <si>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</si>
  <si>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</si>
  <si>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</si>
  <si>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</si>
  <si>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</si>
  <si>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</si>
  <si>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</si>
  <si>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</si>
  <si>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</si>
  <si>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</si>
  <si>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</si>
  <si>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</si>
  <si>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</si>
  <si>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</si>
  <si>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</si>
  <si>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</si>
  <si>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</si>
  <si>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</si>
  <si>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</si>
  <si>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</si>
  <si>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</si>
  <si>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</si>
  <si>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</si>
  <si>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</si>
  <si>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</si>
  <si>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</si>
  <si>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</si>
  <si>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</si>
  <si>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</si>
  <si>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</si>
  <si>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</si>
  <si>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</si>
  <si>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</si>
  <si>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</si>
  <si>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</si>
  <si>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</si>
  <si>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</si>
  <si>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</si>
  <si>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</si>
  <si>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</si>
  <si>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</si>
  <si>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</si>
  <si>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</si>
  <si>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</si>
  <si>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</si>
  <si>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</si>
  <si>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</si>
  <si>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</si>
  <si>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</si>
  <si>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</si>
  <si>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</si>
  <si>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</si>
  <si>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</si>
  <si>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</si>
  <si>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</si>
  <si>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</si>
  <si>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</si>
  <si>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</si>
  <si>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</si>
  <si>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</si>
  <si>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</si>
  <si>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</si>
  <si>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</si>
  <si>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</si>
  <si>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</si>
  <si>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</si>
  <si>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</si>
  <si>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</si>
  <si>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</si>
  <si>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</si>
  <si>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</si>
  <si>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</si>
  <si>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</si>
  <si>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</si>
  <si>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</si>
  <si>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</si>
  <si>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</si>
  <si>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</si>
  <si>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</si>
  <si>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</si>
  <si>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</si>
  <si>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</si>
  <si>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</si>
  <si>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</si>
  <si>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</si>
  <si>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</si>
  <si>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</si>
  <si>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</si>
  <si>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</si>
  <si>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</si>
  <si>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</si>
  <si>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</si>
  <si>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</si>
  <si>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</si>
  <si>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</si>
  <si>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</si>
  <si>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</si>
  <si>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</si>
  <si>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</si>
  <si>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</si>
  <si>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</si>
  <si>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</si>
  <si>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</si>
  <si>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</si>
  <si>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</si>
  <si>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</si>
  <si>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</si>
  <si>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</si>
  <si>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</si>
  <si>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</si>
  <si>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</si>
  <si>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</si>
  <si>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</si>
  <si>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</si>
  <si>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</si>
  <si>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</si>
  <si>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</si>
  <si>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</si>
  <si>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</si>
  <si>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</si>
  <si>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</si>
  <si>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</si>
  <si>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</si>
  <si>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</si>
  <si>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</si>
  <si>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</si>
  <si>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</si>
  <si>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</si>
  <si>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</si>
  <si>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</si>
  <si>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</si>
  <si>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</si>
  <si>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</si>
  <si>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</si>
  <si>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</si>
  <si>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</si>
  <si>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</si>
  <si>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</si>
  <si>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</si>
  <si>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</si>
  <si>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</si>
  <si>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</si>
  <si>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</si>
  <si>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</si>
  <si>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</si>
  <si>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</si>
  <si>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</si>
  <si>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</si>
  <si>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</si>
  <si>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</si>
  <si>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</si>
  <si>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</si>
  <si>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</si>
  <si>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</si>
  <si>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</si>
  <si>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</si>
  <si>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</si>
  <si>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</si>
  <si>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</si>
  <si>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</si>
  <si>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</si>
  <si>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</si>
  <si>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</si>
  <si>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</si>
  <si>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</si>
  <si>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</si>
  <si>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</si>
  <si>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</si>
  <si>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</si>
  <si>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</si>
  <si>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</si>
  <si>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</si>
  <si>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</si>
  <si>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</si>
  <si>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</si>
  <si>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</si>
  <si>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</si>
  <si>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</si>
  <si>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</si>
  <si>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</si>
  <si>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</si>
  <si>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</si>
  <si>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</si>
  <si>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</si>
  <si>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</si>
  <si>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</si>
  <si>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</si>
  <si>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</si>
  <si>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</si>
  <si>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</si>
  <si>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</si>
  <si>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</si>
  <si>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</si>
  <si>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</si>
  <si>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</si>
  <si>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</si>
  <si>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</si>
  <si>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</si>
  <si>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</si>
  <si>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</si>
  <si>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</si>
  <si>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</si>
  <si>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</si>
  <si>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</si>
  <si>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</si>
  <si>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</si>
  <si>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</si>
  <si>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</si>
  <si>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</si>
  <si>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</si>
  <si>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</si>
  <si>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</si>
  <si>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</si>
  <si>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</si>
  <si>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</si>
  <si>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</si>
  <si>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</si>
  <si>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</si>
  <si>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</si>
  <si>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</si>
  <si>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</si>
  <si>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</si>
  <si>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</si>
  <si>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</si>
  <si>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</si>
  <si>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</si>
  <si>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</si>
  <si>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</si>
  <si>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</si>
  <si>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</si>
  <si>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</si>
  <si>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</si>
  <si>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</si>
  <si>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</si>
  <si>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</si>
  <si>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</si>
  <si>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</si>
  <si>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</si>
  <si>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</si>
  <si>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</si>
  <si>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</si>
  <si>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</si>
  <si>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</si>
  <si>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</si>
  <si>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</si>
  <si>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</si>
  <si>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</si>
  <si>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</si>
  <si>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</si>
  <si>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</si>
  <si>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</si>
  <si>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</si>
  <si>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</si>
  <si>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</si>
  <si>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</si>
  <si>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</si>
  <si>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</si>
  <si>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</si>
  <si>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</si>
  <si>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</si>
  <si>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</si>
  <si>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</si>
  <si>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</si>
  <si>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</si>
  <si>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</si>
  <si>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</si>
  <si>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</si>
  <si>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</si>
  <si>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</si>
  <si>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</si>
  <si>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</si>
  <si>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</si>
  <si>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</si>
  <si>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</si>
  <si>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</si>
  <si>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</si>
  <si>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</si>
  <si>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</si>
  <si>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</si>
  <si>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</si>
  <si>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</si>
  <si>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</si>
  <si>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</si>
  <si>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</si>
  <si>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</si>
  <si>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</si>
  <si>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</si>
  <si>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</si>
  <si>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</si>
  <si>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</si>
  <si>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</si>
  <si>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</si>
  <si>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</si>
  <si>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</si>
  <si>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</si>
  <si>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</si>
  <si>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</si>
  <si>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</si>
  <si>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</si>
  <si>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</si>
  <si>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</si>
  <si>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</si>
  <si>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</si>
  <si>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</si>
  <si>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</si>
  <si>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</si>
  <si>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</si>
  <si>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</si>
  <si>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</si>
  <si>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</si>
  <si>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</si>
  <si>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</si>
  <si>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已完工</t>
    <phoneticPr fontId="6" type="noConversion"/>
  </si>
  <si>
    <t>《房屋所有权证》</t>
  </si>
  <si>
    <t>市场价格</t>
  </si>
  <si>
    <t>企业</t>
  </si>
  <si>
    <t>与级别开发程度一致</t>
  </si>
  <si>
    <t>中心城区</t>
  </si>
  <si>
    <t>较好</t>
  </si>
  <si>
    <t>一般</t>
  </si>
  <si>
    <t>好</t>
  </si>
  <si>
    <t>地上</t>
  </si>
  <si>
    <t>是</t>
  </si>
  <si>
    <t>划拨</t>
  </si>
  <si>
    <t>地面单价</t>
  </si>
  <si>
    <t>方法</t>
  </si>
  <si>
    <t>出让地价</t>
    <phoneticPr fontId="223" type="noConversion"/>
  </si>
  <si>
    <t>土地增值收益率</t>
    <phoneticPr fontId="223" type="noConversion"/>
  </si>
  <si>
    <t>划拨地价</t>
  </si>
  <si>
    <t>北京市自规委-土地招拍挂项目</t>
  </si>
  <si>
    <t>基准地价法</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</si>
  <si>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</si>
  <si>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</si>
  <si>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</si>
  <si>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</si>
  <si>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</si>
  <si>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</si>
  <si>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</si>
  <si>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</si>
  <si>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</si>
  <si>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</si>
  <si>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</si>
  <si>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</si>
  <si>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</si>
  <si>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</si>
  <si>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</si>
  <si>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</si>
  <si>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</si>
  <si>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</si>
  <si>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</si>
  <si>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</si>
  <si>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</si>
  <si>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</si>
  <si>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</si>
  <si>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</si>
  <si>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</si>
  <si>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</si>
  <si>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</si>
  <si>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</si>
  <si>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</si>
  <si>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</si>
  <si>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</si>
  <si>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</si>
  <si>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</si>
  <si>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</si>
  <si>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</si>
  <si>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</si>
  <si>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</si>
  <si>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</si>
  <si>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</si>
  <si>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</si>
  <si>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</si>
  <si>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</si>
  <si>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</si>
  <si>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</si>
  <si>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</si>
  <si>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</si>
  <si>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</si>
  <si>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</si>
  <si>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</si>
  <si>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</si>
  <si>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</si>
  <si>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</si>
  <si>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</si>
  <si>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</si>
  <si>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</si>
  <si>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</si>
  <si>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</si>
  <si>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</si>
  <si>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</si>
  <si>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</si>
  <si>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</si>
  <si>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</si>
  <si>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</si>
  <si>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</si>
  <si>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</si>
  <si>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</si>
  <si>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</si>
  <si>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</si>
  <si>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</si>
  <si>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</si>
  <si>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</si>
  <si>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</si>
  <si>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</si>
  <si>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</si>
  <si>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</si>
  <si>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</si>
  <si>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</si>
  <si>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</si>
  <si>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</si>
  <si>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</si>
  <si>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</si>
  <si>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</si>
  <si>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</si>
  <si>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</si>
  <si>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</si>
  <si>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</si>
  <si>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</si>
  <si>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</si>
  <si>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</si>
  <si>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</si>
  <si>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</si>
  <si>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</si>
  <si>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</si>
  <si>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</si>
  <si>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</si>
  <si>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</si>
  <si>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</si>
  <si>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</si>
  <si>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</si>
  <si>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</si>
  <si>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</si>
  <si>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</si>
  <si>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</si>
  <si>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</si>
  <si>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</si>
  <si>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</si>
  <si>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</si>
  <si>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</si>
  <si>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</si>
  <si>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</si>
  <si>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</si>
  <si>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</si>
  <si>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</si>
  <si>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</si>
  <si>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</si>
  <si>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</si>
  <si>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</si>
  <si>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</si>
  <si>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</si>
  <si>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</si>
  <si>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</si>
  <si>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</si>
  <si>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</si>
  <si>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</si>
  <si>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</si>
  <si>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</si>
  <si>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</si>
  <si>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</si>
  <si>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</si>
  <si>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</si>
  <si>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</si>
  <si>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</si>
  <si>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</si>
  <si>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</si>
  <si>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</si>
  <si>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</si>
  <si>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</si>
  <si>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</si>
  <si>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</si>
  <si>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</si>
  <si>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</si>
  <si>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</si>
  <si>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</si>
  <si>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</si>
  <si>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</si>
  <si>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</si>
  <si>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</si>
  <si>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</si>
  <si>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</si>
  <si>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</si>
  <si>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</si>
  <si>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</si>
  <si>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</si>
  <si>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</si>
  <si>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</si>
  <si>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</si>
  <si>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</si>
  <si>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</si>
  <si>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</si>
  <si>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</si>
  <si>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</si>
  <si>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</si>
  <si>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</si>
  <si>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</si>
  <si>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</si>
  <si>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</si>
  <si>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</si>
  <si>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</si>
  <si>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</si>
  <si>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</si>
  <si>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</si>
  <si>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</si>
  <si>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</si>
  <si>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</si>
  <si>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</si>
  <si>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</si>
  <si>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</si>
  <si>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</si>
  <si>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</si>
  <si>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</si>
  <si>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</si>
  <si>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</si>
  <si>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</si>
  <si>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</si>
  <si>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</si>
  <si>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</si>
  <si>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</si>
  <si>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</si>
  <si>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</si>
  <si>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</si>
  <si>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北京大兴国际机场临空经济区0107-076、095地块W1一类物流仓储用地国有建设用地使用权出让</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</si>
  <si>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</si>
  <si>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</si>
  <si>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</si>
  <si>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</si>
  <si>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</si>
  <si>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</si>
  <si>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</si>
  <si>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</si>
  <si>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</si>
  <si>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</si>
  <si>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</si>
  <si>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</si>
  <si>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</si>
  <si>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</si>
  <si>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</si>
  <si>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</si>
  <si>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</si>
  <si>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</si>
  <si>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</si>
  <si>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</si>
  <si>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</si>
  <si>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</si>
  <si>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</si>
  <si>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</si>
  <si>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</si>
  <si>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</si>
  <si>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</si>
  <si>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</si>
  <si>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</si>
  <si>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</si>
  <si>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</si>
  <si>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</si>
  <si>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</si>
  <si>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</si>
  <si>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</si>
  <si>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</si>
  <si>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</si>
  <si>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</si>
  <si>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</si>
  <si>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</si>
  <si>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</si>
  <si>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</si>
  <si>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</si>
  <si>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</si>
  <si>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</si>
  <si>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</si>
  <si>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</si>
  <si>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</si>
  <si>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</si>
  <si>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</si>
  <si>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</si>
  <si>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</si>
  <si>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</si>
  <si>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</si>
  <si>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</si>
  <si>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</si>
  <si>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</si>
  <si>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</si>
  <si>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</si>
  <si>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</si>
  <si>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</si>
  <si>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</si>
  <si>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</si>
  <si>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</si>
  <si>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</si>
  <si>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</si>
  <si>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</si>
  <si>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</si>
  <si>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</si>
  <si>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</si>
  <si>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</si>
  <si>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</si>
  <si>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</si>
  <si>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</si>
  <si>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</si>
  <si>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</si>
  <si>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</si>
  <si>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</si>
  <si>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</si>
  <si>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</si>
  <si>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</si>
  <si>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</si>
  <si>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</si>
  <si>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</si>
  <si>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</si>
  <si>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</si>
  <si>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</si>
  <si>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</si>
  <si>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</si>
  <si>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</si>
  <si>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</si>
  <si>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</si>
  <si>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</si>
  <si>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</si>
  <si>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</si>
  <si>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</si>
  <si>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</si>
  <si>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</si>
  <si>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</si>
  <si>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</si>
  <si>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</si>
  <si>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</si>
  <si>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</si>
  <si>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</si>
  <si>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</si>
  <si>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</si>
  <si>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</si>
  <si>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</si>
  <si>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</si>
  <si>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</si>
  <si>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</si>
  <si>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</si>
  <si>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</si>
  <si>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</si>
  <si>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</si>
  <si>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</si>
  <si>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</si>
  <si>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</si>
  <si>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</si>
  <si>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</si>
  <si>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</si>
  <si>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</si>
  <si>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</si>
  <si>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</si>
  <si>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</si>
  <si>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</si>
  <si>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</si>
  <si>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</si>
  <si>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</si>
  <si>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</si>
  <si>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</si>
  <si>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</si>
  <si>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</si>
  <si>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</si>
  <si>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</si>
  <si>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</si>
  <si>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</si>
  <si>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</si>
  <si>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</si>
  <si>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</si>
  <si>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</si>
  <si>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</si>
  <si>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</si>
  <si>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</si>
  <si>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</si>
  <si>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</si>
  <si>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</si>
  <si>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</si>
  <si>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</si>
  <si>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</si>
  <si>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</si>
  <si>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</si>
  <si>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</si>
  <si>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</si>
  <si>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</si>
  <si>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</si>
  <si>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</si>
  <si>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</si>
  <si>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</si>
  <si>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</si>
  <si>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</si>
  <si>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</si>
  <si>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</si>
  <si>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</si>
  <si>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</si>
  <si>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</si>
  <si>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</si>
  <si>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</si>
  <si>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</si>
  <si>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</si>
  <si>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</si>
  <si>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</si>
  <si>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</si>
  <si>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</si>
  <si>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</si>
  <si>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</si>
  <si>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</si>
  <si>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</si>
  <si>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</si>
  <si>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</si>
  <si>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</si>
  <si>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</si>
  <si>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</si>
  <si>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</si>
  <si>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</si>
  <si>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</si>
  <si>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</si>
  <si>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</si>
  <si>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</si>
  <si>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</si>
  <si>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</si>
  <si>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</si>
  <si>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</si>
  <si>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</si>
  <si>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</si>
  <si>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</si>
  <si>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</si>
  <si>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</si>
  <si>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</si>
  <si>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</si>
  <si>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</si>
  <si>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</si>
  <si>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</si>
  <si>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</si>
  <si>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</si>
  <si>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</si>
  <si>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</si>
  <si>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</si>
  <si>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</si>
  <si>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</si>
  <si>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</si>
  <si>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</si>
  <si>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</si>
  <si>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</si>
  <si>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</si>
  <si>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</si>
  <si>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</si>
  <si>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</si>
  <si>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</si>
  <si>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</si>
  <si>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</si>
  <si>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</si>
  <si>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</si>
  <si>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</si>
  <si>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</si>
  <si>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</si>
  <si>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</si>
  <si>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</si>
  <si>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</si>
  <si>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</si>
  <si>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</si>
  <si>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</si>
  <si>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</si>
  <si>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</si>
  <si>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</si>
  <si>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</si>
  <si>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</si>
  <si>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</si>
  <si>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</si>
  <si>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</si>
  <si>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</si>
  <si>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</si>
  <si>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</si>
  <si>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</si>
  <si>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</si>
  <si>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</si>
  <si>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</si>
  <si>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</si>
  <si>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</si>
  <si>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</si>
  <si>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</si>
  <si>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</si>
  <si>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</si>
  <si>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</si>
  <si>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</si>
  <si>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</si>
  <si>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</si>
  <si>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</si>
  <si>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</si>
  <si>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</si>
  <si>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</si>
  <si>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</si>
  <si>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</si>
  <si>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</si>
  <si>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</si>
  <si>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</si>
  <si>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</si>
  <si>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</si>
  <si>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</si>
  <si>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</si>
  <si>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</si>
  <si>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</si>
  <si>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</si>
  <si>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</si>
  <si>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</si>
  <si>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</si>
  <si>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</si>
  <si>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</si>
  <si>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</si>
  <si>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</si>
  <si>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</si>
  <si>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</si>
  <si>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</si>
  <si>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</si>
  <si>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</si>
  <si>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</si>
  <si>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</si>
  <si>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</si>
  <si>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</si>
  <si>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</si>
  <si>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</si>
  <si>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</si>
  <si>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七级</t>
    <phoneticPr fontId="223" type="noConversion"/>
  </si>
  <si>
    <t>郑燚</t>
  </si>
  <si>
    <t>容积率</t>
    <phoneticPr fontId="223" type="noConversion"/>
  </si>
  <si>
    <t>地面单价</t>
    <phoneticPr fontId="223" type="noConversion"/>
  </si>
  <si>
    <t>开发建设补偿费/万</t>
    <phoneticPr fontId="223" type="noConversion"/>
  </si>
  <si>
    <t>开发建设补偿费/地面单价</t>
    <phoneticPr fontId="223" type="noConversion"/>
  </si>
  <si>
    <t>土地增值收益率</t>
    <phoneticPr fontId="223" type="noConversion"/>
  </si>
  <si>
    <t>年期修正（50年）</t>
    <phoneticPr fontId="223" type="noConversion"/>
  </si>
  <si>
    <t>土地级别</t>
    <phoneticPr fontId="223" type="noConversion"/>
  </si>
  <si>
    <t>基准地价级别修正</t>
    <phoneticPr fontId="223" type="noConversion"/>
  </si>
  <si>
    <t>年期修正后成交地面单价</t>
    <phoneticPr fontId="223" type="noConversion"/>
  </si>
  <si>
    <t xml:space="preserve"> 20年</t>
    <phoneticPr fontId="223" type="noConversion"/>
  </si>
  <si>
    <t>北京大兴国际机场临空经济区DX16-0206-0104、DX16-0206-0110、DX16-0206-0115地块M1一类工业用地、DX16-0206-0100地块S41公用停车场用地国有建设用地</t>
    <phoneticPr fontId="223" type="noConversion"/>
  </si>
  <si>
    <t>大兴新城东南片区0605-015D地块工业用地国有建设用地使用权出让</t>
    <phoneticPr fontId="223" type="noConversion"/>
  </si>
  <si>
    <t>≤2</t>
    <phoneticPr fontId="223" type="noConversion"/>
  </si>
  <si>
    <t>M2 二类工业用地</t>
    <phoneticPr fontId="223" type="noConversion"/>
  </si>
  <si>
    <t>大兴新城东南片区0605-021B地块工业用地国有建设用地使用权</t>
    <phoneticPr fontId="223" type="noConversion"/>
  </si>
  <si>
    <t>京土整储挂（兴）工业[2021]002号</t>
    <phoneticPr fontId="223" type="noConversion"/>
  </si>
  <si>
    <t>大兴新城东南片区</t>
    <phoneticPr fontId="223" type="noConversion"/>
  </si>
  <si>
    <t>M1一类工业用地</t>
    <phoneticPr fontId="223" type="noConversion"/>
  </si>
  <si>
    <t>大兴新城东南片区0605-015E地块</t>
    <phoneticPr fontId="223" type="noConversion"/>
  </si>
  <si>
    <t>出让文件大小写不一致</t>
    <phoneticPr fontId="223" type="noConversion"/>
  </si>
  <si>
    <t xml:space="preserve"> 工业</t>
    <phoneticPr fontId="223" type="noConversion"/>
  </si>
  <si>
    <t>Ⅸ</t>
    <phoneticPr fontId="223" type="noConversion"/>
  </si>
  <si>
    <t>大兴生物医药产业基地DX00-0502-6016地块M1一类工业用地国有建设用地使用权出让</t>
    <phoneticPr fontId="223" type="noConversion"/>
  </si>
  <si>
    <t>出让文件前后不一致</t>
    <phoneticPr fontId="223" type="noConversion"/>
  </si>
  <si>
    <t>Ⅺ-顺1</t>
    <phoneticPr fontId="223" type="noConversion"/>
  </si>
  <si>
    <t>北京市昌平区未来科学城科研成果转化基地（原小汤山镇工业区）（一期）项目CP04-0201-0013、0016、0018地块M1一类工业用地</t>
  </si>
  <si>
    <t>M1一类工业用地</t>
  </si>
  <si>
    <t>Ⅹ-房2</t>
    <phoneticPr fontId="223" type="noConversion"/>
  </si>
  <si>
    <t>铁路</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</si>
</sst>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298" fillId="7" borderId="61" xfId="18" applyFont="1" applyFill="1" applyBorder="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1" fillId="24" borderId="0" xfId="18"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0" fontId="302" fillId="0" borderId="0" xfId="18" applyFont="1" applyAlignment="1">
      <alignment vertical="center"/>
    </xf>
    <xf numFmtId="14" fontId="302" fillId="0" borderId="0" xfId="18" applyNumberFormat="1" applyFont="1" applyAlignment="1">
      <alignment vertical="center"/>
    </xf>
    <xf numFmtId="0" fontId="302" fillId="24" borderId="0" xfId="18" applyFont="1" applyFill="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1" fontId="302" fillId="24" borderId="0" xfId="18" applyNumberFormat="1" applyFont="1" applyFill="1" applyAlignment="1">
      <alignment vertical="center"/>
    </xf>
    <xf numFmtId="10" fontId="302" fillId="24" borderId="0" xfId="18" applyNumberFormat="1" applyFont="1" applyFill="1" applyAlignment="1">
      <alignment vertical="center"/>
    </xf>
    <xf numFmtId="0" fontId="303" fillId="8" borderId="0" xfId="1" applyFont="1" applyFill="1" applyAlignment="1">
      <alignment horizontal="left" vertical="center"/>
    </xf>
    <xf numFmtId="0" fontId="304" fillId="8" borderId="2" xfId="1" applyFont="1" applyFill="1" applyBorder="1" applyAlignment="1">
      <alignment horizontal="left" vertical="center"/>
    </xf>
    <xf numFmtId="0" fontId="304" fillId="8" borderId="2" xfId="1" applyFont="1" applyFill="1" applyBorder="1" applyAlignment="1">
      <alignment horizontal="left" vertical="center" wrapText="1"/>
    </xf>
    <xf numFmtId="185" fontId="305"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4" fillId="8" borderId="2" xfId="1" applyNumberFormat="1" applyFont="1" applyFill="1" applyBorder="1" applyAlignment="1">
      <alignment horizontal="left" vertical="center" wrapText="1"/>
    </xf>
    <xf numFmtId="180" fontId="304" fillId="8" borderId="2" xfId="1" applyNumberFormat="1" applyFont="1" applyFill="1" applyBorder="1" applyAlignment="1">
      <alignment horizontal="left" vertical="center"/>
    </xf>
    <xf numFmtId="185" fontId="305" fillId="14" borderId="2" xfId="1" applyNumberFormat="1" applyFont="1" applyFill="1" applyBorder="1" applyAlignment="1">
      <alignment horizontal="left" vertical="center"/>
    </xf>
    <xf numFmtId="0" fontId="303" fillId="26" borderId="0" xfId="1" applyFont="1" applyFill="1" applyAlignment="1">
      <alignment horizontal="left" vertical="center"/>
    </xf>
    <xf numFmtId="0" fontId="304" fillId="26" borderId="2" xfId="1" applyFont="1" applyFill="1" applyBorder="1" applyAlignment="1">
      <alignment horizontal="left" vertical="center"/>
    </xf>
    <xf numFmtId="0" fontId="304" fillId="26" borderId="2" xfId="1" applyFont="1" applyFill="1" applyBorder="1" applyAlignment="1">
      <alignment horizontal="left" vertical="center" wrapText="1"/>
    </xf>
    <xf numFmtId="180" fontId="304" fillId="26" borderId="2" xfId="1" applyNumberFormat="1" applyFont="1" applyFill="1" applyBorder="1" applyAlignment="1">
      <alignment horizontal="left" vertical="center"/>
    </xf>
    <xf numFmtId="185" fontId="305"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6"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3" fillId="5" borderId="0" xfId="1" applyFont="1" applyFill="1" applyAlignment="1">
      <alignment horizontal="left" vertical="center"/>
    </xf>
    <xf numFmtId="0" fontId="304" fillId="5" borderId="2" xfId="1" applyFont="1" applyFill="1" applyBorder="1" applyAlignment="1">
      <alignment horizontal="left" vertical="center"/>
    </xf>
    <xf numFmtId="0" fontId="304" fillId="5" borderId="2" xfId="1" applyFont="1" applyFill="1" applyBorder="1" applyAlignment="1">
      <alignment horizontal="left" vertical="center" wrapText="1"/>
    </xf>
    <xf numFmtId="180" fontId="304"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7"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3" fillId="0" borderId="0" xfId="1" applyFont="1" applyAlignment="1">
      <alignment horizontal="left" vertical="center"/>
    </xf>
    <xf numFmtId="0" fontId="304" fillId="0" borderId="2" xfId="1" applyFont="1" applyBorder="1" applyAlignment="1">
      <alignment horizontal="left" vertical="center"/>
    </xf>
    <xf numFmtId="0" fontId="298" fillId="0" borderId="2" xfId="1" applyFont="1" applyBorder="1" applyAlignment="1">
      <alignment horizontal="left" vertical="center"/>
    </xf>
    <xf numFmtId="0" fontId="304" fillId="0" borderId="2" xfId="1" applyFont="1" applyBorder="1" applyAlignment="1">
      <alignment horizontal="left" vertical="center" wrapText="1"/>
    </xf>
    <xf numFmtId="180" fontId="304" fillId="0" borderId="2" xfId="1" applyNumberFormat="1" applyFont="1" applyBorder="1" applyAlignment="1">
      <alignment horizontal="left" vertical="center"/>
    </xf>
    <xf numFmtId="0" fontId="298" fillId="0" borderId="0" xfId="1" applyFont="1" applyAlignment="1">
      <alignment horizontal="left" vertical="center"/>
    </xf>
    <xf numFmtId="0" fontId="305" fillId="8" borderId="0" xfId="1" applyFont="1" applyFill="1" applyAlignment="1">
      <alignment horizontal="left" vertical="center"/>
    </xf>
    <xf numFmtId="0" fontId="298" fillId="8" borderId="0" xfId="1" applyFont="1" applyFill="1" applyAlignment="1">
      <alignment horizontal="left" vertical="center" wrapText="1"/>
    </xf>
    <xf numFmtId="185" fontId="305" fillId="8" borderId="0" xfId="1" applyNumberFormat="1" applyFont="1" applyFill="1" applyAlignment="1">
      <alignment horizontal="left" vertical="center"/>
    </xf>
    <xf numFmtId="0" fontId="305" fillId="14" borderId="0" xfId="1" applyFont="1" applyFill="1" applyAlignment="1">
      <alignment horizontal="left" vertical="center"/>
    </xf>
    <xf numFmtId="0" fontId="298" fillId="14" borderId="0" xfId="1" applyFont="1" applyFill="1" applyAlignment="1">
      <alignment horizontal="left" vertical="center"/>
    </xf>
    <xf numFmtId="184" fontId="311"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2" fillId="8" borderId="0" xfId="0" applyFont="1" applyFill="1" applyProtection="1">
      <alignment vertical="center"/>
      <protection locked="0"/>
    </xf>
    <xf numFmtId="0" fontId="82" fillId="5" borderId="2" xfId="2"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4" fillId="8" borderId="21" xfId="1" applyFont="1" applyFill="1" applyBorder="1" applyAlignment="1">
      <alignment horizontal="left" vertical="center"/>
    </xf>
    <xf numFmtId="0" fontId="304" fillId="8" borderId="21" xfId="1" applyFont="1" applyFill="1" applyBorder="1" applyAlignment="1">
      <alignment horizontal="left" vertical="center" wrapText="1"/>
    </xf>
    <xf numFmtId="180" fontId="304" fillId="8" borderId="21" xfId="1" applyNumberFormat="1" applyFont="1" applyFill="1" applyBorder="1" applyAlignment="1">
      <alignment horizontal="left" vertical="center"/>
    </xf>
    <xf numFmtId="185" fontId="305" fillId="14" borderId="21" xfId="1" applyNumberFormat="1" applyFont="1" applyFill="1" applyBorder="1" applyAlignment="1">
      <alignment horizontal="left" vertical="center"/>
    </xf>
    <xf numFmtId="0" fontId="303" fillId="26" borderId="61" xfId="1" applyFont="1" applyFill="1" applyBorder="1" applyAlignment="1">
      <alignment horizontal="left" vertical="center"/>
    </xf>
    <xf numFmtId="0" fontId="304" fillId="26" borderId="44" xfId="1" applyFont="1" applyFill="1" applyBorder="1" applyAlignment="1">
      <alignment horizontal="left" vertical="center"/>
    </xf>
    <xf numFmtId="0" fontId="304" fillId="26" borderId="44" xfId="1" applyFont="1" applyFill="1" applyBorder="1" applyAlignment="1">
      <alignment horizontal="left" vertical="center" wrapText="1"/>
    </xf>
    <xf numFmtId="0" fontId="307" fillId="26" borderId="44" xfId="1" applyFont="1" applyFill="1" applyBorder="1" applyAlignment="1">
      <alignment horizontal="left" vertical="center" wrapText="1"/>
    </xf>
    <xf numFmtId="180" fontId="304" fillId="26" borderId="44" xfId="1" applyNumberFormat="1" applyFont="1" applyFill="1" applyBorder="1" applyAlignment="1">
      <alignment horizontal="left" vertical="center"/>
    </xf>
    <xf numFmtId="185" fontId="305"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5" fillId="5" borderId="2" xfId="1" applyNumberFormat="1" applyFont="1" applyFill="1" applyBorder="1" applyAlignment="1">
      <alignment horizontal="left" vertical="center"/>
    </xf>
    <xf numFmtId="0" fontId="314" fillId="8" borderId="2" xfId="1" applyFont="1" applyFill="1" applyBorder="1" applyAlignment="1">
      <alignment horizontal="left" vertical="center"/>
    </xf>
    <xf numFmtId="196" fontId="298"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5" fillId="0" borderId="0" xfId="18" applyFont="1" applyAlignment="1">
      <alignment vertical="center"/>
    </xf>
    <xf numFmtId="0" fontId="315" fillId="0" borderId="0" xfId="18" applyFont="1" applyAlignment="1">
      <alignment vertical="center" wrapText="1"/>
    </xf>
    <xf numFmtId="14" fontId="315" fillId="0" borderId="0" xfId="18" applyNumberFormat="1" applyFont="1" applyAlignment="1">
      <alignment vertical="center"/>
    </xf>
    <xf numFmtId="0" fontId="315" fillId="24" borderId="0" xfId="18" applyFont="1" applyFill="1" applyAlignment="1">
      <alignment vertical="center"/>
    </xf>
    <xf numFmtId="1" fontId="315" fillId="24" borderId="0" xfId="18" applyNumberFormat="1" applyFont="1" applyFill="1" applyAlignment="1">
      <alignment vertical="center"/>
    </xf>
    <xf numFmtId="10" fontId="315" fillId="24" borderId="0" xfId="18" applyNumberFormat="1" applyFont="1" applyFill="1" applyAlignment="1">
      <alignment vertical="center"/>
    </xf>
    <xf numFmtId="0" fontId="315" fillId="25" borderId="0" xfId="18" applyFont="1" applyFill="1" applyAlignment="1">
      <alignment vertical="center"/>
    </xf>
    <xf numFmtId="0" fontId="315" fillId="14" borderId="0" xfId="18" applyFont="1" applyFill="1" applyAlignment="1">
      <alignment horizontal="right" vertical="center"/>
    </xf>
    <xf numFmtId="0" fontId="297" fillId="0" borderId="0" xfId="18" applyFont="1" applyAlignment="1">
      <alignment vertical="center"/>
    </xf>
    <xf numFmtId="1" fontId="297" fillId="24" borderId="0" xfId="18" applyNumberFormat="1" applyFont="1" applyFill="1" applyAlignment="1">
      <alignment vertical="center"/>
    </xf>
    <xf numFmtId="0" fontId="297" fillId="24" borderId="0" xfId="18" applyFont="1" applyFill="1" applyAlignment="1">
      <alignment vertical="center"/>
    </xf>
    <xf numFmtId="10" fontId="297" fillId="24" borderId="0" xfId="18" applyNumberFormat="1" applyFont="1" applyFill="1" applyAlignment="1">
      <alignment vertical="center"/>
    </xf>
    <xf numFmtId="14" fontId="297" fillId="0" borderId="0" xfId="18" applyNumberFormat="1" applyFont="1" applyAlignment="1">
      <alignment vertical="center"/>
    </xf>
    <xf numFmtId="22" fontId="297" fillId="0" borderId="0" xfId="18" applyNumberFormat="1" applyFont="1" applyAlignment="1">
      <alignment vertical="center"/>
    </xf>
    <xf numFmtId="0" fontId="297" fillId="25" borderId="0" xfId="18" applyFont="1" applyFill="1" applyAlignment="1">
      <alignment vertical="center"/>
    </xf>
    <xf numFmtId="0" fontId="297" fillId="14" borderId="0" xfId="18" applyFont="1" applyFill="1" applyAlignment="1">
      <alignment horizontal="right" vertical="center"/>
    </xf>
    <xf numFmtId="0" fontId="144" fillId="0" borderId="0" xfId="0" applyFont="1" applyAlignment="1" applyProtection="1">
      <alignment horizontal="left" vertical="center"/>
      <protection locked="0"/>
    </xf>
    <xf numFmtId="10" fontId="144" fillId="7" borderId="2" xfId="3" applyNumberFormat="1" applyFont="1" applyFill="1" applyBorder="1" applyAlignment="1" applyProtection="1">
      <alignment horizontal="left" vertical="center"/>
      <protection locked="0"/>
    </xf>
    <xf numFmtId="0" fontId="180" fillId="0" borderId="0" xfId="7" applyFont="1" applyAlignment="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91" fillId="8" borderId="5" xfId="2" applyNumberFormat="1" applyFont="1" applyFill="1" applyBorder="1" applyAlignment="1">
      <alignment horizontal="center" vertical="center"/>
    </xf>
    <xf numFmtId="9" fontId="91" fillId="8" borderId="5" xfId="2" applyNumberFormat="1" applyFont="1" applyFill="1" applyBorder="1" applyAlignment="1" applyProtection="1">
      <alignment horizontal="center" vertical="center"/>
      <protection locked="0"/>
    </xf>
    <xf numFmtId="0" fontId="82" fillId="7" borderId="2" xfId="2"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292551</xdr:colOff>
      <xdr:row>64</xdr:row>
      <xdr:rowOff>117022</xdr:rowOff>
    </xdr:from>
    <xdr:to>
      <xdr:col>25</xdr:col>
      <xdr:colOff>415161</xdr:colOff>
      <xdr:row>104</xdr:row>
      <xdr:rowOff>78070</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7836351" y="11089822"/>
          <a:ext cx="9723810" cy="6819048"/>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5"/>
        <a:stretch>
          <a:fillRect/>
        </a:stretch>
      </xdr:blipFill>
      <xdr:spPr>
        <a:xfrm>
          <a:off x="272143" y="7385958"/>
          <a:ext cx="5154385" cy="3039363"/>
        </a:xfrm>
        <a:prstGeom prst="rect">
          <a:avLst/>
        </a:prstGeom>
      </xdr:spPr>
    </xdr:pic>
    <xdr:clientData/>
  </xdr:twoCellAnchor>
  <xdr:twoCellAnchor editAs="oneCell">
    <xdr:from>
      <xdr:col>0</xdr:col>
      <xdr:colOff>190500</xdr:colOff>
      <xdr:row>65</xdr:row>
      <xdr:rowOff>40822</xdr:rowOff>
    </xdr:from>
    <xdr:to>
      <xdr:col>11</xdr:col>
      <xdr:colOff>230381</xdr:colOff>
      <xdr:row>105</xdr:row>
      <xdr:rowOff>98442</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190500" y="11185072"/>
          <a:ext cx="7583681" cy="6915620"/>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7"/>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9"/>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10"/>
        <a:stretch>
          <a:fillRect/>
        </a:stretch>
      </xdr:blipFill>
      <xdr:spPr>
        <a:xfrm>
          <a:off x="136072" y="31963179"/>
          <a:ext cx="11800001" cy="7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723900</xdr:colOff>
      <xdr:row>21</xdr:row>
      <xdr:rowOff>28575</xdr:rowOff>
    </xdr:from>
    <xdr:to>
      <xdr:col>13</xdr:col>
      <xdr:colOff>2722653</xdr:colOff>
      <xdr:row>37</xdr:row>
      <xdr:rowOff>199128</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a:stretch>
          <a:fillRect/>
        </a:stretch>
      </xdr:blipFill>
      <xdr:spPr>
        <a:xfrm>
          <a:off x="3314700" y="9229725"/>
          <a:ext cx="11980953" cy="7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wangchaoyue231/&#38134;&#34892;&#32452;/&#36164;&#26009;&#22841;&#8212;&#8212;&#37073;&#29146;/&#19994;&#21153;&#19977;&#37096;-&#23425;&#23567;&#40151;/&#22823;&#32418;&#38376;B&#21306;&#38750;&#23429;&#27979;&#31639;&#34920;/2023-11-&#31532;&#22235;&#29256;-&#20026;&#22823;&#32418;&#38376;&#20844;&#21496;&#20351;&#29992;-&#27979;&#31639;&#25253;&#21578;&#35843;&#25972;/&#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wangchaoyue231/&#38134;&#34892;&#32452;/&#36164;&#26009;&#22841;&#8212;&#8212;&#37073;&#29146;/&#19994;&#21153;&#19977;&#37096;-&#23425;&#23567;&#40151;/&#22823;&#32418;&#38376;B&#21306;&#38750;&#23429;&#27979;&#31639;&#34920;/2023-11-&#31532;&#22235;&#29256;-&#20026;&#22823;&#32418;&#38376;&#20844;&#21496;&#20351;&#29992;-&#27979;&#31639;&#25253;&#21578;&#35843;&#25972;/&#22303;&#22320;&#65288;&#40511;&#37117;&#22269;&#38469;&#36731;&#32442;&#22478;&#65289;-1114-2.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row r="34">
          <cell r="C34">
            <v>0.91279999999999994</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1">
          <cell r="C31">
            <v>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6">
          <cell r="B26">
            <v>4910</v>
          </cell>
        </row>
        <row r="31">
          <cell r="B31">
            <v>950</v>
          </cell>
        </row>
        <row r="32">
          <cell r="B32">
            <v>730</v>
          </cell>
        </row>
        <row r="33">
          <cell r="B33">
            <v>570</v>
          </cell>
        </row>
      </sheetData>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受贵公司委托，我公司对北京市划拨国有建设用地使用权市场价格进行了预评估。</v>
      </c>
      <c r="AM6" s="2201"/>
    </row>
    <row r="7" spans="1:55">
      <c r="A7" s="2181" t="s">
        <v>1936</v>
      </c>
      <c r="B7" s="2182" t="str">
        <f>'预评函-1'!A6</f>
        <v>估价对象为使用的、位于北京市划拨国有建设用地使用权。根据，估价对象（分摊）划拨国有建设用地使用权面积为9316.87平方米。根据，估价对象规划建筑面积为1平方米。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根据，本次评估估价对象证载（地类）用途为。</v>
      </c>
    </row>
    <row r="12" spans="1:55">
      <c r="A12" s="2181" t="s">
        <v>1945</v>
      </c>
      <c r="B12" s="2182" t="str">
        <f>'预评函-1'!A15</f>
        <v>本次评估设定用途即为证载用途。</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根据，估价对象（分摊）出让国有建设用地使用权面积为9316.87平方米。根据，估价对象规划建筑面积为1平方米。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f>'预评函-2'!E5</f>
        <v>0</v>
      </c>
      <c r="AV32" s="2184"/>
    </row>
    <row r="33" spans="1:2">
      <c r="A33" s="2181" t="s">
        <v>1992</v>
      </c>
      <c r="B33" s="2182">
        <f>'预评函-2'!F5</f>
        <v>258</v>
      </c>
    </row>
    <row r="34" spans="1:2">
      <c r="A34" s="2181" t="s">
        <v>1993</v>
      </c>
      <c r="B34" s="2182">
        <f>'预评函-2'!G5</f>
        <v>0</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9316.8700000000008</v>
      </c>
    </row>
    <row r="44" spans="1:2">
      <c r="A44" s="2181" t="s">
        <v>2019</v>
      </c>
      <c r="B44" s="2182" t="str">
        <f>'预评函-2'!O3</f>
        <v>规划建筑面积/㎡</v>
      </c>
    </row>
    <row r="45" spans="1:2">
      <c r="A45" s="2181" t="s">
        <v>2001</v>
      </c>
      <c r="B45" s="2182">
        <f>'预评函-2'!O5</f>
        <v>1</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Normal="100" zoomScaleSheetLayoutView="100" workbookViewId="0">
      <selection activeCell="B51" sqref="B51"/>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55" t="str">
        <f>IF(B10="北京市","北京市",C10)&amp;F10&amp;A17&amp;"国有建设用地使用权"&amp;B9&amp;"预评估"</f>
        <v>北京市划拨国有建设用地使用权市场价格预评估</v>
      </c>
      <c r="C1" s="3556"/>
      <c r="D1" s="3556"/>
      <c r="E1" s="3556"/>
      <c r="F1" s="3556"/>
      <c r="G1" s="3556"/>
      <c r="H1" s="3556"/>
      <c r="I1" s="3557"/>
      <c r="J1" s="2602"/>
      <c r="K1" s="1970" t="str">
        <f>IF(B10="北京市","北京市",C10)&amp;F10&amp;A17&amp;"国有建设用地使用权"&amp;B9</f>
        <v>北京市划拨国有建设用地使用权市场价格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北京市划拨国有建设用地使用权</v>
      </c>
      <c r="L2" s="2582"/>
      <c r="M2" s="2582"/>
      <c r="N2" s="2583"/>
      <c r="O2" s="2584"/>
      <c r="P2" s="2583"/>
      <c r="Q2" s="2583"/>
      <c r="R2" s="2583"/>
      <c r="S2" s="2583"/>
      <c r="T2" s="2583"/>
      <c r="U2" s="2583"/>
    </row>
    <row r="3" spans="1:21">
      <c r="A3" s="1377" t="s">
        <v>1459</v>
      </c>
      <c r="B3" s="1378"/>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3763</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61"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3262</v>
      </c>
      <c r="C9" s="1390"/>
      <c r="D9" s="3562"/>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c r="G10" s="1444"/>
      <c r="H10" s="1445"/>
      <c r="I10" s="1383"/>
      <c r="J10" s="2602"/>
      <c r="K10" s="2586"/>
      <c r="L10" s="2582"/>
      <c r="M10" s="2582"/>
      <c r="N10" s="2583"/>
      <c r="O10" s="2584"/>
      <c r="P10" s="2583"/>
      <c r="Q10" s="2583"/>
      <c r="R10" s="2583"/>
      <c r="S10" s="2583"/>
      <c r="T10" s="2583"/>
      <c r="U10" s="2583"/>
    </row>
    <row r="11" spans="1:21">
      <c r="A11" s="2535" t="s">
        <v>1516</v>
      </c>
      <c r="B11" s="1405" t="s">
        <v>3263</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58"/>
      <c r="C12" s="3559"/>
      <c r="D12" s="3560"/>
      <c r="E12" s="1406" t="s">
        <v>1577</v>
      </c>
      <c r="F12" s="3576"/>
      <c r="G12" s="3577"/>
      <c r="H12" s="3577"/>
      <c r="I12" s="3578"/>
      <c r="J12" s="2602"/>
      <c r="K12" s="2586"/>
      <c r="L12" s="2582"/>
      <c r="M12" s="2582"/>
      <c r="N12" s="2583"/>
      <c r="O12" s="2584"/>
      <c r="P12" s="2583"/>
      <c r="Q12" s="2583"/>
      <c r="R12" s="2583"/>
      <c r="S12" s="2583"/>
      <c r="T12" s="2583"/>
      <c r="U12" s="2583"/>
    </row>
    <row r="13" spans="1:21">
      <c r="A13" s="1398" t="s">
        <v>1575</v>
      </c>
      <c r="B13" s="3558"/>
      <c r="C13" s="3559"/>
      <c r="D13" s="3560"/>
      <c r="E13" s="1406" t="s">
        <v>1577</v>
      </c>
      <c r="F13" s="3576"/>
      <c r="G13" s="3577"/>
      <c r="H13" s="3577"/>
      <c r="I13" s="3578"/>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42.7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v>
      </c>
      <c r="U16" s="1397" t="str">
        <f>IF(I17="","",I16&amp;TEXT(I17,"yyyy年m月d日;;"))</f>
        <v>公共服务2073年9月26日</v>
      </c>
    </row>
    <row r="17" spans="1:21">
      <c r="A17" s="3081" t="s">
        <v>3271</v>
      </c>
      <c r="B17" s="2537" t="s">
        <v>1473</v>
      </c>
      <c r="C17" s="3080"/>
      <c r="D17" s="3080"/>
      <c r="E17" s="3080"/>
      <c r="F17" s="3080"/>
      <c r="G17" s="3080"/>
      <c r="H17" s="3471">
        <v>63458</v>
      </c>
      <c r="I17" s="3471">
        <v>63458</v>
      </c>
      <c r="J17" s="2602"/>
      <c r="K17" s="2581" t="str">
        <f>CONCATENATE(K16,L16,M16,N16,O16,P16,Q16,R16,S16,T16,,U16)</f>
        <v>工业2073年9月26日、公共服务2073年9月26日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v>50</v>
      </c>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0</v>
      </c>
      <c r="E19" s="1396">
        <f>IF(A17="出让",IF(E17="","",ROUNDDOWN(MIN((E17-$D$3)/365,E18),2)),E18)</f>
        <v>0</v>
      </c>
      <c r="F19" s="1396">
        <f>IF(A17="出让",IF(F17="","",ROUNDDOWN(MIN((F17-$D$3)/365,F18),2)),F18)</f>
        <v>0</v>
      </c>
      <c r="G19" s="1396">
        <f>IF(A17="出让",IF(G17="","",ROUNDDOWN(MIN((G17-$D$3)/365,G18),2)),G18)</f>
        <v>0</v>
      </c>
      <c r="H19" s="1396">
        <f>IF(A17="出让",IF(H17="","",ROUNDDOWN(MIN((H17-$D$3)/365,H18),2)),H18)</f>
        <v>50</v>
      </c>
      <c r="I19" s="1396">
        <f>IF(A17="出让",IF(I17="","",ROUNDDOWN(MIN((I17-$D$3)/365,I18),2)),I18)</f>
        <v>50</v>
      </c>
      <c r="J19" s="2602"/>
      <c r="K19" s="2586"/>
      <c r="L19" s="2582"/>
      <c r="M19" s="2582"/>
      <c r="N19" s="2583"/>
      <c r="O19" s="2584"/>
      <c r="P19" s="2583"/>
      <c r="Q19" s="2583"/>
      <c r="R19" s="2583"/>
      <c r="S19" s="2583"/>
      <c r="T19" s="2583"/>
      <c r="U19" s="2583"/>
    </row>
    <row r="20" spans="1:21">
      <c r="A20" s="1480"/>
      <c r="B20" s="1481"/>
      <c r="C20" s="1482" t="s">
        <v>1576</v>
      </c>
      <c r="D20" s="3573"/>
      <c r="E20" s="3574"/>
      <c r="F20" s="3574"/>
      <c r="G20" s="3574"/>
      <c r="H20" s="3574"/>
      <c r="I20" s="3575"/>
      <c r="J20" s="2602"/>
      <c r="K20" s="2586"/>
      <c r="L20" s="2582"/>
      <c r="M20" s="2582"/>
      <c r="N20" s="2583"/>
      <c r="O20" s="2584"/>
      <c r="P20" s="2583"/>
      <c r="Q20" s="2583"/>
      <c r="R20" s="2583"/>
      <c r="S20" s="2583"/>
      <c r="T20" s="2583"/>
      <c r="U20" s="2583"/>
    </row>
    <row r="21" spans="1:21">
      <c r="A21" s="1462" t="s">
        <v>1476</v>
      </c>
      <c r="B21" s="1463" t="s">
        <v>1477</v>
      </c>
      <c r="C21" s="1458">
        <f>'数据-汇总表'!E3</f>
        <v>1</v>
      </c>
      <c r="D21" s="1459" t="s">
        <v>1478</v>
      </c>
      <c r="E21" s="3563"/>
      <c r="F21" s="3564"/>
      <c r="G21" s="3564"/>
      <c r="H21" s="3564"/>
      <c r="I21" s="3565"/>
      <c r="J21" s="2602"/>
      <c r="K21" s="2586"/>
      <c r="L21" s="2582"/>
      <c r="M21" s="2582"/>
      <c r="N21" s="2583"/>
      <c r="O21" s="2584"/>
      <c r="P21" s="2583"/>
      <c r="Q21" s="2583"/>
      <c r="R21" s="2583"/>
      <c r="S21" s="2583"/>
      <c r="T21" s="2583"/>
      <c r="U21" s="2583"/>
    </row>
    <row r="22" spans="1:21">
      <c r="A22" s="2365" t="s">
        <v>877</v>
      </c>
      <c r="B22" s="1377" t="s">
        <v>1479</v>
      </c>
      <c r="C22" s="1397">
        <f>'数据-汇总表'!D3</f>
        <v>9316.8700000000008</v>
      </c>
      <c r="D22" s="1398" t="s">
        <v>1478</v>
      </c>
      <c r="E22" s="3563"/>
      <c r="F22" s="3564"/>
      <c r="G22" s="3564"/>
      <c r="H22" s="3564"/>
      <c r="I22" s="3565"/>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66" t="s">
        <v>1484</v>
      </c>
      <c r="C24" s="3567"/>
      <c r="D24" s="3568" t="s">
        <v>1485</v>
      </c>
      <c r="E24" s="3569"/>
      <c r="F24" s="1413" t="s">
        <v>1486</v>
      </c>
      <c r="G24" s="2602"/>
      <c r="H24" s="2602"/>
      <c r="I24" s="2603"/>
      <c r="J24" s="2602"/>
      <c r="K24" s="3554"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3261</v>
      </c>
      <c r="C25" s="1414" t="s">
        <v>1680</v>
      </c>
      <c r="D25" s="1415"/>
      <c r="E25" s="1416" t="s">
        <v>877</v>
      </c>
      <c r="F25" s="1417"/>
      <c r="G25" s="2602"/>
      <c r="H25" s="2602"/>
      <c r="I25" s="2603"/>
      <c r="J25" s="2602"/>
      <c r="K25" s="3554"/>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54"/>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81" t="s">
        <v>1517</v>
      </c>
      <c r="B31" s="1463" t="s">
        <v>1518</v>
      </c>
      <c r="C31" s="3579"/>
      <c r="D31" s="3580"/>
      <c r="E31" s="2602"/>
      <c r="F31" s="2602"/>
      <c r="G31" s="2602"/>
      <c r="H31" s="2602"/>
      <c r="I31" s="2603"/>
      <c r="J31" s="2602"/>
      <c r="K31" s="2589"/>
      <c r="L31" s="2583"/>
      <c r="M31" s="2583"/>
      <c r="N31" s="2583"/>
      <c r="O31" s="2583"/>
      <c r="P31" s="2583"/>
      <c r="Q31" s="2583"/>
      <c r="R31" s="2583"/>
      <c r="S31" s="2583"/>
      <c r="T31" s="2583"/>
      <c r="U31" s="2583"/>
    </row>
    <row r="32" spans="1:21">
      <c r="A32" s="3581"/>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81"/>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82"/>
      <c r="B34" s="1377" t="s">
        <v>1521</v>
      </c>
      <c r="C34" s="3583"/>
      <c r="D34" s="3584"/>
      <c r="E34" s="2602"/>
      <c r="F34" s="2602"/>
      <c r="G34" s="2602"/>
      <c r="H34" s="2602"/>
      <c r="I34" s="2603"/>
      <c r="J34" s="2602"/>
      <c r="K34" s="2589"/>
      <c r="L34" s="2583"/>
      <c r="M34" s="2583"/>
      <c r="N34" s="2583"/>
      <c r="O34" s="2583"/>
      <c r="P34" s="2583"/>
      <c r="Q34" s="2583"/>
      <c r="R34" s="2583"/>
      <c r="S34" s="2583"/>
      <c r="T34" s="2583"/>
      <c r="U34" s="2583"/>
    </row>
    <row r="35" spans="1:28">
      <c r="A35" s="3585" t="s">
        <v>785</v>
      </c>
      <c r="B35" s="1427" t="s">
        <v>3259</v>
      </c>
      <c r="C35" s="1471" t="str">
        <f>IF(B35="场地平整","——","具体情况：")</f>
        <v>具体情况：</v>
      </c>
      <c r="D35" s="3587" t="s">
        <v>3260</v>
      </c>
      <c r="E35" s="3588"/>
      <c r="F35" s="3588"/>
      <c r="G35" s="3588"/>
      <c r="H35" s="3588"/>
      <c r="I35" s="3589"/>
      <c r="J35" s="2602"/>
      <c r="K35" s="2590"/>
      <c r="L35" s="2582"/>
      <c r="M35" s="2582"/>
      <c r="N35" s="2583"/>
      <c r="O35" s="2584"/>
      <c r="P35" s="2583"/>
      <c r="Q35" s="2583"/>
      <c r="R35" s="2583"/>
      <c r="S35" s="2583"/>
      <c r="T35" s="2583"/>
      <c r="U35" s="2583"/>
    </row>
    <row r="36" spans="1:28">
      <c r="A36" s="3581"/>
      <c r="B36" s="3590" t="s">
        <v>1570</v>
      </c>
      <c r="C36" s="3591"/>
      <c r="D36" s="1486"/>
      <c r="E36" s="3592"/>
      <c r="F36" s="3592"/>
      <c r="G36" s="1398" t="str">
        <f>IF(B35="场地未平整","估价结果处理","")</f>
        <v>估价结果处理</v>
      </c>
      <c r="H36" s="3593"/>
      <c r="I36" s="3593"/>
      <c r="J36" s="2602"/>
      <c r="K36" s="2590"/>
      <c r="L36" s="2582"/>
      <c r="M36" s="2582"/>
      <c r="N36" s="2583"/>
      <c r="O36" s="2584"/>
      <c r="P36" s="2583"/>
      <c r="Q36" s="2583"/>
      <c r="R36" s="2583"/>
      <c r="S36" s="2583"/>
      <c r="T36" s="2583"/>
      <c r="U36" s="2583"/>
    </row>
    <row r="37" spans="1:28" ht="28.5">
      <c r="A37" s="3581"/>
      <c r="B37" s="3570"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81"/>
      <c r="B38" s="3571"/>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82"/>
      <c r="B39" s="3572"/>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53" t="s">
        <v>1502</v>
      </c>
      <c r="T40" s="1406" t="str">
        <f>NUMBERSTRING(7-K40,1)&amp;"通"</f>
        <v>七通</v>
      </c>
      <c r="U40" s="2583"/>
    </row>
    <row r="41" spans="1:28">
      <c r="A41" s="1379"/>
      <c r="B41" s="3586" t="s">
        <v>1250</v>
      </c>
      <c r="C41" s="3586"/>
      <c r="D41" s="3586"/>
      <c r="E41" s="3586"/>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53"/>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t="s">
        <v>853</v>
      </c>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1043</v>
      </c>
      <c r="F44" s="1486" t="s">
        <v>1080</v>
      </c>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9316.8700000000008</v>
      </c>
      <c r="B3" s="19">
        <f>IF(C3="否",G5-AT5,G5)</f>
        <v>1</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1</v>
      </c>
      <c r="H5" s="23">
        <f t="shared" ref="H5:AT5" si="0">SUM(H13:H641)</f>
        <v>1</v>
      </c>
      <c r="I5" s="23">
        <f t="shared" si="0"/>
        <v>1</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1</v>
      </c>
      <c r="BA5" s="25">
        <f t="shared" si="1"/>
        <v>1</v>
      </c>
      <c r="BB5" s="25">
        <f t="shared" si="1"/>
        <v>1</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9316.8700000000008</v>
      </c>
      <c r="F6" s="23" t="s">
        <v>0</v>
      </c>
      <c r="G6" s="23" t="s">
        <v>1</v>
      </c>
      <c r="H6" s="29">
        <f>SUMIF(I$12:AB$12,"总值",I6:AB6)</f>
        <v>9316.8700000000008</v>
      </c>
      <c r="I6" s="23">
        <f t="shared" ref="I6:AB6" si="2">ROUND($A$3*I5/$B$3,2)</f>
        <v>9316.8700000000008</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9316.8700000000008</v>
      </c>
      <c r="AZ6" s="23" t="s">
        <v>2</v>
      </c>
      <c r="BA6" s="23">
        <f>ROUND($AY$6*BA5/$AZ$5,2)</f>
        <v>9316.8700000000008</v>
      </c>
      <c r="BB6" s="23">
        <f>ROUND($AY$6*BB5/$AZ$5,2)</f>
        <v>9316.8700000000008</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3269</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3270</v>
      </c>
      <c r="E13" s="23">
        <f t="shared" ref="E13:E20" si="6">IF($C$3="是",ROUND($A$3*G13/$B$3,2),ROUND($A$3*(G13-AT13)/$B$3,2))</f>
        <v>9316.8700000000008</v>
      </c>
      <c r="F13" s="76"/>
      <c r="G13" s="77">
        <f t="shared" ref="G13:G20" si="7">H13+AC13+AT13</f>
        <v>1</v>
      </c>
      <c r="H13" s="29">
        <f t="shared" ref="H13:H20" si="8">SUMIF(I$12:AB$12,"总值",I13:AB13)</f>
        <v>1</v>
      </c>
      <c r="I13" s="2302">
        <v>1</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9316.8700000000008</v>
      </c>
      <c r="AZ13" s="23">
        <f t="shared" ref="AZ13:AZ20" si="12">BA13+BL13</f>
        <v>1</v>
      </c>
      <c r="BA13" s="23">
        <f t="shared" ref="BA13:BA20" si="13">SUM(BB13:BK13)</f>
        <v>1</v>
      </c>
      <c r="BB13" s="23">
        <f t="shared" ref="BB13:BB20" si="14">IF($D13="是",I13-J13,0)</f>
        <v>1</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7" sqref="I7"/>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03" t="s">
        <v>169</v>
      </c>
      <c r="B2" s="3603"/>
      <c r="C2" s="3603"/>
      <c r="D2" s="1630" t="s">
        <v>170</v>
      </c>
      <c r="E2" s="97" t="s">
        <v>171</v>
      </c>
      <c r="F2" s="2609"/>
      <c r="G2" s="1040"/>
      <c r="H2" s="1041"/>
      <c r="I2" s="1042" t="s">
        <v>795</v>
      </c>
      <c r="J2" s="2609"/>
      <c r="K2" s="2609"/>
      <c r="L2" s="2609"/>
      <c r="M2" s="2609"/>
      <c r="N2" s="2609"/>
      <c r="O2" s="2609"/>
      <c r="P2" s="2609"/>
    </row>
    <row r="3" spans="1:16" ht="15.75" thickBot="1">
      <c r="A3" s="3604" t="s">
        <v>172</v>
      </c>
      <c r="B3" s="3604"/>
      <c r="C3" s="3604"/>
      <c r="D3" s="98">
        <f>'数据-基础表'!AY6</f>
        <v>9316.8700000000008</v>
      </c>
      <c r="E3" s="98">
        <f>'数据-基础表'!AZ5</f>
        <v>1</v>
      </c>
      <c r="F3" s="2609"/>
      <c r="G3" s="106" t="s">
        <v>796</v>
      </c>
      <c r="H3" s="102" t="s">
        <v>797</v>
      </c>
      <c r="I3" s="995">
        <f>ROUND('数据-基础表'!B3/'数据-基础表'!A3,2)</f>
        <v>0</v>
      </c>
      <c r="J3" s="2609"/>
      <c r="K3" s="2609"/>
      <c r="L3" s="2609"/>
      <c r="M3" s="2609"/>
      <c r="N3" s="2609"/>
      <c r="O3" s="2609"/>
      <c r="P3" s="2609"/>
    </row>
    <row r="4" spans="1:16" ht="15">
      <c r="A4" s="3605"/>
      <c r="B4" s="3606"/>
      <c r="C4" s="3607"/>
      <c r="D4" s="99" t="s">
        <v>170</v>
      </c>
      <c r="E4" s="100" t="s">
        <v>171</v>
      </c>
      <c r="F4" s="2609"/>
      <c r="G4" s="119"/>
      <c r="H4" s="102" t="s">
        <v>798</v>
      </c>
      <c r="I4" s="995">
        <f>ROUND(SUMIF('数据-基础表'!I9:AS9,"地上",'数据-基础表'!I5:AS5)/'数据-基础表'!A3,2)</f>
        <v>0</v>
      </c>
      <c r="J4" s="2609"/>
      <c r="K4" s="2609"/>
      <c r="L4" s="2609"/>
      <c r="M4" s="2609"/>
      <c r="N4" s="2609"/>
      <c r="O4" s="2609"/>
      <c r="P4" s="2609"/>
    </row>
    <row r="5" spans="1:16">
      <c r="A5" s="101" t="s">
        <v>173</v>
      </c>
      <c r="B5" s="3608" t="s">
        <v>196</v>
      </c>
      <c r="C5" s="3608"/>
      <c r="D5" s="102">
        <f>ROUND($D$3*E5/$E$3,2)</f>
        <v>0</v>
      </c>
      <c r="E5" s="103">
        <f>SUMIF('数据-基础表'!$11:$11,"住宅",'数据-基础表'!$5:$5)</f>
        <v>0</v>
      </c>
      <c r="F5" s="2609"/>
      <c r="G5" s="106" t="s">
        <v>799</v>
      </c>
      <c r="H5" s="102" t="s">
        <v>797</v>
      </c>
      <c r="I5" s="995">
        <f>ROUND(E31/D31,2)</f>
        <v>0</v>
      </c>
      <c r="J5" s="2609"/>
      <c r="K5" s="2609"/>
      <c r="L5" s="2609"/>
      <c r="M5" s="2609"/>
      <c r="N5" s="2609"/>
      <c r="O5" s="2609"/>
      <c r="P5" s="2609"/>
    </row>
    <row r="6" spans="1:16" ht="15" thickBot="1">
      <c r="A6" s="104"/>
      <c r="B6" s="3608" t="s">
        <v>174</v>
      </c>
      <c r="C6" s="3608"/>
      <c r="D6" s="102">
        <f>ROUND($D$3*E6/$E$3,2)</f>
        <v>9316.8700000000008</v>
      </c>
      <c r="E6" s="103">
        <f>E3-E5</f>
        <v>1</v>
      </c>
      <c r="F6" s="2609"/>
      <c r="G6" s="119"/>
      <c r="H6" s="102" t="s">
        <v>798</v>
      </c>
      <c r="I6" s="995">
        <f>ROUND(F31/D31,2)</f>
        <v>0</v>
      </c>
      <c r="J6" s="2609"/>
      <c r="K6" s="2609"/>
      <c r="L6" s="2609"/>
      <c r="M6" s="2609"/>
      <c r="N6" s="2609"/>
      <c r="O6" s="2609"/>
      <c r="P6" s="2609"/>
    </row>
    <row r="7" spans="1:16" ht="15">
      <c r="A7" s="3600"/>
      <c r="B7" s="3601"/>
      <c r="C7" s="3602"/>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9316.8700000000008</v>
      </c>
      <c r="E8" s="107">
        <f>SUMIF('数据-基础表'!BB10:BK10,"地上",'数据-基础表'!BB5:BK5)</f>
        <v>1</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9316.8700000000008</v>
      </c>
      <c r="E16" s="111">
        <f>SUM(E8:E15)</f>
        <v>1</v>
      </c>
      <c r="F16" s="2609"/>
      <c r="G16" s="2609"/>
      <c r="H16" s="881" t="s">
        <v>185</v>
      </c>
      <c r="I16" s="882"/>
      <c r="J16" s="1632"/>
      <c r="K16" s="3594" t="s">
        <v>1846</v>
      </c>
      <c r="L16" s="3595"/>
      <c r="M16" s="3595"/>
      <c r="N16" s="3595"/>
      <c r="O16" s="3595"/>
      <c r="P16" s="3596"/>
    </row>
    <row r="17" spans="1:19" ht="15">
      <c r="A17" s="112" t="s">
        <v>182</v>
      </c>
      <c r="B17" s="113" t="s">
        <v>183</v>
      </c>
      <c r="C17" s="1885" t="s">
        <v>1668</v>
      </c>
      <c r="D17" s="99" t="s">
        <v>170</v>
      </c>
      <c r="E17" s="115" t="s">
        <v>171</v>
      </c>
      <c r="F17" s="116"/>
      <c r="G17" s="1157"/>
      <c r="H17" s="883" t="s">
        <v>184</v>
      </c>
      <c r="I17" s="884" t="s">
        <v>1667</v>
      </c>
      <c r="J17" s="1632"/>
      <c r="K17" s="3597" t="s">
        <v>1847</v>
      </c>
      <c r="L17" s="3598"/>
      <c r="M17" s="3599"/>
      <c r="N17" s="3597" t="s">
        <v>1848</v>
      </c>
      <c r="O17" s="3598"/>
      <c r="P17" s="3599"/>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3792</v>
      </c>
      <c r="D19" s="102">
        <f t="shared" ref="D19:D26" si="1">ROUND($D$3*E19/$E$3,2)</f>
        <v>9316.8700000000008</v>
      </c>
      <c r="E19" s="124">
        <f t="shared" ref="E19:E26" si="2">SUM(F19:G19)</f>
        <v>1</v>
      </c>
      <c r="F19" s="2610">
        <f>'数据-基础表'!I13</f>
        <v>1</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9316.8700000000008</v>
      </c>
      <c r="S19" s="124">
        <f t="shared" si="5"/>
        <v>1</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9316.8700000000008</v>
      </c>
      <c r="E27" s="129">
        <f>IF(SUM(E19:E26)='数据-基础表'!BA5,SUM(E19:E26),IF(F27="地上面积有误","面积有误","地下面积有误"))</f>
        <v>1</v>
      </c>
      <c r="F27" s="124">
        <f>IF(SUM(F19:F26)=E8,SUM(F19:F26),"地上面积有误")</f>
        <v>1</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9316.8700000000008</v>
      </c>
      <c r="S27" s="102">
        <f>IF(SUM(S19:S26)=$E$3,SUM(S19:S26),SUM(S19:S26)&amp;"误差"&amp;ROUND(SUM(S19:S26)-E3,2))</f>
        <v>1</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9316.8700000000008</v>
      </c>
      <c r="E31" s="1161">
        <f>E27+E30</f>
        <v>1</v>
      </c>
      <c r="F31" s="1162">
        <f>F27+F30</f>
        <v>1</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Q6" activePane="bottomRight" state="frozen"/>
      <selection pane="topRight" activeCell="D1" sqref="D1"/>
      <selection pane="bottomLeft" activeCell="A4" sqref="A4"/>
      <selection pane="bottomRight" activeCell="C19" sqref="C19"/>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铁路</v>
      </c>
      <c r="B6" s="1923" t="str">
        <f>IF(A6=0,"","经营性")</f>
        <v>经营性</v>
      </c>
      <c r="C6" s="157" t="s">
        <v>905</v>
      </c>
      <c r="D6" s="1894">
        <f>SUMIF(项目基本情况!C$15:I$15,C6,项目基本情况!C$18:I$18)</f>
        <v>50</v>
      </c>
      <c r="E6" s="1895">
        <f>IF(B6="","",SUMIF(项目基本情况!C$15:I$15,C6,项目基本情况!C$17:I$17))</f>
        <v>63458</v>
      </c>
      <c r="F6" s="158">
        <f>SUMIF(项目基本情况!C$15:I$15,C6,项目基本情况!C$19:I$19)</f>
        <v>50</v>
      </c>
      <c r="G6" s="159">
        <f t="shared" ref="G6:G13" si="0">IF(ISERROR(ROUND(POWER(1+H6,D6-F6)*(POWER(1+H6,F6)-1)/(POWER(1+H6,D6)-1),3)),0,ROUND(POWER(1+H6,D6-F6)*(POWER(1+H6,F6)-1)/(POWER(1+H6,D6)-1),3))</f>
        <v>1</v>
      </c>
      <c r="H6" s="2310">
        <f>基准地价!G24</f>
        <v>0.05</v>
      </c>
      <c r="I6" s="2310"/>
      <c r="J6" s="160"/>
      <c r="K6" s="163">
        <f>SUMIF('数据-汇总表'!C$19:C$33,'数据-取费表'!A6,'数据-汇总表'!E$19:E$33)</f>
        <v>1</v>
      </c>
      <c r="L6" s="2311"/>
      <c r="M6" s="161">
        <f t="shared" ref="M6:M14" si="1">ROUND(K6*L6/10000,0)</f>
        <v>0</v>
      </c>
      <c r="N6" s="2312"/>
      <c r="O6" s="161">
        <f>IF($N$5="成新度","——",ROUND(M6*N6,0))</f>
        <v>0</v>
      </c>
      <c r="P6" s="162">
        <f>IF($N$5="成新度","——",M6-O6)</f>
        <v>0</v>
      </c>
      <c r="Q6" s="2313"/>
      <c r="R6" s="163">
        <f>SUMIF('数据-汇总表'!C$19:C$33,A6,'数据-汇总表'!R$19:R$33)</f>
        <v>9316.8700000000008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0.91300000000000003</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9316.8700000000008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0.91300000000000003</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1</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1</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1</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27.75" thickBot="1">
      <c r="A40" s="2778" t="s">
        <v>3749</v>
      </c>
      <c r="B40" s="1990">
        <f ca="1">IF(A40="利息：取LPR",存贷款利率!E2,存贷款利率!E2+C40)</f>
        <v>4.3500000000000004E-2</v>
      </c>
      <c r="C40" s="2779">
        <v>8.9999999999999993E-3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1" stopIfTrue="1" operator="containsText" text="自行计算">
      <formula>NOT(ISERROR(SEARCH("自行计算",T6)))</formula>
    </cfRule>
    <cfRule type="containsText" dxfId="161" priority="10" stopIfTrue="1" operator="containsText" text="自行计算">
      <formula>NOT(ISERROR(SEARCH("自行计算",T6)))</formula>
    </cfRule>
  </conditionalFormatting>
  <conditionalFormatting sqref="T6:T15">
    <cfRule type="containsText" dxfId="160" priority="13" stopIfTrue="1" operator="containsText" text="自行计算">
      <formula>NOT(ISERROR(SEARCH("自行计算",T6)))</formula>
    </cfRule>
    <cfRule type="expression" dxfId="159" priority="1" stopIfTrue="1">
      <formula>$T$4="按面积比例"</formula>
    </cfRule>
    <cfRule type="containsText" dxfId="158" priority="12"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2"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09" t="s">
        <v>1198</v>
      </c>
      <c r="B1" s="3610"/>
      <c r="C1" s="3610"/>
      <c r="D1" s="3610"/>
      <c r="E1" s="3610"/>
      <c r="F1" s="3610"/>
      <c r="G1" s="3610"/>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6" zoomScaleNormal="80" zoomScaleSheetLayoutView="100" workbookViewId="0">
      <selection activeCell="C33" sqref="C33"/>
    </sheetView>
  </sheetViews>
  <sheetFormatPr defaultColWidth="14.625" defaultRowHeight="13.5"/>
  <cols>
    <col min="1" max="1" width="24.375" style="2695" customWidth="1"/>
    <col min="2" max="16384" width="14.625" style="2695"/>
  </cols>
  <sheetData>
    <row r="1" spans="1:10" ht="16.5">
      <c r="A1" s="2694" t="s">
        <v>2115</v>
      </c>
      <c r="B1" s="2694">
        <f>SUM(B14:B23)</f>
        <v>1</v>
      </c>
      <c r="C1" s="2702"/>
      <c r="D1" s="2702"/>
      <c r="E1" s="2702"/>
      <c r="F1" s="2702"/>
      <c r="G1" s="2703"/>
      <c r="H1" s="2703"/>
      <c r="I1" s="2703"/>
      <c r="J1" s="2703"/>
    </row>
    <row r="2" spans="1:10" ht="16.5">
      <c r="A2" s="2694" t="s">
        <v>2116</v>
      </c>
      <c r="B2" s="2694">
        <f>SUM(C14:C23)</f>
        <v>9316.8700000000008</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6016.8346000000001</v>
      </c>
      <c r="C5" s="2694">
        <f ca="1">ROUND(B5*10000/$B$1,0)</f>
        <v>60168346</v>
      </c>
      <c r="D5" s="2694">
        <f ca="1">ROUND(B5*10000/$B$2,0)</f>
        <v>6458</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1</v>
      </c>
      <c r="C14" s="2700">
        <f>'数据-汇总表'!D3</f>
        <v>9316.8700000000008</v>
      </c>
      <c r="D14" s="2700">
        <f ca="1">B32/10000</f>
        <v>6016.8346000000001</v>
      </c>
      <c r="E14" s="2700">
        <f ca="1">ROUND(D14*10000/B14,0)</f>
        <v>60168346</v>
      </c>
      <c r="F14" s="2700">
        <f ca="1">ROUND(D14*10000/C14,0)</f>
        <v>6458</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3" customFormat="1">
      <c r="A25" s="3484"/>
      <c r="B25" s="3484" t="s">
        <v>3750</v>
      </c>
      <c r="C25" s="3484" t="s">
        <v>3751</v>
      </c>
      <c r="D25" s="3484"/>
    </row>
    <row r="26" spans="1:10" s="3483" customFormat="1">
      <c r="A26" s="3484" t="s">
        <v>3729</v>
      </c>
      <c r="B26" s="3484">
        <f>'剩余（增值收益扣减）法'!C10</f>
        <v>43015989</v>
      </c>
      <c r="C26" s="3484">
        <f ca="1">成本逼近法!E26</f>
        <v>100174986</v>
      </c>
      <c r="D26" s="3484" t="s">
        <v>3758</v>
      </c>
    </row>
    <row r="27" spans="1:10" s="3483" customFormat="1">
      <c r="A27" s="3484" t="s">
        <v>2208</v>
      </c>
      <c r="B27" s="3484">
        <f>'剩余（增值收益扣减）法'!B10</f>
        <v>4617</v>
      </c>
      <c r="C27" s="3484">
        <f ca="1">成本逼近法!C26</f>
        <v>10752</v>
      </c>
      <c r="D27" s="3484" t="s">
        <v>3752</v>
      </c>
    </row>
    <row r="28" spans="1:10" s="3483" customFormat="1">
      <c r="A28" s="3484" t="s">
        <v>3753</v>
      </c>
      <c r="B28" s="3487">
        <v>0.7</v>
      </c>
      <c r="C28" s="3487">
        <f>1-B28</f>
        <v>0.30000000000000004</v>
      </c>
      <c r="D28" s="3484"/>
    </row>
    <row r="29" spans="1:10" s="3483" customFormat="1">
      <c r="A29" s="2703"/>
      <c r="B29" s="2703"/>
      <c r="C29" s="2703"/>
      <c r="D29" s="2703"/>
    </row>
    <row r="30" spans="1:10" s="3483" customFormat="1">
      <c r="A30" s="3485" t="s">
        <v>3754</v>
      </c>
      <c r="B30" s="3486">
        <f ca="1">IF(B26&lt;C26,C26/B26-1,B26/C26-1)</f>
        <v>1.3287849083279242</v>
      </c>
      <c r="C30" s="2703"/>
      <c r="D30" s="2703"/>
    </row>
    <row r="31" spans="1:10" s="3483" customFormat="1">
      <c r="A31" s="2703"/>
      <c r="B31" s="3485" t="s">
        <v>2793</v>
      </c>
      <c r="C31" s="2703"/>
      <c r="D31" s="2703"/>
    </row>
    <row r="32" spans="1:10" s="3483" customFormat="1">
      <c r="A32" s="3484" t="str">
        <f>A26</f>
        <v>总价</v>
      </c>
      <c r="B32" s="3484">
        <f ca="1">ROUND(B33*'数据-汇总表'!D3,0)</f>
        <v>60168346</v>
      </c>
      <c r="C32" s="3484"/>
      <c r="D32" s="3484" t="s">
        <v>3759</v>
      </c>
    </row>
    <row r="33" spans="1:4" s="3483" customFormat="1">
      <c r="A33" s="3484" t="str">
        <f>A27</f>
        <v>单位面积地价</v>
      </c>
      <c r="B33" s="3484">
        <f ca="1">ROUND(B27*B28+C27*C28,0)</f>
        <v>6458</v>
      </c>
      <c r="C33" s="3484"/>
      <c r="D33" s="3484" t="s">
        <v>3752</v>
      </c>
    </row>
    <row r="34" spans="1:4" s="3483" customFormat="1"/>
    <row r="35" spans="1:4" s="3483" customFormat="1">
      <c r="A35" s="3488" t="s">
        <v>3755</v>
      </c>
      <c r="B35" s="3488"/>
      <c r="C35" s="3488"/>
      <c r="D35" s="3488" t="s">
        <v>3759</v>
      </c>
    </row>
    <row r="36" spans="1:4" s="3483" customFormat="1">
      <c r="A36" s="3488" t="s">
        <v>3756</v>
      </c>
      <c r="B36" s="3488"/>
      <c r="C36" s="3488"/>
      <c r="D36" s="3488" t="s">
        <v>3759</v>
      </c>
    </row>
    <row r="37" spans="1:4" s="3483" customFormat="1"/>
    <row r="38" spans="1:4" s="3483" customFormat="1">
      <c r="A38" s="3489" t="s">
        <v>3757</v>
      </c>
      <c r="B38" s="3489">
        <f ca="1">B32+B35+B36</f>
        <v>60168346</v>
      </c>
      <c r="C38" s="3489"/>
      <c r="D38" s="3489" t="s">
        <v>3761</v>
      </c>
    </row>
    <row r="39" spans="1:4" s="3483" customFormat="1">
      <c r="A39" s="3489" t="str">
        <f>A33</f>
        <v>单位面积地价</v>
      </c>
      <c r="B39" s="3489">
        <f ca="1">ROUND(B38/'数据-汇总表'!D3,0)</f>
        <v>6458</v>
      </c>
      <c r="C39" s="3489"/>
      <c r="D39" s="3489" t="s">
        <v>3760</v>
      </c>
    </row>
    <row r="40" spans="1:4" s="3483" customFormat="1"/>
    <row r="41" spans="1:4" s="3483" customFormat="1"/>
    <row r="42" spans="1:4" s="3483" customFormat="1"/>
    <row r="43" spans="1:4" s="3483" customFormat="1"/>
    <row r="44" spans="1:4" s="3483" customFormat="1"/>
    <row r="45" spans="1:4" s="3483"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12" sqref="D12:D1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55" t="str">
        <f>项目基本情况!K2</f>
        <v>北京市划拨国有建设用地使用权</v>
      </c>
      <c r="B2" s="3656"/>
      <c r="C2" s="3657"/>
      <c r="D2" s="3657"/>
      <c r="E2" s="3657"/>
      <c r="F2" s="3657"/>
      <c r="G2" s="3656"/>
      <c r="H2" s="3656"/>
      <c r="I2" s="3658"/>
      <c r="J2" s="1642"/>
      <c r="K2" s="1635"/>
      <c r="L2" s="1635"/>
      <c r="M2" s="1635"/>
      <c r="N2" s="1635"/>
      <c r="O2" s="1635"/>
      <c r="P2" s="1635"/>
      <c r="Q2" s="1635"/>
      <c r="R2" s="1635"/>
      <c r="S2" s="1635"/>
      <c r="T2" s="1635"/>
      <c r="U2" s="1635"/>
      <c r="V2" s="1635"/>
    </row>
    <row r="3" spans="1:22" ht="14.25">
      <c r="A3" s="3666" t="s">
        <v>264</v>
      </c>
      <c r="B3" s="3667"/>
      <c r="C3" s="3667"/>
      <c r="D3" s="3667"/>
      <c r="E3" s="3667"/>
      <c r="F3" s="3667"/>
      <c r="G3" s="3667"/>
      <c r="H3" s="3667"/>
      <c r="I3" s="3667"/>
      <c r="J3" s="1642"/>
      <c r="K3" s="1635"/>
      <c r="L3" s="1635"/>
      <c r="M3" s="1635"/>
      <c r="N3" s="1635"/>
      <c r="O3" s="1635"/>
      <c r="P3" s="1635"/>
      <c r="Q3" s="1635"/>
      <c r="R3" s="1635"/>
      <c r="S3" s="1635"/>
      <c r="T3" s="1635"/>
      <c r="U3" s="1635"/>
      <c r="V3" s="1635"/>
    </row>
    <row r="4" spans="1:22" ht="14.25">
      <c r="A4" s="238" t="s">
        <v>265</v>
      </c>
      <c r="B4" s="239" t="s">
        <v>266</v>
      </c>
      <c r="C4" s="240"/>
      <c r="D4" s="240"/>
      <c r="E4" s="3630" t="s">
        <v>267</v>
      </c>
      <c r="F4" s="3671"/>
      <c r="G4" s="3671"/>
      <c r="H4" s="3671"/>
      <c r="I4" s="3631"/>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59" t="s">
        <v>268</v>
      </c>
      <c r="B5" s="3660">
        <v>25</v>
      </c>
      <c r="C5" s="3668">
        <v>24</v>
      </c>
      <c r="D5" s="3668">
        <v>10</v>
      </c>
      <c r="E5" s="241" t="s">
        <v>269</v>
      </c>
      <c r="F5" s="242"/>
      <c r="G5" s="242"/>
      <c r="H5" s="242"/>
      <c r="I5" s="243"/>
      <c r="J5" s="1642"/>
      <c r="K5" s="1635"/>
      <c r="L5" s="1635"/>
      <c r="M5" s="1635"/>
      <c r="N5" s="1635"/>
      <c r="O5" s="1635"/>
      <c r="P5" s="1635"/>
      <c r="Q5" s="1635"/>
      <c r="R5" s="1635"/>
      <c r="S5" s="1635"/>
      <c r="T5" s="1635"/>
      <c r="U5" s="1635"/>
      <c r="V5" s="1635"/>
    </row>
    <row r="6" spans="1:22" ht="14.25">
      <c r="A6" s="3659"/>
      <c r="B6" s="3660"/>
      <c r="C6" s="3669"/>
      <c r="D6" s="3669"/>
      <c r="E6" s="241" t="s">
        <v>270</v>
      </c>
      <c r="F6" s="242"/>
      <c r="G6" s="242"/>
      <c r="H6" s="242"/>
      <c r="I6" s="243"/>
      <c r="J6" s="1642"/>
      <c r="K6" s="1635"/>
      <c r="L6" s="1635"/>
      <c r="M6" s="1635"/>
      <c r="N6" s="1635"/>
      <c r="O6" s="1635"/>
      <c r="P6" s="1635"/>
      <c r="Q6" s="1635"/>
      <c r="R6" s="1635"/>
      <c r="S6" s="1635"/>
      <c r="T6" s="1635"/>
      <c r="U6" s="1635"/>
      <c r="V6" s="1635"/>
    </row>
    <row r="7" spans="1:22" ht="14.25">
      <c r="A7" s="3659"/>
      <c r="B7" s="3660"/>
      <c r="C7" s="3670"/>
      <c r="D7" s="3670"/>
      <c r="E7" s="241" t="s">
        <v>271</v>
      </c>
      <c r="F7" s="242"/>
      <c r="G7" s="242"/>
      <c r="H7" s="242"/>
      <c r="I7" s="243"/>
      <c r="J7" s="1642"/>
      <c r="K7" s="1635"/>
      <c r="L7" s="1635"/>
      <c r="M7" s="1635"/>
      <c r="N7" s="1635"/>
      <c r="O7" s="1635"/>
      <c r="P7" s="1635"/>
      <c r="Q7" s="1635"/>
      <c r="R7" s="1635"/>
      <c r="S7" s="1635"/>
      <c r="T7" s="1635"/>
      <c r="U7" s="1635"/>
      <c r="V7" s="1635"/>
    </row>
    <row r="8" spans="1:22" ht="14.25">
      <c r="A8" s="3659" t="s">
        <v>272</v>
      </c>
      <c r="B8" s="3660">
        <v>15</v>
      </c>
      <c r="C8" s="3668">
        <v>14</v>
      </c>
      <c r="D8" s="3668">
        <v>9</v>
      </c>
      <c r="E8" s="241" t="s">
        <v>273</v>
      </c>
      <c r="F8" s="242"/>
      <c r="G8" s="242"/>
      <c r="H8" s="242"/>
      <c r="I8" s="243"/>
      <c r="J8" s="1642"/>
      <c r="K8" s="1635"/>
      <c r="L8" s="1635"/>
      <c r="M8" s="1635"/>
      <c r="N8" s="1635"/>
      <c r="O8" s="1635"/>
      <c r="P8" s="1635"/>
      <c r="Q8" s="1635"/>
      <c r="R8" s="1635"/>
      <c r="S8" s="1635"/>
      <c r="T8" s="1635"/>
      <c r="U8" s="1635"/>
      <c r="V8" s="1635"/>
    </row>
    <row r="9" spans="1:22" ht="14.25">
      <c r="A9" s="3659"/>
      <c r="B9" s="3660"/>
      <c r="C9" s="3670"/>
      <c r="D9" s="3670"/>
      <c r="E9" s="241" t="s">
        <v>274</v>
      </c>
      <c r="F9" s="242"/>
      <c r="G9" s="242"/>
      <c r="H9" s="242"/>
      <c r="I9" s="243"/>
      <c r="J9" s="1642"/>
      <c r="K9" s="1635"/>
      <c r="L9" s="1635"/>
      <c r="M9" s="1635"/>
      <c r="N9" s="1635"/>
      <c r="O9" s="1635"/>
      <c r="P9" s="1635"/>
      <c r="Q9" s="1635"/>
      <c r="R9" s="1635"/>
      <c r="S9" s="1635"/>
      <c r="T9" s="1635"/>
      <c r="U9" s="1635"/>
      <c r="V9" s="1635"/>
    </row>
    <row r="10" spans="1:22" ht="14.25">
      <c r="A10" s="3659" t="s">
        <v>275</v>
      </c>
      <c r="B10" s="3660">
        <v>15</v>
      </c>
      <c r="C10" s="3668">
        <v>14</v>
      </c>
      <c r="D10" s="3668">
        <v>9</v>
      </c>
      <c r="E10" s="241" t="s">
        <v>276</v>
      </c>
      <c r="F10" s="242"/>
      <c r="G10" s="242"/>
      <c r="H10" s="242"/>
      <c r="I10" s="243"/>
      <c r="J10" s="1642"/>
      <c r="K10" s="1635"/>
      <c r="L10" s="1635"/>
      <c r="M10" s="1635"/>
      <c r="N10" s="1635"/>
      <c r="O10" s="1635"/>
      <c r="P10" s="1635"/>
      <c r="Q10" s="1635"/>
      <c r="R10" s="1635"/>
      <c r="S10" s="1635"/>
      <c r="T10" s="1635"/>
      <c r="U10" s="1635"/>
      <c r="V10" s="1635"/>
    </row>
    <row r="11" spans="1:22" ht="14.25">
      <c r="A11" s="3659"/>
      <c r="B11" s="3660"/>
      <c r="C11" s="3670"/>
      <c r="D11" s="3670"/>
      <c r="E11" s="241" t="s">
        <v>277</v>
      </c>
      <c r="F11" s="242"/>
      <c r="G11" s="242"/>
      <c r="H11" s="242"/>
      <c r="I11" s="243"/>
      <c r="J11" s="1642"/>
      <c r="K11" s="1635"/>
      <c r="L11" s="1635"/>
      <c r="M11" s="1635"/>
      <c r="N11" s="1635"/>
      <c r="O11" s="1635"/>
      <c r="P11" s="1635"/>
      <c r="Q11" s="1635"/>
      <c r="R11" s="1635"/>
      <c r="S11" s="1635"/>
      <c r="T11" s="1635"/>
      <c r="U11" s="1635"/>
      <c r="V11" s="1635"/>
    </row>
    <row r="12" spans="1:22" ht="14.25">
      <c r="A12" s="3659" t="s">
        <v>278</v>
      </c>
      <c r="B12" s="3660">
        <v>15</v>
      </c>
      <c r="C12" s="3668">
        <v>11</v>
      </c>
      <c r="D12" s="3668">
        <v>9</v>
      </c>
      <c r="E12" s="241" t="s">
        <v>279</v>
      </c>
      <c r="F12" s="242"/>
      <c r="G12" s="242"/>
      <c r="H12" s="242"/>
      <c r="I12" s="243"/>
      <c r="J12" s="1642"/>
      <c r="K12" s="1635"/>
      <c r="L12" s="1635"/>
      <c r="M12" s="1635"/>
      <c r="N12" s="1635"/>
      <c r="O12" s="1635"/>
      <c r="P12" s="1635"/>
      <c r="Q12" s="1635"/>
      <c r="R12" s="1635"/>
      <c r="S12" s="1635"/>
      <c r="T12" s="1635"/>
      <c r="U12" s="1635"/>
      <c r="V12" s="1635"/>
    </row>
    <row r="13" spans="1:22" ht="14.25">
      <c r="A13" s="3659"/>
      <c r="B13" s="3660"/>
      <c r="C13" s="3670"/>
      <c r="D13" s="3670"/>
      <c r="E13" s="241" t="s">
        <v>280</v>
      </c>
      <c r="F13" s="242"/>
      <c r="G13" s="242"/>
      <c r="H13" s="242"/>
      <c r="I13" s="243"/>
      <c r="J13" s="1642"/>
      <c r="K13" s="1635"/>
      <c r="L13" s="1635"/>
      <c r="M13" s="1635"/>
      <c r="N13" s="1635"/>
      <c r="O13" s="1635"/>
      <c r="P13" s="1635"/>
      <c r="Q13" s="1635"/>
      <c r="R13" s="1635"/>
      <c r="S13" s="1635"/>
      <c r="T13" s="1635"/>
      <c r="U13" s="1635"/>
      <c r="V13" s="1635"/>
    </row>
    <row r="14" spans="1:22" ht="14.25">
      <c r="A14" s="3659" t="s">
        <v>281</v>
      </c>
      <c r="B14" s="3660">
        <v>30</v>
      </c>
      <c r="C14" s="3668">
        <v>25</v>
      </c>
      <c r="D14" s="3668">
        <v>15</v>
      </c>
      <c r="E14" s="241" t="s">
        <v>282</v>
      </c>
      <c r="F14" s="242"/>
      <c r="G14" s="242"/>
      <c r="H14" s="242"/>
      <c r="I14" s="243"/>
      <c r="J14" s="1642"/>
      <c r="K14" s="1635"/>
      <c r="L14" s="1635"/>
      <c r="M14" s="1635"/>
      <c r="N14" s="1635"/>
      <c r="O14" s="1635"/>
      <c r="P14" s="1635"/>
      <c r="Q14" s="1635"/>
      <c r="R14" s="1635"/>
      <c r="S14" s="1635"/>
      <c r="T14" s="1635"/>
      <c r="U14" s="1635"/>
      <c r="V14" s="1635"/>
    </row>
    <row r="15" spans="1:22" ht="14.25">
      <c r="A15" s="3659"/>
      <c r="B15" s="3660"/>
      <c r="C15" s="3669"/>
      <c r="D15" s="3669"/>
      <c r="E15" s="241" t="s">
        <v>283</v>
      </c>
      <c r="F15" s="242"/>
      <c r="G15" s="242"/>
      <c r="H15" s="242"/>
      <c r="I15" s="243"/>
      <c r="J15" s="1642"/>
      <c r="K15" s="1635"/>
      <c r="L15" s="1635"/>
      <c r="M15" s="1635"/>
      <c r="N15" s="1635"/>
      <c r="O15" s="1635"/>
      <c r="P15" s="1635"/>
      <c r="Q15" s="1635"/>
      <c r="R15" s="1635"/>
      <c r="S15" s="1635"/>
      <c r="T15" s="1635"/>
      <c r="U15" s="1635"/>
      <c r="V15" s="1635"/>
    </row>
    <row r="16" spans="1:22" ht="14.25">
      <c r="A16" s="3659"/>
      <c r="B16" s="3660"/>
      <c r="C16" s="3670"/>
      <c r="D16" s="3670"/>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88</v>
      </c>
      <c r="D17" s="245">
        <f>SUM(D5:D16)</f>
        <v>52</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0.63</v>
      </c>
      <c r="D18" s="247">
        <f>1-C18</f>
        <v>0.37</v>
      </c>
      <c r="E18" s="3672" t="s">
        <v>2248</v>
      </c>
      <c r="F18" s="3673"/>
      <c r="G18" s="3673"/>
      <c r="H18" s="3673"/>
      <c r="I18" s="3673"/>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32"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78"/>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74" t="s">
        <v>2250</v>
      </c>
      <c r="B31" s="3674"/>
      <c r="C31" s="3674"/>
      <c r="D31" s="3674"/>
      <c r="E31" s="3674"/>
      <c r="F31" s="3674"/>
      <c r="G31" s="3674"/>
      <c r="H31" s="3674"/>
      <c r="I31" s="3674"/>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32"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33"/>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34"/>
      <c r="F35" s="278" t="s">
        <v>308</v>
      </c>
      <c r="G35" s="895"/>
      <c r="H35" s="894" t="s">
        <v>309</v>
      </c>
      <c r="I35" s="287"/>
      <c r="J35" s="1635"/>
      <c r="K35" s="3638" t="s">
        <v>316</v>
      </c>
      <c r="L35" s="3638" t="s">
        <v>317</v>
      </c>
      <c r="M35" s="1069" t="s">
        <v>318</v>
      </c>
      <c r="N35" s="3638" t="s">
        <v>319</v>
      </c>
      <c r="O35" s="3638" t="s">
        <v>320</v>
      </c>
      <c r="P35" s="1635"/>
      <c r="V35" s="1635"/>
    </row>
    <row r="36" spans="1:22" ht="16.5" customHeight="1">
      <c r="A36" s="280" t="s">
        <v>310</v>
      </c>
      <c r="B36" s="281" t="s">
        <v>299</v>
      </c>
      <c r="C36" s="282" t="s">
        <v>311</v>
      </c>
      <c r="D36" s="282" t="s">
        <v>312</v>
      </c>
      <c r="E36" s="283" t="s">
        <v>313</v>
      </c>
      <c r="F36" s="287"/>
      <c r="G36" s="287"/>
      <c r="H36" s="287"/>
      <c r="I36" s="287"/>
      <c r="J36" s="1643"/>
      <c r="K36" s="3639"/>
      <c r="L36" s="3639"/>
      <c r="M36" s="1071" t="s">
        <v>321</v>
      </c>
      <c r="N36" s="3639"/>
      <c r="O36" s="3639"/>
      <c r="P36" s="1635"/>
      <c r="V36" s="1635"/>
    </row>
    <row r="37" spans="1:22" ht="16.5" customHeight="1" thickBot="1">
      <c r="A37" s="1065" t="s">
        <v>314</v>
      </c>
      <c r="B37" s="270"/>
      <c r="C37" s="271"/>
      <c r="D37" s="271"/>
      <c r="E37" s="272"/>
      <c r="F37" s="287"/>
      <c r="G37" s="287"/>
      <c r="H37" s="287"/>
      <c r="I37" s="287"/>
      <c r="J37" s="1643"/>
      <c r="K37" s="3640"/>
      <c r="L37" s="3640"/>
      <c r="M37" s="1072"/>
      <c r="N37" s="3640"/>
      <c r="O37" s="3640"/>
      <c r="P37" s="1635"/>
      <c r="V37" s="1635"/>
    </row>
    <row r="38" spans="1:22" ht="16.5" customHeight="1" thickBot="1">
      <c r="A38" s="1065" t="s">
        <v>315</v>
      </c>
      <c r="B38" s="270"/>
      <c r="C38" s="271"/>
      <c r="D38" s="271"/>
      <c r="E38" s="272"/>
      <c r="F38" s="287"/>
      <c r="G38" s="287"/>
      <c r="H38" s="287"/>
      <c r="I38" s="287"/>
      <c r="J38" s="1643"/>
      <c r="K38" s="1073">
        <f>'数据-汇总表'!D3</f>
        <v>9316.8700000000008</v>
      </c>
      <c r="L38" s="1074">
        <f>'数据-汇总表'!E3</f>
        <v>1</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51" t="str">
        <f>MID(A44,3,LEN(A44)-2)</f>
        <v/>
      </c>
      <c r="L39" s="3652"/>
      <c r="M39" s="3652"/>
      <c r="N39" s="3653"/>
      <c r="O39" s="1177" t="str">
        <f>C44</f>
        <v>——</v>
      </c>
      <c r="P39" s="1635"/>
      <c r="V39" s="1635"/>
    </row>
    <row r="40" spans="1:22" ht="19.5" thickBot="1">
      <c r="A40" s="95" t="s">
        <v>810</v>
      </c>
      <c r="B40" s="287"/>
      <c r="C40" s="287"/>
      <c r="D40" s="287"/>
      <c r="E40" s="287"/>
      <c r="F40" s="287"/>
      <c r="G40" s="287"/>
      <c r="H40" s="287"/>
      <c r="I40" s="287"/>
      <c r="J40" s="1643"/>
      <c r="K40" s="3651" t="str">
        <f>MID(A45,3,LEN(A45)-2)</f>
        <v/>
      </c>
      <c r="L40" s="3652"/>
      <c r="M40" s="3652"/>
      <c r="N40" s="3653"/>
      <c r="O40" s="1177" t="str">
        <f>C45</f>
        <v>——</v>
      </c>
      <c r="P40" s="1635"/>
      <c r="V40" s="1635"/>
    </row>
    <row r="41" spans="1:22" ht="16.5" thickBot="1">
      <c r="A41" s="288" t="s">
        <v>322</v>
      </c>
      <c r="B41" s="289"/>
      <c r="C41" s="290" t="s">
        <v>323</v>
      </c>
      <c r="D41" s="291" t="s">
        <v>324</v>
      </c>
      <c r="E41" s="291" t="s">
        <v>325</v>
      </c>
      <c r="F41" s="292" t="s">
        <v>326</v>
      </c>
      <c r="G41" s="287"/>
      <c r="H41" s="287"/>
      <c r="I41" s="287"/>
      <c r="J41" s="1643"/>
      <c r="K41" s="3651" t="str">
        <f>MID(A46,3,LEN(A46)-2)</f>
        <v/>
      </c>
      <c r="L41" s="3652"/>
      <c r="M41" s="3652"/>
      <c r="N41" s="3653"/>
      <c r="O41" s="1177" t="str">
        <f>C46</f>
        <v>——</v>
      </c>
      <c r="P41" s="1635"/>
      <c r="V41" s="1635"/>
    </row>
    <row r="42" spans="1:22" ht="29.25">
      <c r="A42" s="3679" t="s">
        <v>1583</v>
      </c>
      <c r="B42" s="3680"/>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689" t="s">
        <v>2009</v>
      </c>
      <c r="B43" s="3690"/>
      <c r="C43" s="244">
        <f>IF(H33="正常操作",G33+G34+G35,G34+G35)</f>
        <v>0</v>
      </c>
      <c r="D43" s="293" t="s">
        <v>17</v>
      </c>
      <c r="E43" s="293" t="s">
        <v>18</v>
      </c>
      <c r="F43" s="294" t="s">
        <v>18</v>
      </c>
      <c r="G43" s="2170" t="s">
        <v>877</v>
      </c>
      <c r="H43" s="287"/>
      <c r="I43" s="295"/>
      <c r="J43" s="1643"/>
      <c r="K43" s="1078">
        <f>C4</f>
        <v>0</v>
      </c>
      <c r="L43" s="1079" t="e">
        <f ca="1">IF(L42="估价结果/万元",C19,C20)</f>
        <v>#REF!</v>
      </c>
      <c r="M43" s="1080">
        <f>C18</f>
        <v>0.63</v>
      </c>
      <c r="N43" s="1081" t="e">
        <f ca="1">IF(N42="测算结果/万元",G19,G20)</f>
        <v>#REF!</v>
      </c>
      <c r="O43" s="1082" t="e">
        <f ca="1">IF(O42="最终结果/万元",C32,C33)</f>
        <v>#REF!</v>
      </c>
      <c r="P43" s="1635"/>
      <c r="V43" s="1635"/>
    </row>
    <row r="44" spans="1:22" ht="18.75" thickBot="1">
      <c r="A44" s="3679" t="str">
        <f>IF(OR(项目基本情况!E8="抵押价格",项目基本情况!E8="已注销及未注销"),"3.抵押价格","——")</f>
        <v>——</v>
      </c>
      <c r="B44" s="3680"/>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f>D18</f>
        <v>0.37</v>
      </c>
      <c r="N44" s="1086"/>
      <c r="O44" s="1087"/>
      <c r="P44" s="1635"/>
      <c r="V44" s="1635"/>
    </row>
    <row r="45" spans="1:22" ht="15">
      <c r="A45" s="3684" t="str">
        <f>IF(项目基本情况!E8="已注销及未注销","4.抵押担保权已注销时的抵押价格",IF(项目基本情况!E8="已注销","3.抵押担保权已注销时的抵押价格","——"))</f>
        <v>——</v>
      </c>
      <c r="B45" s="3685"/>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81" t="str">
        <f>IF(项目基本情况!E9="抵押净值",IF(A45="——","4.抵押净值","5.抵押净值"),"——")</f>
        <v>——</v>
      </c>
      <c r="B46" s="3682"/>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43" t="s">
        <v>340</v>
      </c>
      <c r="B63" s="3644"/>
      <c r="C63" s="3645"/>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86" t="s">
        <v>344</v>
      </c>
      <c r="B64" s="3687"/>
      <c r="C64" s="3687"/>
      <c r="D64" s="3687"/>
      <c r="E64" s="3687"/>
      <c r="F64" s="3687"/>
      <c r="G64" s="3688"/>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83" t="s">
        <v>352</v>
      </c>
      <c r="B66" s="3650"/>
      <c r="C66" s="3650"/>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11" t="s">
        <v>351</v>
      </c>
      <c r="M66" s="3612"/>
      <c r="N66" s="1972"/>
      <c r="O66" s="1973"/>
      <c r="P66" s="1974"/>
      <c r="Q66" s="1635"/>
      <c r="R66" s="1635"/>
      <c r="S66" s="1635"/>
      <c r="T66" s="1635"/>
      <c r="U66" s="1635"/>
      <c r="V66" s="1635"/>
    </row>
    <row r="67" spans="1:22" ht="25.5" customHeight="1">
      <c r="A67" s="326" t="s">
        <v>355</v>
      </c>
      <c r="B67" s="3662" t="s">
        <v>356</v>
      </c>
      <c r="C67" s="3662"/>
      <c r="D67" s="327">
        <v>0</v>
      </c>
      <c r="E67" s="37" t="s">
        <v>357</v>
      </c>
      <c r="F67" s="58" t="s">
        <v>15</v>
      </c>
      <c r="G67" s="3646"/>
      <c r="H67" s="2541" t="s">
        <v>2251</v>
      </c>
      <c r="I67" s="2543"/>
      <c r="J67" s="1648"/>
      <c r="K67" s="1631">
        <v>2</v>
      </c>
      <c r="L67" s="3616" t="s">
        <v>354</v>
      </c>
      <c r="M67" s="3616"/>
      <c r="N67" s="1127">
        <f>'数据-取费表'!B2</f>
        <v>45196</v>
      </c>
      <c r="O67" s="1127"/>
      <c r="P67" s="1127"/>
      <c r="Q67" s="1635"/>
      <c r="R67" s="1635"/>
      <c r="S67" s="1635"/>
      <c r="T67" s="1635"/>
      <c r="U67" s="1635"/>
      <c r="V67" s="1635"/>
    </row>
    <row r="68" spans="1:22" ht="25.5" customHeight="1">
      <c r="A68" s="328"/>
      <c r="B68" s="3662" t="s">
        <v>359</v>
      </c>
      <c r="C68" s="3662"/>
      <c r="D68" s="329"/>
      <c r="E68" s="73"/>
      <c r="F68" s="330"/>
      <c r="G68" s="3647"/>
      <c r="H68" s="2542" t="s">
        <v>2252</v>
      </c>
      <c r="I68" s="2543"/>
      <c r="J68" s="1648"/>
      <c r="K68" s="1631">
        <v>3</v>
      </c>
      <c r="L68" s="3616" t="s">
        <v>358</v>
      </c>
      <c r="M68" s="3616"/>
      <c r="N68" s="1097" t="e">
        <f ca="1">C42</f>
        <v>#REF!</v>
      </c>
      <c r="O68" s="1097"/>
      <c r="P68" s="1097"/>
      <c r="Q68" s="1635"/>
      <c r="R68" s="1635"/>
      <c r="S68" s="1635"/>
      <c r="T68" s="1635"/>
      <c r="U68" s="1635"/>
      <c r="V68" s="1635"/>
    </row>
    <row r="69" spans="1:22" ht="23.45" customHeight="1">
      <c r="A69" s="331"/>
      <c r="B69" s="3662" t="s">
        <v>360</v>
      </c>
      <c r="C69" s="3662"/>
      <c r="D69" s="332"/>
      <c r="E69" s="69"/>
      <c r="F69" s="330"/>
      <c r="G69" s="3648"/>
      <c r="H69" s="2542" t="s">
        <v>2253</v>
      </c>
      <c r="I69" s="2543"/>
      <c r="J69" s="1648"/>
      <c r="K69" s="1098">
        <v>4</v>
      </c>
      <c r="L69" s="3617" t="s">
        <v>2154</v>
      </c>
      <c r="M69" s="3618"/>
      <c r="N69" s="1099" t="str">
        <f>C44</f>
        <v>——</v>
      </c>
      <c r="O69" s="1099"/>
      <c r="P69" s="1099"/>
      <c r="Q69" s="1635"/>
      <c r="R69" s="1635"/>
      <c r="S69" s="1635"/>
      <c r="T69" s="1635"/>
      <c r="U69" s="1635"/>
      <c r="V69" s="1635"/>
    </row>
    <row r="70" spans="1:22" ht="24" customHeight="1">
      <c r="A70" s="333" t="s">
        <v>361</v>
      </c>
      <c r="B70" s="3662" t="s">
        <v>362</v>
      </c>
      <c r="C70" s="3662"/>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61" t="s">
        <v>2280</v>
      </c>
      <c r="C71" s="3677"/>
      <c r="D71" s="332" t="e">
        <f ca="1">ROUND(D63*'数据-取费表'!B41/(1+'数据-取费表'!C42),0)</f>
        <v>#REF!</v>
      </c>
      <c r="E71" s="14" t="s">
        <v>363</v>
      </c>
      <c r="F71" s="334">
        <f>'数据-取费表'!B41</f>
        <v>0</v>
      </c>
      <c r="G71" s="335"/>
      <c r="H71" s="287"/>
      <c r="I71" s="1096"/>
      <c r="J71" s="1648"/>
      <c r="K71" s="2331" t="s">
        <v>364</v>
      </c>
      <c r="L71" s="3619" t="s">
        <v>365</v>
      </c>
      <c r="M71" s="3619"/>
      <c r="N71" s="2331" t="s">
        <v>366</v>
      </c>
      <c r="O71" s="2331" t="s">
        <v>367</v>
      </c>
      <c r="P71" s="2331" t="s">
        <v>368</v>
      </c>
      <c r="Q71" s="1635"/>
      <c r="R71" s="1635"/>
      <c r="S71" s="1635"/>
      <c r="T71" s="1635"/>
      <c r="U71" s="1635"/>
      <c r="V71" s="1635"/>
    </row>
    <row r="72" spans="1:22" ht="12" customHeight="1">
      <c r="A72" s="333" t="s">
        <v>371</v>
      </c>
      <c r="B72" s="3661" t="s">
        <v>2281</v>
      </c>
      <c r="C72" s="3677"/>
      <c r="D72" s="332" t="e">
        <f ca="1">C86</f>
        <v>#REF!</v>
      </c>
      <c r="E72" s="69" t="s">
        <v>372</v>
      </c>
      <c r="F72" s="334">
        <f>'数据-取费表'!B41</f>
        <v>0</v>
      </c>
      <c r="G72" s="335"/>
      <c r="H72" s="1102"/>
      <c r="I72" s="1096"/>
      <c r="J72" s="1648"/>
      <c r="K72" s="1631">
        <v>1</v>
      </c>
      <c r="L72" s="3615" t="s">
        <v>370</v>
      </c>
      <c r="M72" s="3615"/>
      <c r="N72" s="1100" t="b">
        <f>D66</f>
        <v>0</v>
      </c>
      <c r="O72" s="1538" t="str">
        <f>E66</f>
        <v>销售额×税（费）率</v>
      </c>
      <c r="P72" s="1101">
        <f>F66</f>
        <v>0</v>
      </c>
      <c r="Q72" s="1635"/>
      <c r="R72" s="1635"/>
      <c r="S72" s="1635"/>
      <c r="T72" s="1635"/>
      <c r="U72" s="1635"/>
      <c r="V72" s="1635"/>
    </row>
    <row r="73" spans="1:22" ht="24" customHeight="1">
      <c r="A73" s="3649" t="s">
        <v>374</v>
      </c>
      <c r="B73" s="3650"/>
      <c r="C73" s="3650"/>
      <c r="D73" s="336" t="e">
        <f ca="1">IF(H73="个人住宅",0,ROUND(D63*I73,0))</f>
        <v>#REF!</v>
      </c>
      <c r="E73" s="14" t="s">
        <v>375</v>
      </c>
      <c r="F73" s="334" t="str">
        <f>IF(H73="正常",I73,"免征")</f>
        <v>免征</v>
      </c>
      <c r="G73" s="335"/>
      <c r="H73" s="174"/>
      <c r="I73" s="334">
        <f>'数据-取费表'!B49</f>
        <v>0</v>
      </c>
      <c r="J73" s="1648"/>
      <c r="K73" s="1631">
        <v>2</v>
      </c>
      <c r="L73" s="3615" t="s">
        <v>373</v>
      </c>
      <c r="M73" s="3615"/>
      <c r="N73" s="1100" t="e">
        <f t="shared" ref="N73:P74" ca="1" si="0">D73</f>
        <v>#REF!</v>
      </c>
      <c r="O73" s="1538" t="str">
        <f t="shared" si="0"/>
        <v>销售额×税（费）率</v>
      </c>
      <c r="P73" s="1101" t="str">
        <f t="shared" si="0"/>
        <v>免征</v>
      </c>
      <c r="Q73" s="1635"/>
      <c r="R73" s="1635"/>
      <c r="S73" s="1635"/>
      <c r="T73" s="1635"/>
      <c r="U73" s="1635"/>
      <c r="V73" s="1635"/>
    </row>
    <row r="74" spans="1:22" ht="24.75">
      <c r="A74" s="3649" t="s">
        <v>377</v>
      </c>
      <c r="B74" s="3650"/>
      <c r="C74" s="3650"/>
      <c r="D74" s="336" t="e">
        <f ca="1">IF(H74="个人住宅",D75,D76)</f>
        <v>#REF!</v>
      </c>
      <c r="E74" s="14" t="s">
        <v>378</v>
      </c>
      <c r="F74" s="334" t="str">
        <f>IF(H74="正常",F76,"免征")</f>
        <v>免征</v>
      </c>
      <c r="G74" s="896" t="s">
        <v>379</v>
      </c>
      <c r="H74" s="337"/>
      <c r="I74" s="38"/>
      <c r="J74" s="1648"/>
      <c r="K74" s="1631">
        <v>3</v>
      </c>
      <c r="L74" s="3615" t="s">
        <v>376</v>
      </c>
      <c r="M74" s="3615"/>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30" t="s">
        <v>381</v>
      </c>
      <c r="C75" s="3631"/>
      <c r="D75" s="338">
        <v>0</v>
      </c>
      <c r="E75" s="37" t="s">
        <v>382</v>
      </c>
      <c r="F75" s="339"/>
      <c r="G75" s="335"/>
      <c r="H75" s="38"/>
      <c r="I75" s="38"/>
      <c r="J75" s="1648"/>
      <c r="K75" s="1631">
        <f>IF(H77="非个人房产","",4)</f>
        <v>4</v>
      </c>
      <c r="L75" s="3615" t="str">
        <f>IF(H77="非个人房产","——","个人所得税")</f>
        <v>个人所得税</v>
      </c>
      <c r="M75" s="3615"/>
      <c r="N75" s="1104">
        <f>D77</f>
        <v>0</v>
      </c>
      <c r="O75" s="1539" t="str">
        <f>E77</f>
        <v>差额计税</v>
      </c>
      <c r="P75" s="1105">
        <f>F77</f>
        <v>0.01</v>
      </c>
      <c r="Q75" s="1635"/>
      <c r="R75" s="1635"/>
      <c r="S75" s="1635"/>
      <c r="T75" s="1635"/>
      <c r="U75" s="1635"/>
      <c r="V75" s="1635"/>
    </row>
    <row r="76" spans="1:22" ht="24.75">
      <c r="A76" s="333" t="s">
        <v>361</v>
      </c>
      <c r="B76" s="3630" t="s">
        <v>384</v>
      </c>
      <c r="C76" s="3671"/>
      <c r="D76" s="336" t="e">
        <f ca="1">IF(H76="转让取得",C99,C115)</f>
        <v>#REF!</v>
      </c>
      <c r="E76" s="14" t="s">
        <v>385</v>
      </c>
      <c r="F76" s="49" t="s">
        <v>15</v>
      </c>
      <c r="G76" s="335"/>
      <c r="H76" s="337"/>
      <c r="I76" s="38"/>
      <c r="J76" s="1648"/>
      <c r="K76" s="1631" t="str">
        <f>IF(项目基本情况!K6="上海银行",IF(K75="",4,K75+1),"")</f>
        <v/>
      </c>
      <c r="L76" s="3626" t="str">
        <f>IF(项目基本情况!K6="上海银行","其他处置费用","")</f>
        <v/>
      </c>
      <c r="M76" s="3627"/>
      <c r="N76" s="1100" t="str">
        <f>IF(项目基本情况!K6="上海银行",N89,"")</f>
        <v/>
      </c>
      <c r="O76" s="3628" t="str">
        <f>IF(项目基本情况!K6="上海银行","包含处置中涉及的律师、诉讼、拍卖、评估等费用","")</f>
        <v/>
      </c>
      <c r="P76" s="3629"/>
      <c r="Q76" s="1635"/>
      <c r="R76" s="1635"/>
      <c r="S76" s="1635"/>
      <c r="T76" s="1635"/>
      <c r="U76" s="1635"/>
      <c r="V76" s="1635"/>
    </row>
    <row r="77" spans="1:22" ht="24.75" thickBot="1">
      <c r="A77" s="3641" t="s">
        <v>387</v>
      </c>
      <c r="B77" s="3642"/>
      <c r="C77" s="3642"/>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37">
        <f>IF(AND(K75="",K76=""),4,IF(项目基本情况!K6="上海银行",K76+1,K75+1))</f>
        <v>5</v>
      </c>
      <c r="L77" s="3615"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37"/>
      <c r="L78" s="3615"/>
      <c r="M78" s="2330" t="s">
        <v>386</v>
      </c>
      <c r="N78" s="1106"/>
      <c r="O78" s="1107" t="str">
        <f ca="1">NUMBERSTRING(INT(O77*10000),2)&amp;"元整"</f>
        <v>零元整</v>
      </c>
      <c r="P78" s="1108"/>
      <c r="Q78" s="1635"/>
      <c r="R78" s="1635"/>
      <c r="S78" s="1635"/>
      <c r="T78" s="1635"/>
      <c r="U78" s="1635"/>
      <c r="V78" s="1635"/>
    </row>
    <row r="79" spans="1:22" ht="13.5" thickBot="1">
      <c r="A79" s="3691" t="s">
        <v>388</v>
      </c>
      <c r="B79" s="3691"/>
      <c r="C79" s="3691"/>
      <c r="D79" s="3691"/>
      <c r="E79" s="3691"/>
      <c r="F79" s="38"/>
      <c r="G79" s="38"/>
      <c r="H79" s="865"/>
      <c r="I79" s="287"/>
      <c r="J79" s="1648"/>
      <c r="K79" s="3613">
        <f>K77+1</f>
        <v>6</v>
      </c>
      <c r="L79" s="3615" t="s">
        <v>2156</v>
      </c>
      <c r="M79" s="2330" t="s">
        <v>383</v>
      </c>
      <c r="N79" s="1106"/>
      <c r="O79" s="1107" t="e">
        <f ca="1">N69-O77</f>
        <v>#VALUE!</v>
      </c>
      <c r="P79" s="1108"/>
      <c r="Q79" s="1635"/>
      <c r="R79" s="1635"/>
      <c r="S79" s="1635"/>
      <c r="T79" s="1635"/>
      <c r="U79" s="1635"/>
      <c r="V79" s="1635"/>
    </row>
    <row r="80" spans="1:22" ht="12.75">
      <c r="A80" s="3623" t="s">
        <v>389</v>
      </c>
      <c r="B80" s="3624"/>
      <c r="C80" s="906"/>
      <c r="D80" s="906" t="s">
        <v>390</v>
      </c>
      <c r="E80" s="340" t="s">
        <v>391</v>
      </c>
      <c r="F80" s="38"/>
      <c r="G80" s="38"/>
      <c r="H80" s="865"/>
      <c r="I80" s="287"/>
      <c r="J80" s="1635"/>
      <c r="K80" s="3614"/>
      <c r="L80" s="3615"/>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35" t="s">
        <v>2157</v>
      </c>
      <c r="M81" s="3636"/>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25"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25"/>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25"/>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25"/>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25"/>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64" t="s">
        <v>398</v>
      </c>
      <c r="B88" s="3665"/>
      <c r="C88" s="3665"/>
      <c r="D88" s="3665"/>
      <c r="E88" s="3665"/>
      <c r="F88" s="3665"/>
      <c r="G88" s="3665"/>
      <c r="H88" s="3665"/>
      <c r="I88" s="1118"/>
      <c r="J88" s="1649"/>
      <c r="K88" s="3625"/>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23" t="s">
        <v>389</v>
      </c>
      <c r="B89" s="3624"/>
      <c r="C89" s="906"/>
      <c r="D89" s="906" t="s">
        <v>390</v>
      </c>
      <c r="E89" s="361" t="s">
        <v>399</v>
      </c>
      <c r="F89" s="362"/>
      <c r="G89" s="362"/>
      <c r="H89" s="363"/>
      <c r="I89" s="1119"/>
      <c r="J89" s="1651"/>
      <c r="K89" s="3625"/>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61" t="s">
        <v>407</v>
      </c>
      <c r="F94" s="3662"/>
      <c r="G94" s="3662"/>
      <c r="H94" s="3663"/>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20" t="s">
        <v>1777</v>
      </c>
      <c r="F96" s="3621"/>
      <c r="G96" s="3621"/>
      <c r="H96" s="3622"/>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64" t="s">
        <v>414</v>
      </c>
      <c r="B101" s="3665"/>
      <c r="C101" s="3665"/>
      <c r="D101" s="3665"/>
      <c r="E101" s="3665"/>
      <c r="F101" s="3665"/>
      <c r="G101" s="3665"/>
      <c r="H101" s="3665"/>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23" t="s">
        <v>389</v>
      </c>
      <c r="B102" s="3624"/>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75" t="s">
        <v>2246</v>
      </c>
      <c r="H108" s="3676"/>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54" t="s">
        <v>422</v>
      </c>
      <c r="F109" s="3621"/>
      <c r="G109" s="3621"/>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54" t="s">
        <v>424</v>
      </c>
      <c r="F110" s="3621"/>
      <c r="G110" s="3621"/>
      <c r="H110" s="3622"/>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20" t="s">
        <v>1777</v>
      </c>
      <c r="F111" s="3621"/>
      <c r="G111" s="3621"/>
      <c r="H111" s="3622"/>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54" t="s">
        <v>1796</v>
      </c>
      <c r="F112" s="3621"/>
      <c r="G112" s="3621"/>
      <c r="H112" s="3622"/>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1</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1</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1</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4.3500000000000004E-2</v>
      </c>
      <c r="G26" s="2044" t="str">
        <f>IF('数据-取费表'!B22&lt;=1,"单利计息。","复利计息。")&amp;"后续开发成本、管理费用及销售费用产生的利息。"</f>
        <v>单利计息。后续开发成本、管理费用及销售费用产生的利息。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（1+取得税费率/(1+5%)）×年利率×建设期</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（1）-（4）项×年利率×建设期÷2</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1</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4.3500000000000004E-2</v>
      </c>
      <c r="G20" s="1128" t="str">
        <f>IF('数据-取费表'!B22&lt;=1,"单利计息。","复利计息。")&amp;"建造成本、管理费用产生的利息 / 地价及税费产生的利息。"</f>
        <v>单利计息。建造成本、管理费用产生的利息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692" t="s">
        <v>1394</v>
      </c>
      <c r="B24" s="3693"/>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692" t="s">
        <v>2290</v>
      </c>
      <c r="B25" s="3693"/>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692" t="s">
        <v>2291</v>
      </c>
      <c r="B26" s="3693"/>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94" t="s">
        <v>2289</v>
      </c>
      <c r="B27" s="3695"/>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24" t="str">
        <f>项目基本情况!B1</f>
        <v>北京市划拨国有建设用地使用权市场价格预评估</v>
      </c>
      <c r="C37" s="3524"/>
      <c r="D37" s="3524"/>
      <c r="E37" s="3524"/>
      <c r="F37" s="3524"/>
      <c r="G37" s="3524"/>
      <c r="H37" s="3524"/>
      <c r="I37" s="3524"/>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19" t="s">
        <v>471</v>
      </c>
      <c r="D6" s="3720"/>
      <c r="E6" s="3719" t="s">
        <v>472</v>
      </c>
      <c r="F6" s="3720"/>
      <c r="G6" s="3719" t="s">
        <v>473</v>
      </c>
      <c r="H6" s="3720"/>
      <c r="I6" s="3719" t="s">
        <v>474</v>
      </c>
      <c r="J6" s="3720"/>
      <c r="K6" s="465" t="s">
        <v>475</v>
      </c>
      <c r="L6" s="1740"/>
      <c r="M6" s="1739"/>
      <c r="N6" s="1739"/>
      <c r="O6" s="1741"/>
      <c r="P6" s="3721" t="s">
        <v>476</v>
      </c>
      <c r="Q6" s="3722"/>
      <c r="R6" s="3705" t="s">
        <v>472</v>
      </c>
      <c r="S6" s="3706"/>
      <c r="T6" s="3705" t="s">
        <v>473</v>
      </c>
      <c r="U6" s="3706"/>
      <c r="V6" s="3727" t="s">
        <v>474</v>
      </c>
      <c r="W6" s="3727"/>
      <c r="X6" s="1301"/>
      <c r="Y6" s="3705" t="s">
        <v>476</v>
      </c>
      <c r="Z6" s="3706"/>
      <c r="AA6" s="3700" t="s">
        <v>472</v>
      </c>
      <c r="AB6" s="3701" t="s">
        <v>473</v>
      </c>
      <c r="AC6" s="3700" t="s">
        <v>474</v>
      </c>
    </row>
    <row r="7" spans="1:29" ht="20.25">
      <c r="A7" s="466"/>
      <c r="B7" s="467"/>
      <c r="C7" s="3730" t="s">
        <v>2186</v>
      </c>
      <c r="D7" s="3731"/>
      <c r="E7" s="3730" t="s">
        <v>2187</v>
      </c>
      <c r="F7" s="3731"/>
      <c r="G7" s="3730" t="s">
        <v>2188</v>
      </c>
      <c r="H7" s="3731"/>
      <c r="I7" s="3730" t="s">
        <v>2189</v>
      </c>
      <c r="J7" s="3731"/>
      <c r="K7" s="465"/>
      <c r="L7" s="1740"/>
      <c r="M7" s="1739"/>
      <c r="N7" s="1739"/>
      <c r="O7" s="1741"/>
      <c r="P7" s="3723"/>
      <c r="Q7" s="3724"/>
      <c r="R7" s="3707"/>
      <c r="S7" s="3708"/>
      <c r="T7" s="3707"/>
      <c r="U7" s="3708"/>
      <c r="V7" s="3727"/>
      <c r="W7" s="3727"/>
      <c r="X7" s="1301"/>
      <c r="Y7" s="3707"/>
      <c r="Z7" s="3708"/>
      <c r="AA7" s="3701"/>
      <c r="AB7" s="3701"/>
      <c r="AC7" s="3701"/>
    </row>
    <row r="8" spans="1:29" ht="21" thickBot="1">
      <c r="A8" s="466"/>
      <c r="B8" s="467"/>
      <c r="C8" s="3732" t="s">
        <v>2190</v>
      </c>
      <c r="D8" s="3733"/>
      <c r="E8" s="3732" t="s">
        <v>2190</v>
      </c>
      <c r="F8" s="3733"/>
      <c r="G8" s="3728" t="s">
        <v>2190</v>
      </c>
      <c r="H8" s="3729"/>
      <c r="I8" s="3728" t="s">
        <v>2190</v>
      </c>
      <c r="J8" s="3729"/>
      <c r="K8" s="465" t="s">
        <v>477</v>
      </c>
      <c r="L8" s="1740"/>
      <c r="M8" s="1739"/>
      <c r="N8" s="1739"/>
      <c r="O8" s="1741"/>
      <c r="P8" s="3725"/>
      <c r="Q8" s="3726"/>
      <c r="R8" s="3707"/>
      <c r="S8" s="3708"/>
      <c r="T8" s="3709"/>
      <c r="U8" s="3710"/>
      <c r="V8" s="3727"/>
      <c r="W8" s="3727"/>
      <c r="X8" s="1301"/>
      <c r="Y8" s="3709"/>
      <c r="Z8" s="3710"/>
      <c r="AA8" s="3702"/>
      <c r="AB8" s="3702"/>
      <c r="AC8" s="3702"/>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03" t="s">
        <v>479</v>
      </c>
      <c r="Q9" s="3712"/>
      <c r="R9" s="1302" t="s">
        <v>5</v>
      </c>
      <c r="S9" s="1303">
        <f t="shared" ref="S9:S17" si="0">F9</f>
        <v>0</v>
      </c>
      <c r="T9" s="1302" t="s">
        <v>5</v>
      </c>
      <c r="U9" s="1303">
        <f t="shared" ref="U9:U17" si="1">H9</f>
        <v>0</v>
      </c>
      <c r="V9" s="1302" t="s">
        <v>5</v>
      </c>
      <c r="W9" s="1303">
        <f t="shared" ref="W9:W17" si="2">J9</f>
        <v>0</v>
      </c>
      <c r="X9" s="1304"/>
      <c r="Y9" s="3703" t="s">
        <v>479</v>
      </c>
      <c r="Z9" s="3704"/>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03" t="s">
        <v>482</v>
      </c>
      <c r="Q10" s="3704"/>
      <c r="R10" s="1302" t="s">
        <v>5</v>
      </c>
      <c r="S10" s="1303">
        <f t="shared" si="0"/>
        <v>0</v>
      </c>
      <c r="T10" s="1302" t="s">
        <v>5</v>
      </c>
      <c r="U10" s="1303">
        <f t="shared" si="1"/>
        <v>0</v>
      </c>
      <c r="V10" s="1302" t="s">
        <v>5</v>
      </c>
      <c r="W10" s="1303">
        <f t="shared" si="2"/>
        <v>0</v>
      </c>
      <c r="X10" s="1304"/>
      <c r="Y10" s="3703" t="s">
        <v>482</v>
      </c>
      <c r="Z10" s="3704"/>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11" t="s">
        <v>484</v>
      </c>
      <c r="Q11" s="816" t="str">
        <f t="shared" ref="Q11:Q17" si="6">B11</f>
        <v>用途</v>
      </c>
      <c r="R11" s="1302" t="s">
        <v>5</v>
      </c>
      <c r="S11" s="1303">
        <f t="shared" si="0"/>
        <v>100</v>
      </c>
      <c r="T11" s="1302" t="s">
        <v>5</v>
      </c>
      <c r="U11" s="1303">
        <f t="shared" si="1"/>
        <v>100</v>
      </c>
      <c r="V11" s="1302" t="s">
        <v>5</v>
      </c>
      <c r="W11" s="1303">
        <f t="shared" si="2"/>
        <v>100</v>
      </c>
      <c r="X11" s="1304"/>
      <c r="Y11" s="3660"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11"/>
      <c r="Q12" s="816" t="str">
        <f t="shared" si="6"/>
        <v>土地使用年限（年）</v>
      </c>
      <c r="R12" s="1302" t="s">
        <v>5</v>
      </c>
      <c r="S12" s="1303">
        <f t="shared" si="0"/>
        <v>100</v>
      </c>
      <c r="T12" s="1302" t="s">
        <v>5</v>
      </c>
      <c r="U12" s="1303">
        <f t="shared" si="1"/>
        <v>100</v>
      </c>
      <c r="V12" s="1302" t="s">
        <v>5</v>
      </c>
      <c r="W12" s="1303">
        <f t="shared" si="2"/>
        <v>100</v>
      </c>
      <c r="X12" s="1304"/>
      <c r="Y12" s="3660"/>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11"/>
      <c r="Q13" s="816" t="str">
        <f t="shared" si="6"/>
        <v>容积率</v>
      </c>
      <c r="R13" s="1302" t="s">
        <v>5</v>
      </c>
      <c r="S13" s="1303" t="e">
        <f t="shared" si="0"/>
        <v>#N/A</v>
      </c>
      <c r="T13" s="1302" t="s">
        <v>5</v>
      </c>
      <c r="U13" s="1303" t="e">
        <f t="shared" si="1"/>
        <v>#N/A</v>
      </c>
      <c r="V13" s="1302" t="s">
        <v>5</v>
      </c>
      <c r="W13" s="1303" t="e">
        <f t="shared" si="2"/>
        <v>#N/A</v>
      </c>
      <c r="X13" s="1304"/>
      <c r="Y13" s="3660"/>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11"/>
      <c r="Q14" s="816" t="str">
        <f t="shared" si="6"/>
        <v>配建</v>
      </c>
      <c r="R14" s="1302" t="s">
        <v>5</v>
      </c>
      <c r="S14" s="1303">
        <f t="shared" si="0"/>
        <v>100</v>
      </c>
      <c r="T14" s="1302" t="s">
        <v>5</v>
      </c>
      <c r="U14" s="1303">
        <f t="shared" si="1"/>
        <v>100</v>
      </c>
      <c r="V14" s="1302" t="s">
        <v>5</v>
      </c>
      <c r="W14" s="1303">
        <f t="shared" si="2"/>
        <v>100</v>
      </c>
      <c r="X14" s="1304"/>
      <c r="Y14" s="3660"/>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11"/>
      <c r="Q15" s="816">
        <f t="shared" si="6"/>
        <v>111</v>
      </c>
      <c r="R15" s="1302" t="s">
        <v>5</v>
      </c>
      <c r="S15" s="1303">
        <f t="shared" si="0"/>
        <v>100</v>
      </c>
      <c r="T15" s="1302" t="s">
        <v>5</v>
      </c>
      <c r="U15" s="1303">
        <f t="shared" si="1"/>
        <v>100</v>
      </c>
      <c r="V15" s="1302" t="s">
        <v>5</v>
      </c>
      <c r="W15" s="1303">
        <f t="shared" si="2"/>
        <v>100</v>
      </c>
      <c r="X15" s="1304"/>
      <c r="Y15" s="3660"/>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11"/>
      <c r="Q16" s="816">
        <f t="shared" si="6"/>
        <v>111</v>
      </c>
      <c r="R16" s="1302" t="s">
        <v>5</v>
      </c>
      <c r="S16" s="1303">
        <f t="shared" si="0"/>
        <v>100</v>
      </c>
      <c r="T16" s="1302" t="s">
        <v>5</v>
      </c>
      <c r="U16" s="1303">
        <f t="shared" si="1"/>
        <v>100</v>
      </c>
      <c r="V16" s="1302" t="s">
        <v>5</v>
      </c>
      <c r="W16" s="1303">
        <f t="shared" si="2"/>
        <v>100</v>
      </c>
      <c r="X16" s="1304"/>
      <c r="Y16" s="3660"/>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13" t="s">
        <v>489</v>
      </c>
      <c r="Q17" s="1305" t="str">
        <f t="shared" si="6"/>
        <v>居住社区成熟度</v>
      </c>
      <c r="R17" s="1306" t="s">
        <v>5</v>
      </c>
      <c r="S17" s="1307">
        <f t="shared" si="0"/>
        <v>100</v>
      </c>
      <c r="T17" s="1306" t="s">
        <v>5</v>
      </c>
      <c r="U17" s="1307">
        <f t="shared" si="1"/>
        <v>100</v>
      </c>
      <c r="V17" s="1306" t="s">
        <v>5</v>
      </c>
      <c r="W17" s="1307">
        <f t="shared" si="2"/>
        <v>100</v>
      </c>
      <c r="X17" s="1301"/>
      <c r="Y17" s="3713"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14"/>
      <c r="Q18" s="1305"/>
      <c r="R18" s="1306"/>
      <c r="S18" s="1307"/>
      <c r="T18" s="1306"/>
      <c r="U18" s="1307"/>
      <c r="V18" s="1306"/>
      <c r="W18" s="1307"/>
      <c r="X18" s="1301"/>
      <c r="Y18" s="3714"/>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14"/>
      <c r="Q19" s="1305" t="str">
        <f>B19</f>
        <v>商业繁华度</v>
      </c>
      <c r="R19" s="1306" t="s">
        <v>5</v>
      </c>
      <c r="S19" s="1307">
        <f>F19</f>
        <v>100</v>
      </c>
      <c r="T19" s="1306" t="s">
        <v>5</v>
      </c>
      <c r="U19" s="1307">
        <f>H19</f>
        <v>100</v>
      </c>
      <c r="V19" s="1306" t="s">
        <v>5</v>
      </c>
      <c r="W19" s="1307">
        <f>J19</f>
        <v>100</v>
      </c>
      <c r="X19" s="1301"/>
      <c r="Y19" s="3714"/>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14"/>
      <c r="Q20" s="1305"/>
      <c r="R20" s="1306"/>
      <c r="S20" s="1307"/>
      <c r="T20" s="1306"/>
      <c r="U20" s="1307"/>
      <c r="V20" s="1306"/>
      <c r="W20" s="1307"/>
      <c r="X20" s="1301"/>
      <c r="Y20" s="3714"/>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14"/>
      <c r="Q21" s="1305" t="str">
        <f>B21</f>
        <v>办公集聚程度</v>
      </c>
      <c r="R21" s="1306" t="s">
        <v>5</v>
      </c>
      <c r="S21" s="1307">
        <f>F21</f>
        <v>100</v>
      </c>
      <c r="T21" s="1306" t="s">
        <v>5</v>
      </c>
      <c r="U21" s="1307">
        <f>H21</f>
        <v>100</v>
      </c>
      <c r="V21" s="1306" t="s">
        <v>5</v>
      </c>
      <c r="W21" s="1307">
        <f>J21</f>
        <v>100</v>
      </c>
      <c r="X21" s="1301"/>
      <c r="Y21" s="3714"/>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14"/>
      <c r="Q22" s="1305"/>
      <c r="R22" s="1306"/>
      <c r="S22" s="1307"/>
      <c r="T22" s="1306"/>
      <c r="U22" s="1307"/>
      <c r="V22" s="1306"/>
      <c r="W22" s="1307"/>
      <c r="X22" s="1301"/>
      <c r="Y22" s="3714"/>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14"/>
      <c r="Q23" s="1305" t="str">
        <f>B23</f>
        <v>交通便捷度</v>
      </c>
      <c r="R23" s="1306" t="s">
        <v>5</v>
      </c>
      <c r="S23" s="1307">
        <f>F23</f>
        <v>100</v>
      </c>
      <c r="T23" s="1306" t="s">
        <v>5</v>
      </c>
      <c r="U23" s="1307">
        <f>H23</f>
        <v>100</v>
      </c>
      <c r="V23" s="1306" t="s">
        <v>5</v>
      </c>
      <c r="W23" s="1307">
        <f>J23</f>
        <v>100</v>
      </c>
      <c r="X23" s="1301"/>
      <c r="Y23" s="3714"/>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14"/>
      <c r="Q24" s="1305"/>
      <c r="R24" s="1306"/>
      <c r="S24" s="1307"/>
      <c r="T24" s="1306"/>
      <c r="U24" s="1307"/>
      <c r="V24" s="1306"/>
      <c r="W24" s="1307"/>
      <c r="X24" s="1301"/>
      <c r="Y24" s="3714"/>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14"/>
      <c r="Q25" s="1305" t="str">
        <f t="shared" ref="Q25:Q39" si="8">B25</f>
        <v>区域土地利用方向</v>
      </c>
      <c r="R25" s="1306" t="s">
        <v>5</v>
      </c>
      <c r="S25" s="1307">
        <f>F25</f>
        <v>100</v>
      </c>
      <c r="T25" s="1306" t="s">
        <v>5</v>
      </c>
      <c r="U25" s="1307">
        <f>H25</f>
        <v>100</v>
      </c>
      <c r="V25" s="1306" t="s">
        <v>5</v>
      </c>
      <c r="W25" s="1307">
        <f>J25</f>
        <v>100</v>
      </c>
      <c r="X25" s="1301"/>
      <c r="Y25" s="3714"/>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14"/>
      <c r="Q26" s="1305"/>
      <c r="R26" s="1306"/>
      <c r="S26" s="1307"/>
      <c r="T26" s="1306"/>
      <c r="U26" s="1307"/>
      <c r="V26" s="1306"/>
      <c r="W26" s="1307"/>
      <c r="X26" s="1301"/>
      <c r="Y26" s="3714"/>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14"/>
      <c r="Q27" s="1305" t="str">
        <f t="shared" si="8"/>
        <v>自然及人文环境状况</v>
      </c>
      <c r="R27" s="1306" t="s">
        <v>5</v>
      </c>
      <c r="S27" s="1307">
        <f>F27</f>
        <v>100</v>
      </c>
      <c r="T27" s="1306" t="s">
        <v>5</v>
      </c>
      <c r="U27" s="1307">
        <f>H27</f>
        <v>100</v>
      </c>
      <c r="V27" s="1306" t="s">
        <v>5</v>
      </c>
      <c r="W27" s="1307">
        <f>J27</f>
        <v>100</v>
      </c>
      <c r="X27" s="1301"/>
      <c r="Y27" s="3714"/>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14"/>
      <c r="Q28" s="1305"/>
      <c r="R28" s="1306"/>
      <c r="S28" s="1307"/>
      <c r="T28" s="1306"/>
      <c r="U28" s="1307"/>
      <c r="V28" s="1306"/>
      <c r="W28" s="1307"/>
      <c r="X28" s="1301"/>
      <c r="Y28" s="3714"/>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14"/>
      <c r="Q29" s="816" t="str">
        <f t="shared" si="8"/>
        <v>公共配套设施</v>
      </c>
      <c r="R29" s="1302" t="s">
        <v>5</v>
      </c>
      <c r="S29" s="1303">
        <f>F29</f>
        <v>100</v>
      </c>
      <c r="T29" s="1302" t="s">
        <v>5</v>
      </c>
      <c r="U29" s="1303">
        <f>H29</f>
        <v>100</v>
      </c>
      <c r="V29" s="1302" t="s">
        <v>5</v>
      </c>
      <c r="W29" s="1303">
        <f>J29</f>
        <v>100</v>
      </c>
      <c r="X29" s="1304"/>
      <c r="Y29" s="3714"/>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14"/>
      <c r="Q30" s="816"/>
      <c r="R30" s="1302"/>
      <c r="S30" s="1303"/>
      <c r="T30" s="1302"/>
      <c r="U30" s="1303"/>
      <c r="V30" s="1302"/>
      <c r="W30" s="1303"/>
      <c r="X30" s="1304"/>
      <c r="Y30" s="3714"/>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14"/>
      <c r="Q31" s="816" t="str">
        <f>B31</f>
        <v>基础设施水平</v>
      </c>
      <c r="R31" s="1302" t="s">
        <v>5</v>
      </c>
      <c r="S31" s="1303">
        <f>F31</f>
        <v>100</v>
      </c>
      <c r="T31" s="1302" t="s">
        <v>5</v>
      </c>
      <c r="U31" s="1303">
        <f>H31</f>
        <v>100</v>
      </c>
      <c r="V31" s="1302" t="s">
        <v>5</v>
      </c>
      <c r="W31" s="1303">
        <f>J31</f>
        <v>100</v>
      </c>
      <c r="X31" s="1304"/>
      <c r="Y31" s="3714"/>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14"/>
      <c r="Q32" s="816"/>
      <c r="R32" s="1302"/>
      <c r="S32" s="1303"/>
      <c r="T32" s="1302"/>
      <c r="U32" s="1303"/>
      <c r="V32" s="1302"/>
      <c r="W32" s="1303"/>
      <c r="X32" s="1304"/>
      <c r="Y32" s="3714"/>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14"/>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14"/>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14"/>
      <c r="Q34" s="1305" t="str">
        <f t="shared" si="8"/>
        <v>毗邻道路的类型与等级</v>
      </c>
      <c r="R34" s="1306" t="s">
        <v>5</v>
      </c>
      <c r="S34" s="1307">
        <f t="shared" si="9"/>
        <v>100</v>
      </c>
      <c r="T34" s="1306" t="s">
        <v>5</v>
      </c>
      <c r="U34" s="1307">
        <f t="shared" si="10"/>
        <v>100</v>
      </c>
      <c r="V34" s="1306" t="s">
        <v>5</v>
      </c>
      <c r="W34" s="1307">
        <f t="shared" si="11"/>
        <v>100</v>
      </c>
      <c r="X34" s="1301"/>
      <c r="Y34" s="3714"/>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14"/>
      <c r="Q35" s="1305"/>
      <c r="R35" s="1306"/>
      <c r="S35" s="1307"/>
      <c r="T35" s="1306"/>
      <c r="U35" s="1307"/>
      <c r="V35" s="1306"/>
      <c r="W35" s="1307"/>
      <c r="X35" s="1301"/>
      <c r="Y35" s="3714"/>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14"/>
      <c r="Q36" s="1305" t="str">
        <f t="shared" si="8"/>
        <v>土地级别</v>
      </c>
      <c r="R36" s="1306" t="s">
        <v>5</v>
      </c>
      <c r="S36" s="1307">
        <f t="shared" si="9"/>
        <v>100</v>
      </c>
      <c r="T36" s="1306" t="s">
        <v>5</v>
      </c>
      <c r="U36" s="1307">
        <f t="shared" si="10"/>
        <v>100</v>
      </c>
      <c r="V36" s="1306" t="s">
        <v>5</v>
      </c>
      <c r="W36" s="1307">
        <f t="shared" si="11"/>
        <v>100</v>
      </c>
      <c r="X36" s="1301"/>
      <c r="Y36" s="3714"/>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14"/>
      <c r="Q37" s="1305">
        <f t="shared" si="8"/>
        <v>111</v>
      </c>
      <c r="R37" s="1306" t="s">
        <v>5</v>
      </c>
      <c r="S37" s="1307">
        <f t="shared" si="9"/>
        <v>100</v>
      </c>
      <c r="T37" s="1306" t="s">
        <v>5</v>
      </c>
      <c r="U37" s="1307">
        <f t="shared" si="10"/>
        <v>100</v>
      </c>
      <c r="V37" s="1306" t="s">
        <v>5</v>
      </c>
      <c r="W37" s="1307">
        <f t="shared" si="11"/>
        <v>100</v>
      </c>
      <c r="X37" s="1301"/>
      <c r="Y37" s="3714"/>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15" t="s">
        <v>499</v>
      </c>
      <c r="Q38" s="1305">
        <f t="shared" si="8"/>
        <v>111</v>
      </c>
      <c r="R38" s="1306" t="s">
        <v>5</v>
      </c>
      <c r="S38" s="1307">
        <f t="shared" si="9"/>
        <v>100</v>
      </c>
      <c r="T38" s="1306" t="s">
        <v>5</v>
      </c>
      <c r="U38" s="1307">
        <f t="shared" si="10"/>
        <v>100</v>
      </c>
      <c r="V38" s="1306" t="s">
        <v>5</v>
      </c>
      <c r="W38" s="1307">
        <f t="shared" si="11"/>
        <v>100</v>
      </c>
      <c r="X38" s="1301"/>
      <c r="Y38" s="3716"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16"/>
      <c r="Q39" s="1305">
        <f t="shared" si="8"/>
        <v>111</v>
      </c>
      <c r="R39" s="1309" t="s">
        <v>5</v>
      </c>
      <c r="S39" s="1310">
        <f t="shared" si="9"/>
        <v>100</v>
      </c>
      <c r="T39" s="1309" t="s">
        <v>5</v>
      </c>
      <c r="U39" s="1310">
        <f t="shared" si="10"/>
        <v>100</v>
      </c>
      <c r="V39" s="1309" t="s">
        <v>5</v>
      </c>
      <c r="W39" s="1310">
        <f t="shared" si="11"/>
        <v>100</v>
      </c>
      <c r="X39" s="1311"/>
      <c r="Y39" s="3716"/>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16"/>
      <c r="Q40" s="1305" t="str">
        <f>B40</f>
        <v>宗地面积</v>
      </c>
      <c r="R40" s="1306" t="s">
        <v>5</v>
      </c>
      <c r="S40" s="1307" t="e">
        <f t="shared" si="9"/>
        <v>#N/A</v>
      </c>
      <c r="T40" s="1306" t="s">
        <v>5</v>
      </c>
      <c r="U40" s="1307" t="e">
        <f t="shared" si="10"/>
        <v>#N/A</v>
      </c>
      <c r="V40" s="1306" t="s">
        <v>5</v>
      </c>
      <c r="W40" s="1307" t="e">
        <f t="shared" si="11"/>
        <v>#N/A</v>
      </c>
      <c r="X40" s="1301"/>
      <c r="Y40" s="3716"/>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16"/>
      <c r="Q41" s="1305" t="str">
        <f t="shared" ref="Q41:Q47" si="13">B41</f>
        <v>宗地形状</v>
      </c>
      <c r="R41" s="1306" t="s">
        <v>5</v>
      </c>
      <c r="S41" s="1307">
        <f t="shared" si="9"/>
        <v>100</v>
      </c>
      <c r="T41" s="1306" t="s">
        <v>5</v>
      </c>
      <c r="U41" s="1307">
        <f t="shared" si="10"/>
        <v>100</v>
      </c>
      <c r="V41" s="1306" t="s">
        <v>5</v>
      </c>
      <c r="W41" s="1307">
        <f t="shared" si="11"/>
        <v>100</v>
      </c>
      <c r="X41" s="1301"/>
      <c r="Y41" s="3716"/>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16"/>
      <c r="Q42" s="1305" t="str">
        <f t="shared" si="13"/>
        <v>临街宽度及深度</v>
      </c>
      <c r="R42" s="1306" t="s">
        <v>5</v>
      </c>
      <c r="S42" s="1307">
        <f t="shared" si="9"/>
        <v>100</v>
      </c>
      <c r="T42" s="1306" t="s">
        <v>5</v>
      </c>
      <c r="U42" s="1307">
        <f t="shared" si="10"/>
        <v>100</v>
      </c>
      <c r="V42" s="1306" t="s">
        <v>5</v>
      </c>
      <c r="W42" s="1307">
        <f t="shared" si="11"/>
        <v>100</v>
      </c>
      <c r="X42" s="1301"/>
      <c r="Y42" s="3716"/>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16"/>
      <c r="Q43" s="1305" t="str">
        <f t="shared" si="13"/>
        <v>宗地开发程度</v>
      </c>
      <c r="R43" s="1302" t="s">
        <v>5</v>
      </c>
      <c r="S43" s="1303">
        <f t="shared" si="9"/>
        <v>100</v>
      </c>
      <c r="T43" s="1302" t="s">
        <v>5</v>
      </c>
      <c r="U43" s="1303">
        <f t="shared" si="10"/>
        <v>100</v>
      </c>
      <c r="V43" s="1302" t="s">
        <v>5</v>
      </c>
      <c r="W43" s="1303">
        <f t="shared" si="11"/>
        <v>100</v>
      </c>
      <c r="X43" s="1304"/>
      <c r="Y43" s="3716"/>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16" t="s">
        <v>499</v>
      </c>
      <c r="Q44" s="1305" t="str">
        <f t="shared" si="13"/>
        <v>工程地质条件</v>
      </c>
      <c r="R44" s="1306" t="s">
        <v>5</v>
      </c>
      <c r="S44" s="1307">
        <f t="shared" si="9"/>
        <v>100</v>
      </c>
      <c r="T44" s="1306" t="s">
        <v>5</v>
      </c>
      <c r="U44" s="1307">
        <f t="shared" si="10"/>
        <v>100</v>
      </c>
      <c r="V44" s="1306" t="s">
        <v>5</v>
      </c>
      <c r="W44" s="1307">
        <f t="shared" si="11"/>
        <v>100</v>
      </c>
      <c r="X44" s="1301"/>
      <c r="Y44" s="3716"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16"/>
      <c r="Q45" s="1305">
        <f t="shared" si="13"/>
        <v>111</v>
      </c>
      <c r="R45" s="1306" t="s">
        <v>5</v>
      </c>
      <c r="S45" s="1307">
        <f t="shared" si="9"/>
        <v>100</v>
      </c>
      <c r="T45" s="1306" t="s">
        <v>5</v>
      </c>
      <c r="U45" s="1307">
        <f t="shared" si="10"/>
        <v>100</v>
      </c>
      <c r="V45" s="1306" t="s">
        <v>5</v>
      </c>
      <c r="W45" s="1307">
        <f t="shared" si="11"/>
        <v>100</v>
      </c>
      <c r="X45" s="1301"/>
      <c r="Y45" s="3716"/>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16"/>
      <c r="Q46" s="1305">
        <f t="shared" si="13"/>
        <v>111</v>
      </c>
      <c r="R46" s="1306" t="s">
        <v>5</v>
      </c>
      <c r="S46" s="1307">
        <f t="shared" si="9"/>
        <v>100</v>
      </c>
      <c r="T46" s="1306" t="s">
        <v>5</v>
      </c>
      <c r="U46" s="1307">
        <f t="shared" si="10"/>
        <v>100</v>
      </c>
      <c r="V46" s="1306" t="s">
        <v>5</v>
      </c>
      <c r="W46" s="1307">
        <f t="shared" si="11"/>
        <v>100</v>
      </c>
      <c r="X46" s="1301"/>
      <c r="Y46" s="3716"/>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16"/>
      <c r="Q47" s="1305">
        <f t="shared" si="13"/>
        <v>111</v>
      </c>
      <c r="R47" s="1309" t="s">
        <v>5</v>
      </c>
      <c r="S47" s="1310">
        <f t="shared" si="9"/>
        <v>100</v>
      </c>
      <c r="T47" s="1309" t="s">
        <v>5</v>
      </c>
      <c r="U47" s="1310">
        <f t="shared" si="10"/>
        <v>100</v>
      </c>
      <c r="V47" s="1309" t="s">
        <v>5</v>
      </c>
      <c r="W47" s="1310">
        <f t="shared" si="11"/>
        <v>100</v>
      </c>
      <c r="X47" s="1311"/>
      <c r="Y47" s="3716"/>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11" t="str">
        <f>A48</f>
        <v>成交单价</v>
      </c>
      <c r="Q48" s="3711"/>
      <c r="R48" s="3727">
        <f>E48</f>
        <v>0</v>
      </c>
      <c r="S48" s="3727"/>
      <c r="T48" s="3727">
        <f>G48</f>
        <v>0</v>
      </c>
      <c r="U48" s="3727"/>
      <c r="V48" s="3727">
        <f>I48</f>
        <v>0</v>
      </c>
      <c r="W48" s="3727"/>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11" t="str">
        <f>A49</f>
        <v>比较价格（元/平方米）</v>
      </c>
      <c r="Q49" s="3711"/>
      <c r="R49" s="3735" t="e">
        <f>ROUND(PRODUCT(R48,AA9:AA47),0)</f>
        <v>#DIV/0!</v>
      </c>
      <c r="S49" s="3735"/>
      <c r="T49" s="3735" t="e">
        <f>ROUND(PRODUCT(T48,AB9:AB47),0)</f>
        <v>#DIV/0!</v>
      </c>
      <c r="U49" s="3735"/>
      <c r="V49" s="3735" t="e">
        <f>ROUND(PRODUCT(V48,AC9:AC47),0)</f>
        <v>#DIV/0!</v>
      </c>
      <c r="W49" s="3735"/>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17" t="str">
        <f>A50</f>
        <v>估价对象XX用房的比较价格（楼面单价，元/平方米）</v>
      </c>
      <c r="Q50" s="3718"/>
      <c r="R50" s="3734" t="e">
        <f>ROUND(IF(D49="简单平均",AVERAGE(R49:W49),R49*F49+T49*H49+V49*J49),0)</f>
        <v>#DIV/0!</v>
      </c>
      <c r="S50" s="3734"/>
      <c r="T50" s="3734"/>
      <c r="U50" s="3734"/>
      <c r="V50" s="3734"/>
      <c r="W50" s="3734"/>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696" t="s">
        <v>1637</v>
      </c>
      <c r="H57" s="3697"/>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1</v>
      </c>
      <c r="F58" s="583" t="e">
        <f t="shared" ref="F58:F66" si="14">ROUND(B58*E58/10000,0)</f>
        <v>#DIV/0!</v>
      </c>
      <c r="G58" s="3698"/>
      <c r="H58" s="3699"/>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9316.8700000000008</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12"/>
  <sheetViews>
    <sheetView topLeftCell="A4" workbookViewId="0">
      <selection activeCell="B7" sqref="B7"/>
    </sheetView>
  </sheetViews>
  <sheetFormatPr defaultColWidth="18.625" defaultRowHeight="18.75" customHeight="1"/>
  <cols>
    <col min="1" max="16384" width="18.625" style="3391"/>
  </cols>
  <sheetData>
    <row r="1" spans="1:5" s="3389" customFormat="1" ht="15">
      <c r="A1" s="3389" t="s">
        <v>3279</v>
      </c>
    </row>
    <row r="3" spans="1:5" ht="15">
      <c r="A3" s="3390" t="s">
        <v>3273</v>
      </c>
      <c r="B3" s="3390" t="s">
        <v>3272</v>
      </c>
      <c r="C3" s="3390"/>
      <c r="D3" s="3390"/>
    </row>
    <row r="4" spans="1:5" ht="15">
      <c r="A4" s="3390" t="s">
        <v>3278</v>
      </c>
      <c r="B4" s="3392">
        <f>基准地价!C33</f>
        <v>5432</v>
      </c>
      <c r="C4" s="3392"/>
      <c r="D4" s="3390"/>
      <c r="E4" s="3390"/>
    </row>
    <row r="5" spans="1:5" s="3397" customFormat="1" ht="15">
      <c r="A5" s="3393" t="s">
        <v>3274</v>
      </c>
      <c r="B5" s="3394">
        <f>B4</f>
        <v>5432</v>
      </c>
      <c r="C5" s="3395"/>
      <c r="D5" s="3396"/>
    </row>
    <row r="7" spans="1:5" s="3397" customFormat="1" ht="15">
      <c r="A7" s="3397" t="s">
        <v>3275</v>
      </c>
      <c r="B7" s="3398">
        <f>基准地价!M42</f>
        <v>0.15</v>
      </c>
      <c r="C7" s="3398"/>
    </row>
    <row r="9" spans="1:5" ht="15">
      <c r="B9" s="3390" t="s">
        <v>3272</v>
      </c>
      <c r="C9" s="3390" t="s">
        <v>3729</v>
      </c>
    </row>
    <row r="10" spans="1:5" s="3397" customFormat="1" ht="15">
      <c r="A10" s="3397" t="s">
        <v>3276</v>
      </c>
      <c r="B10" s="3394">
        <f>ROUND(B5*(1-B7),0)</f>
        <v>4617</v>
      </c>
      <c r="C10" s="3394">
        <f>ROUND(B10*'数据-汇总表'!D3,0)</f>
        <v>43015989</v>
      </c>
    </row>
    <row r="12" spans="1:5" ht="15">
      <c r="A12" s="3391" t="s">
        <v>3277</v>
      </c>
      <c r="C12" s="3423" t="s">
        <v>3661</v>
      </c>
    </row>
  </sheetData>
  <phoneticPr fontId="223" type="noConversion"/>
  <hyperlinks>
    <hyperlink ref="C1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29" zoomScale="85" zoomScaleNormal="60" zoomScaleSheetLayoutView="85" workbookViewId="0">
      <selection activeCell="F90" sqref="F90"/>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9316.8700000000008</v>
      </c>
      <c r="E1" s="1189" t="s">
        <v>1776</v>
      </c>
      <c r="F1" s="1251">
        <f>'数据-汇总表'!D3</f>
        <v>9316.8700000000008</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5061</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Ⅳ-10</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7271</v>
      </c>
      <c r="U2" s="2222"/>
      <c r="V2" s="2232">
        <f>ROUND(T2*U2/10000,0)</f>
        <v>0</v>
      </c>
      <c r="W2" s="1788"/>
      <c r="X2" s="1788"/>
      <c r="Y2" s="1788"/>
      <c r="Z2" s="1788"/>
      <c r="AA2" s="1788"/>
      <c r="AB2" s="1788"/>
      <c r="AC2" s="1789"/>
    </row>
    <row r="3" spans="1:39" ht="15.75">
      <c r="A3" s="1193" t="s">
        <v>1220</v>
      </c>
      <c r="B3" s="939">
        <f>ROUND(B2*10000/D1,0)</f>
        <v>5432</v>
      </c>
      <c r="C3" s="1190" t="s">
        <v>855</v>
      </c>
      <c r="D3" s="1191" t="s">
        <v>856</v>
      </c>
      <c r="E3" s="1194" t="s">
        <v>2509</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5731</v>
      </c>
      <c r="U3" s="2222"/>
      <c r="V3" s="2232">
        <f t="shared" ref="V3:V16" si="1">ROUND(T3*U3/10000,0)</f>
        <v>0</v>
      </c>
      <c r="W3" s="1788"/>
      <c r="X3" s="1788"/>
      <c r="Y3" s="1788"/>
      <c r="Z3" s="1788"/>
      <c r="AA3" s="1788"/>
      <c r="AB3" s="1788"/>
      <c r="AC3" s="1789"/>
    </row>
    <row r="4" spans="1:39" ht="28.5">
      <c r="A4" s="1549" t="s">
        <v>1636</v>
      </c>
      <c r="B4" s="1969">
        <f>ROUND(B2*10000/F1,0)</f>
        <v>5432</v>
      </c>
      <c r="C4" s="1552" t="s">
        <v>1611</v>
      </c>
      <c r="D4" s="1552">
        <f>ROUND(B2/(F1/666.67),0)</f>
        <v>362</v>
      </c>
      <c r="E4" s="1552" t="s">
        <v>1612</v>
      </c>
      <c r="F4" s="1550"/>
      <c r="G4" s="1550"/>
      <c r="H4" s="1550"/>
      <c r="I4" s="1550"/>
      <c r="J4" s="1551"/>
      <c r="K4" s="2738"/>
      <c r="L4" s="1543" t="s">
        <v>1598</v>
      </c>
      <c r="M4" s="1544">
        <f>SUMPRODUCT((区片价!B55:B86=I2)*(区片价!C3:G3=E2)*(区片价!C55:G86))</f>
        <v>4390</v>
      </c>
      <c r="N4" s="1545">
        <f>SUMPRODUCT((因素修正幅度!B55:B86=I2)*(因素修正幅度!C3:G3=E2)*(因素修正幅度!C55:G86))</f>
        <v>0.1</v>
      </c>
      <c r="O4" s="2738"/>
      <c r="P4" s="1788"/>
      <c r="Q4" s="1788"/>
      <c r="R4" s="2232">
        <v>3</v>
      </c>
      <c r="S4" s="2232">
        <f>ROUND(SUMPRODUCT((B107:B111=R4)*(C106:N106=G2)*(C107:N111)),4)</f>
        <v>1.0004999999999999</v>
      </c>
      <c r="T4" s="2232">
        <f t="shared" si="0"/>
        <v>4843</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4390</v>
      </c>
      <c r="D5" s="2357">
        <f>ROUND(C6*C17+C20,0)</f>
        <v>4390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4272</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4390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4105</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44" t="s">
        <v>2057</v>
      </c>
      <c r="X8" s="3745"/>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43"/>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4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37" t="s">
        <v>1370</v>
      </c>
      <c r="B20" s="1204" t="s">
        <v>875</v>
      </c>
      <c r="C20" s="946">
        <f>ROUND(IF(F21="与级别开发程度一致",0,(G21-E21)/C21),0)</f>
        <v>0</v>
      </c>
      <c r="D20" s="3749" t="s">
        <v>879</v>
      </c>
      <c r="E20" s="3750"/>
      <c r="F20" s="3749" t="s">
        <v>876</v>
      </c>
      <c r="G20" s="3750"/>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38"/>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3264</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45196</v>
      </c>
      <c r="H23" s="1223" t="s">
        <v>2241</v>
      </c>
      <c r="I23" s="2100" t="str">
        <f>IF(H23="季度增幅（自定义）",SUMIF(N25:N28,E2,O25:O28),"")</f>
        <v/>
      </c>
      <c r="J23" s="3295" t="s">
        <v>3265</v>
      </c>
      <c r="K23" s="2739"/>
      <c r="L23" s="2322" t="s">
        <v>2113</v>
      </c>
      <c r="M23" s="2323">
        <f>ROUND(SUMIF(地价!B2:F2,E2,地价!B41:F41),0)</f>
        <v>230</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50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1.0329999999999999</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5061</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5432</v>
      </c>
      <c r="D33" s="1251">
        <f>F1</f>
        <v>9316.8700000000008</v>
      </c>
      <c r="E33" s="1537">
        <f>ROUND(C33*D33/10000,0)</f>
        <v>5061</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815</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4.3500000000000004E-2</v>
      </c>
      <c r="M36" s="3370">
        <f ca="1">ROUND($L$36*(1+M31),3)</f>
        <v>5.3999999999999999E-2</v>
      </c>
      <c r="N36" s="3370">
        <f ca="1">ROUND($L$36*(1+N31),3)</f>
        <v>5.1999999999999998E-2</v>
      </c>
      <c r="O36" s="3370">
        <f ca="1">ROUND($L$36*(1+O31),3)</f>
        <v>0.05</v>
      </c>
      <c r="P36" s="3370">
        <f ca="1">ROUND($L$36*(1+P31),3)</f>
        <v>4.8000000000000001E-2</v>
      </c>
      <c r="Q36" s="3370">
        <f ca="1">ROUND($L$36*(1+Q31),3)</f>
        <v>0.05</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41"/>
      <c r="B37" s="1269" t="s">
        <v>923</v>
      </c>
      <c r="C37" s="953">
        <f>ROUND(D5*C22*C23*C24*C28*F37,0)</f>
        <v>2905</v>
      </c>
      <c r="D37" s="1281"/>
      <c r="E37" s="944">
        <f>ROUND(C37*D37/10000,0)</f>
        <v>0</v>
      </c>
      <c r="F37" s="944">
        <f>SUMIF(修正!A57:A68,G2,修正!B57:B68)</f>
        <v>0.6</v>
      </c>
      <c r="G37" s="944">
        <f>ROUND(IF(E2="工业",C37*$M$42,C37*$M$41),0)</f>
        <v>436</v>
      </c>
      <c r="H37" s="944">
        <f>D37</f>
        <v>0</v>
      </c>
      <c r="I37" s="944">
        <f>ROUND(G37*H37/10000,0)</f>
        <v>0</v>
      </c>
      <c r="J37" s="3741"/>
      <c r="K37" s="3368" t="s">
        <v>3238</v>
      </c>
      <c r="L37" s="3369">
        <f ca="1">L36+K38</f>
        <v>4.8500000000000001E-2</v>
      </c>
      <c r="M37" s="3370">
        <f ca="1">ROUND($L$37*(1+M31),3)</f>
        <v>6.0999999999999999E-2</v>
      </c>
      <c r="N37" s="3370">
        <f t="shared" ref="N37:Q37" ca="1" si="3">ROUND($L$37*(1+N31),3)</f>
        <v>5.8000000000000003E-2</v>
      </c>
      <c r="O37" s="3370">
        <f t="shared" ca="1" si="3"/>
        <v>5.6000000000000001E-2</v>
      </c>
      <c r="P37" s="3370">
        <f t="shared" ca="1" si="3"/>
        <v>5.2999999999999999E-2</v>
      </c>
      <c r="Q37" s="3370">
        <f t="shared" ca="1" si="3"/>
        <v>5.6000000000000001E-2</v>
      </c>
      <c r="R37" s="1789"/>
      <c r="S37" s="1789"/>
      <c r="T37" s="1789"/>
      <c r="U37" s="1789"/>
      <c r="V37" s="1789"/>
      <c r="W37" s="1788"/>
      <c r="X37" s="1788"/>
      <c r="Y37" s="1788"/>
      <c r="Z37" s="1788"/>
      <c r="AA37" s="1788"/>
      <c r="AB37" s="1788"/>
      <c r="AC37" s="1789"/>
    </row>
    <row r="38" spans="1:44" ht="12.75">
      <c r="A38" s="3742"/>
      <c r="B38" s="1214" t="s">
        <v>924</v>
      </c>
      <c r="C38" s="953">
        <f>ROUND(D5*C22*C23*C24*C28*F38,0)</f>
        <v>1452</v>
      </c>
      <c r="D38" s="1281"/>
      <c r="E38" s="944">
        <f t="shared" ref="E38:E42" si="4">ROUND(C38*D38/10000,0)</f>
        <v>0</v>
      </c>
      <c r="F38" s="944">
        <f>SUMIF(修正!A57:A68,G2,修正!C57:C68)</f>
        <v>0.3</v>
      </c>
      <c r="G38" s="944">
        <f>ROUND(IF(E2="工业",C38*$M$42,C38*$M$41),0)</f>
        <v>218</v>
      </c>
      <c r="H38" s="944">
        <f t="shared" ref="H38:H42" si="5">D38</f>
        <v>0</v>
      </c>
      <c r="I38" s="944">
        <f t="shared" ref="I38:I42" si="6">ROUND(G38*H38/10000,0)</f>
        <v>0</v>
      </c>
      <c r="J38" s="3742"/>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42"/>
      <c r="B39" s="3299" t="s">
        <v>3211</v>
      </c>
      <c r="C39" s="953">
        <f>ROUND(D5*C22*C23*C24*C28*F39,0)</f>
        <v>1210</v>
      </c>
      <c r="D39" s="1281"/>
      <c r="E39" s="944">
        <f t="shared" si="4"/>
        <v>0</v>
      </c>
      <c r="F39" s="944">
        <f>SUMIF(修正!A57:A68,G2,修正!D57:D68)</f>
        <v>0.25</v>
      </c>
      <c r="G39" s="944">
        <f>ROUND(IF(E2="工业",C39*$M$42,C39*$M$41),0)</f>
        <v>182</v>
      </c>
      <c r="H39" s="944">
        <f t="shared" si="5"/>
        <v>0</v>
      </c>
      <c r="I39" s="944">
        <f t="shared" si="6"/>
        <v>0</v>
      </c>
      <c r="J39" s="3742"/>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1210</v>
      </c>
      <c r="D40" s="1281">
        <v>0</v>
      </c>
      <c r="E40" s="944">
        <f t="shared" si="4"/>
        <v>0</v>
      </c>
      <c r="F40" s="953">
        <f>SUMIF(修正!A57:A68,G2,修正!E57:E68)</f>
        <v>0.25</v>
      </c>
      <c r="G40" s="944">
        <f>ROUND(IF(E2="工业",C40*$M$42,C40*$M$41),0)</f>
        <v>182</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1.0329999999999999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3267</v>
      </c>
      <c r="D83" s="3326">
        <f t="shared" ref="D83:D90" si="22">SUMIF($J$82:$N$82,C83,J83:N83)</f>
        <v>0</v>
      </c>
      <c r="E83" s="3327">
        <f>ROUND(SUM(D83:D90),4)</f>
        <v>3.3000000000000002E-2</v>
      </c>
      <c r="F83" s="3328">
        <f>IF(E2="工业",SUMIF(L1:L12,G2,N1:N12),"——")</f>
        <v>0.1</v>
      </c>
      <c r="G83" s="3523">
        <v>1.4E-2</v>
      </c>
      <c r="H83" s="3330">
        <f t="shared" ref="H83:H90" si="23">IFERROR(ROUNDDOWN($F$83*I83/2,4),"——")</f>
        <v>1.2999999999999999E-2</v>
      </c>
      <c r="I83" s="3305">
        <v>0.26</v>
      </c>
      <c r="J83" s="3331">
        <f t="shared" ref="J83:J90" si="24">K83+$G83</f>
        <v>2.8000000000000001E-2</v>
      </c>
      <c r="K83" s="3331">
        <f t="shared" ref="K83:K90" si="25">$L83+$G83</f>
        <v>1.4E-2</v>
      </c>
      <c r="L83" s="3331">
        <v>0</v>
      </c>
      <c r="M83" s="3331">
        <f t="shared" ref="M83:N90" si="26">L83-$G83</f>
        <v>-1.4E-2</v>
      </c>
      <c r="N83" s="3331">
        <f t="shared" si="26"/>
        <v>-2.8000000000000001E-2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3266</v>
      </c>
      <c r="D84" s="3326">
        <f t="shared" si="22"/>
        <v>1.4999999999999999E-2</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3267</v>
      </c>
      <c r="D85" s="3326">
        <f t="shared" si="22"/>
        <v>0</v>
      </c>
      <c r="E85" s="3332"/>
      <c r="F85" s="3328"/>
      <c r="G85" s="3329">
        <v>5.0000000000000001E-3</v>
      </c>
      <c r="H85" s="3330">
        <f t="shared" si="23"/>
        <v>5.0000000000000001E-3</v>
      </c>
      <c r="I85" s="3305">
        <v>0.1</v>
      </c>
      <c r="J85" s="3331">
        <f t="shared" si="24"/>
        <v>0.01</v>
      </c>
      <c r="K85" s="3331">
        <f t="shared" si="25"/>
        <v>5.0000000000000001E-3</v>
      </c>
      <c r="L85" s="3331">
        <v>0</v>
      </c>
      <c r="M85" s="3331">
        <f t="shared" si="26"/>
        <v>-5.0000000000000001E-3</v>
      </c>
      <c r="N85" s="3331">
        <f t="shared" si="26"/>
        <v>-0.01</v>
      </c>
      <c r="AE85" s="3312"/>
      <c r="AF85" s="3312"/>
      <c r="AG85" s="3312"/>
      <c r="AH85" s="3312"/>
      <c r="AI85" s="3312"/>
      <c r="AJ85" s="3312"/>
    </row>
    <row r="86" spans="1:36" s="1273" customFormat="1" ht="14.25">
      <c r="A86" s="3317" t="s">
        <v>956</v>
      </c>
      <c r="B86" s="3318">
        <f>估价对象房地状况!G22</f>
        <v>0</v>
      </c>
      <c r="C86" s="3325" t="s">
        <v>3266</v>
      </c>
      <c r="D86" s="3326">
        <f t="shared" si="22"/>
        <v>2.5000000000000001E-3</v>
      </c>
      <c r="E86" s="3332"/>
      <c r="F86" s="3328"/>
      <c r="G86" s="3329">
        <f t="shared" si="27"/>
        <v>2.5000000000000001E-3</v>
      </c>
      <c r="H86" s="3330">
        <f t="shared" si="23"/>
        <v>2.5000000000000001E-3</v>
      </c>
      <c r="I86" s="3305">
        <v>0.05</v>
      </c>
      <c r="J86" s="3331">
        <f t="shared" si="24"/>
        <v>5.0000000000000001E-3</v>
      </c>
      <c r="K86" s="3331">
        <f t="shared" si="25"/>
        <v>2.5000000000000001E-3</v>
      </c>
      <c r="L86" s="3331">
        <v>0</v>
      </c>
      <c r="M86" s="3331">
        <f t="shared" si="26"/>
        <v>-2.5000000000000001E-3</v>
      </c>
      <c r="N86" s="3331">
        <f t="shared" si="26"/>
        <v>-5.0000000000000001E-3</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3267</v>
      </c>
      <c r="D87" s="3326">
        <f t="shared" si="22"/>
        <v>0</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3268</v>
      </c>
      <c r="D88" s="3326">
        <f t="shared" si="22"/>
        <v>0.01</v>
      </c>
      <c r="E88" s="3332"/>
      <c r="F88" s="3328"/>
      <c r="G88" s="3523">
        <v>5.0000000000000001E-3</v>
      </c>
      <c r="H88" s="3330">
        <f t="shared" si="23"/>
        <v>6.0000000000000001E-3</v>
      </c>
      <c r="I88" s="3305">
        <v>0.12</v>
      </c>
      <c r="J88" s="3331">
        <f t="shared" si="24"/>
        <v>0.01</v>
      </c>
      <c r="K88" s="3331">
        <f t="shared" si="25"/>
        <v>5.0000000000000001E-3</v>
      </c>
      <c r="L88" s="3331">
        <v>0</v>
      </c>
      <c r="M88" s="3331">
        <f t="shared" si="26"/>
        <v>-5.0000000000000001E-3</v>
      </c>
      <c r="N88" s="3331">
        <f t="shared" si="26"/>
        <v>-0.01</v>
      </c>
      <c r="AE88" s="3312"/>
      <c r="AF88" s="3312"/>
      <c r="AG88" s="3312"/>
      <c r="AH88" s="3312"/>
      <c r="AI88" s="3312"/>
      <c r="AJ88" s="3312"/>
    </row>
    <row r="89" spans="1:36" s="1273" customFormat="1" ht="24">
      <c r="A89" s="3317" t="s">
        <v>947</v>
      </c>
      <c r="B89" s="3334" t="s">
        <v>2193</v>
      </c>
      <c r="C89" s="3325" t="s">
        <v>3266</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3266</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t="str">
        <f>H93</f>
        <v>——</v>
      </c>
      <c r="H93" s="3330" t="str">
        <f>IFERROR(ROUNDDOWN($F$93*I93/2,4),"——")</f>
        <v>——</v>
      </c>
      <c r="I93" s="3305">
        <v>0.25</v>
      </c>
      <c r="J93" s="3355" t="e">
        <f>K93+$G93</f>
        <v>#VALUE!</v>
      </c>
      <c r="K93" s="3355" t="e">
        <f>$L93+$G93</f>
        <v>#VALUE!</v>
      </c>
      <c r="L93" s="3355">
        <v>0</v>
      </c>
      <c r="M93" s="3355" t="e">
        <f>L93-$G93</f>
        <v>#VALUE!</v>
      </c>
      <c r="N93" s="3355" t="e">
        <f>M93-$G93</f>
        <v>#VALUE!</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28">SUMIF($J$92:$N$92,C94,J94:N94)</f>
        <v>0</v>
      </c>
      <c r="E94" s="3350"/>
      <c r="F94" s="3328"/>
      <c r="G94" s="3343" t="str">
        <f t="shared" ref="G94:G101" si="29">H94</f>
        <v>——</v>
      </c>
      <c r="H94" s="3330" t="str">
        <f t="shared" ref="H94:H101" si="30">IFERROR(ROUNDDOWN($F$93*I94/2,4),"——")</f>
        <v>——</v>
      </c>
      <c r="I94" s="3305">
        <v>0.26</v>
      </c>
      <c r="J94" s="3355" t="e">
        <f>K94+$G94</f>
        <v>#VALUE!</v>
      </c>
      <c r="K94" s="3355" t="e">
        <f>$L94+$G94</f>
        <v>#VALUE!</v>
      </c>
      <c r="L94" s="3355">
        <v>0</v>
      </c>
      <c r="M94" s="3355" t="e">
        <f>L94-$G94</f>
        <v>#VALUE!</v>
      </c>
      <c r="N94" s="3355" t="e">
        <f>M94-$G94</f>
        <v>#VALUE!</v>
      </c>
      <c r="AE94" s="3312"/>
      <c r="AF94" s="3312"/>
      <c r="AG94" s="3312"/>
      <c r="AH94" s="3312"/>
      <c r="AI94" s="3312"/>
      <c r="AJ94" s="3312"/>
    </row>
    <row r="95" spans="1:36" s="1273" customFormat="1" ht="36" hidden="1">
      <c r="A95" s="3356" t="s">
        <v>3213</v>
      </c>
      <c r="B95" s="3318">
        <f>估价对象房地状况!G17</f>
        <v>0</v>
      </c>
      <c r="C95" s="3325"/>
      <c r="D95" s="3326">
        <f t="shared" si="28"/>
        <v>0</v>
      </c>
      <c r="E95" s="3350"/>
      <c r="F95" s="3328"/>
      <c r="G95" s="3343" t="str">
        <f t="shared" si="29"/>
        <v>——</v>
      </c>
      <c r="H95" s="3330" t="str">
        <f t="shared" si="30"/>
        <v>——</v>
      </c>
      <c r="I95" s="3305">
        <v>0.11</v>
      </c>
      <c r="J95" s="3355" t="e">
        <f t="shared" ref="J95:J101" si="31">K95+$G95</f>
        <v>#VALUE!</v>
      </c>
      <c r="K95" s="3355" t="e">
        <f t="shared" ref="K95:K101" si="32">$L95+$G95</f>
        <v>#VALUE!</v>
      </c>
      <c r="L95" s="3355">
        <v>0</v>
      </c>
      <c r="M95" s="3355" t="e">
        <f t="shared" ref="M95:M101" si="33">L95-$G95</f>
        <v>#VALUE!</v>
      </c>
      <c r="N95" s="3355" t="e">
        <f t="shared" ref="N95:N101" si="34">M95-$G95</f>
        <v>#VALUE!</v>
      </c>
      <c r="AE95" s="3312"/>
      <c r="AF95" s="3312"/>
      <c r="AG95" s="3312"/>
      <c r="AH95" s="3312"/>
      <c r="AI95" s="3312"/>
      <c r="AJ95" s="3312"/>
    </row>
    <row r="96" spans="1:36" s="1273" customFormat="1" ht="36.75" hidden="1">
      <c r="A96" s="3302" t="s">
        <v>3217</v>
      </c>
      <c r="B96" s="3306" t="s">
        <v>3218</v>
      </c>
      <c r="C96" s="3325"/>
      <c r="D96" s="3326">
        <f t="shared" si="28"/>
        <v>0</v>
      </c>
      <c r="E96" s="3350"/>
      <c r="F96" s="3328"/>
      <c r="G96" s="3343" t="str">
        <f t="shared" si="29"/>
        <v>——</v>
      </c>
      <c r="H96" s="3330" t="str">
        <f t="shared" si="30"/>
        <v>——</v>
      </c>
      <c r="I96" s="3305">
        <v>0.05</v>
      </c>
      <c r="J96" s="3355" t="e">
        <f t="shared" si="31"/>
        <v>#VALUE!</v>
      </c>
      <c r="K96" s="3355" t="e">
        <f t="shared" si="32"/>
        <v>#VALUE!</v>
      </c>
      <c r="L96" s="3355">
        <v>0</v>
      </c>
      <c r="M96" s="3355" t="e">
        <f>L96-$G96</f>
        <v>#VALUE!</v>
      </c>
      <c r="N96" s="3355" t="e">
        <f t="shared" si="34"/>
        <v>#VALUE!</v>
      </c>
      <c r="AE96" s="3312"/>
      <c r="AF96" s="3312"/>
      <c r="AG96" s="3312"/>
      <c r="AH96" s="3312"/>
      <c r="AI96" s="3312"/>
      <c r="AJ96" s="3312"/>
    </row>
    <row r="97" spans="1:36" s="1273" customFormat="1" ht="24" hidden="1">
      <c r="A97" s="3302" t="s">
        <v>3219</v>
      </c>
      <c r="B97" s="3318">
        <f>估价对象房地状况!G22</f>
        <v>0</v>
      </c>
      <c r="C97" s="3325"/>
      <c r="D97" s="3326">
        <f t="shared" si="28"/>
        <v>0</v>
      </c>
      <c r="E97" s="3350"/>
      <c r="F97" s="3328"/>
      <c r="G97" s="3343" t="str">
        <f t="shared" si="29"/>
        <v>——</v>
      </c>
      <c r="H97" s="3330" t="str">
        <f t="shared" si="30"/>
        <v>——</v>
      </c>
      <c r="I97" s="3305">
        <v>0.05</v>
      </c>
      <c r="J97" s="3355" t="e">
        <f t="shared" si="31"/>
        <v>#VALUE!</v>
      </c>
      <c r="K97" s="3355" t="e">
        <f t="shared" si="32"/>
        <v>#VALUE!</v>
      </c>
      <c r="L97" s="3355">
        <v>0</v>
      </c>
      <c r="M97" s="3355" t="e">
        <f t="shared" si="33"/>
        <v>#VALUE!</v>
      </c>
      <c r="N97" s="3355" t="e">
        <f t="shared" si="34"/>
        <v>#VALUE!</v>
      </c>
      <c r="AE97" s="3312"/>
      <c r="AF97" s="3312"/>
      <c r="AG97" s="3312"/>
      <c r="AH97" s="3312"/>
      <c r="AI97" s="3312"/>
      <c r="AJ97" s="3312"/>
    </row>
    <row r="98" spans="1:36" s="1273" customFormat="1" ht="24" hidden="1">
      <c r="A98" s="3302" t="s">
        <v>3226</v>
      </c>
      <c r="B98" s="3333" t="s">
        <v>2193</v>
      </c>
      <c r="C98" s="3325"/>
      <c r="D98" s="3326">
        <f t="shared" si="28"/>
        <v>0</v>
      </c>
      <c r="E98" s="3350"/>
      <c r="F98" s="3328"/>
      <c r="G98" s="3343" t="str">
        <f t="shared" si="29"/>
        <v>——</v>
      </c>
      <c r="H98" s="3330" t="str">
        <f t="shared" si="30"/>
        <v>——</v>
      </c>
      <c r="I98" s="3305">
        <v>0.06</v>
      </c>
      <c r="J98" s="3355" t="e">
        <f t="shared" si="31"/>
        <v>#VALUE!</v>
      </c>
      <c r="K98" s="3355" t="e">
        <f t="shared" si="32"/>
        <v>#VALUE!</v>
      </c>
      <c r="L98" s="3355">
        <v>0</v>
      </c>
      <c r="M98" s="3355" t="e">
        <f t="shared" si="33"/>
        <v>#VALUE!</v>
      </c>
      <c r="N98" s="3355" t="e">
        <f t="shared" si="34"/>
        <v>#VALUE!</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28"/>
        <v>0</v>
      </c>
      <c r="E99" s="3350"/>
      <c r="F99" s="3328"/>
      <c r="G99" s="3343" t="str">
        <f t="shared" si="29"/>
        <v>——</v>
      </c>
      <c r="H99" s="3330" t="str">
        <f t="shared" si="30"/>
        <v>——</v>
      </c>
      <c r="I99" s="3305">
        <v>0.06</v>
      </c>
      <c r="J99" s="3355" t="e">
        <f t="shared" si="31"/>
        <v>#VALUE!</v>
      </c>
      <c r="K99" s="3355" t="e">
        <f t="shared" si="32"/>
        <v>#VALUE!</v>
      </c>
      <c r="L99" s="3355">
        <v>0</v>
      </c>
      <c r="M99" s="3355" t="e">
        <f t="shared" si="33"/>
        <v>#VALUE!</v>
      </c>
      <c r="N99" s="3355" t="e">
        <f t="shared" si="34"/>
        <v>#VALUE!</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28"/>
        <v>0</v>
      </c>
      <c r="E100" s="3350"/>
      <c r="F100" s="3328"/>
      <c r="G100" s="3343" t="str">
        <f t="shared" si="29"/>
        <v>——</v>
      </c>
      <c r="H100" s="3330" t="str">
        <f t="shared" si="30"/>
        <v>——</v>
      </c>
      <c r="I100" s="3305">
        <v>0.09</v>
      </c>
      <c r="J100" s="3355" t="e">
        <f t="shared" si="31"/>
        <v>#VALUE!</v>
      </c>
      <c r="K100" s="3355" t="e">
        <f t="shared" si="32"/>
        <v>#VALUE!</v>
      </c>
      <c r="L100" s="3355">
        <v>0</v>
      </c>
      <c r="M100" s="3355" t="e">
        <f t="shared" si="33"/>
        <v>#VALUE!</v>
      </c>
      <c r="N100" s="3355" t="e">
        <f t="shared" si="34"/>
        <v>#VALUE!</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28"/>
        <v>0</v>
      </c>
      <c r="E101" s="3350"/>
      <c r="F101" s="3328"/>
      <c r="G101" s="3343" t="str">
        <f t="shared" si="29"/>
        <v>——</v>
      </c>
      <c r="H101" s="3330" t="str">
        <f t="shared" si="30"/>
        <v>——</v>
      </c>
      <c r="I101" s="3307">
        <v>7.0000000000000007E-2</v>
      </c>
      <c r="J101" s="3355" t="e">
        <f t="shared" si="31"/>
        <v>#VALUE!</v>
      </c>
      <c r="K101" s="3355" t="e">
        <f t="shared" si="32"/>
        <v>#VALUE!</v>
      </c>
      <c r="L101" s="3355">
        <v>0</v>
      </c>
      <c r="M101" s="3355" t="e">
        <f t="shared" si="33"/>
        <v>#VALUE!</v>
      </c>
      <c r="N101" s="3355" t="e">
        <f t="shared" si="34"/>
        <v>#VALUE!</v>
      </c>
      <c r="AE101" s="3312"/>
      <c r="AF101" s="3312"/>
      <c r="AG101" s="3312"/>
      <c r="AH101" s="3312"/>
      <c r="AI101" s="3312"/>
      <c r="AJ101" s="3312"/>
    </row>
    <row r="102" spans="1:36" s="1273" customFormat="1" ht="14.25">
      <c r="A102" s="3376"/>
      <c r="B102" s="3377"/>
      <c r="C102" s="3348"/>
      <c r="D102" s="3349"/>
      <c r="E102" s="3350"/>
      <c r="F102" s="3328"/>
      <c r="G102" s="3522"/>
      <c r="H102" s="3352"/>
      <c r="I102" s="3378"/>
      <c r="J102" s="3379"/>
      <c r="K102" s="3379"/>
      <c r="L102" s="3379"/>
      <c r="M102" s="3379"/>
      <c r="N102" s="3379"/>
      <c r="AE102" s="3312"/>
      <c r="AF102" s="3312"/>
      <c r="AG102" s="3312"/>
      <c r="AH102" s="3312"/>
      <c r="AI102" s="3312"/>
      <c r="AJ102" s="3312"/>
    </row>
    <row r="103" spans="1:36" s="1273" customFormat="1">
      <c r="K103" s="3312"/>
      <c r="AD103" s="3312"/>
      <c r="AE103" s="3312"/>
      <c r="AF103" s="3312"/>
      <c r="AG103" s="3312"/>
      <c r="AH103" s="3312"/>
      <c r="AI103" s="3312"/>
    </row>
    <row r="104" spans="1:36">
      <c r="A104" s="3739" t="s">
        <v>1172</v>
      </c>
      <c r="B104" s="3739"/>
      <c r="C104" s="3739"/>
      <c r="D104" s="3739"/>
      <c r="E104" s="3739"/>
      <c r="F104" s="3739"/>
      <c r="G104" s="3739"/>
      <c r="H104" s="3739"/>
      <c r="I104" s="3739"/>
      <c r="J104" s="3739"/>
      <c r="K104" s="999"/>
      <c r="L104" s="999"/>
      <c r="M104" s="999"/>
      <c r="N104" s="999"/>
    </row>
    <row r="105" spans="1:36">
      <c r="A105" s="3740" t="s">
        <v>1161</v>
      </c>
      <c r="B105" s="3740" t="s">
        <v>1173</v>
      </c>
      <c r="C105" s="987" t="s">
        <v>1174</v>
      </c>
      <c r="D105" s="988"/>
      <c r="E105" s="988"/>
      <c r="F105" s="988"/>
      <c r="G105" s="988"/>
      <c r="H105" s="988"/>
      <c r="I105" s="988"/>
      <c r="J105" s="989"/>
      <c r="K105" s="982"/>
      <c r="L105" s="982"/>
      <c r="M105" s="982"/>
      <c r="N105" s="982"/>
    </row>
    <row r="106" spans="1:36">
      <c r="A106" s="3740"/>
      <c r="B106" s="3740"/>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46"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47"/>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47"/>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47"/>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47"/>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47"/>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48"/>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36" t="s">
        <v>1175</v>
      </c>
      <c r="B114" s="3736"/>
      <c r="C114" s="3736"/>
      <c r="D114" s="3736"/>
      <c r="E114" s="3736"/>
      <c r="F114" s="3736"/>
      <c r="G114" s="3736"/>
      <c r="H114" s="3736"/>
      <c r="I114" s="3736"/>
      <c r="J114" s="3736"/>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85" zoomScaleNormal="50" zoomScaleSheetLayoutView="85" workbookViewId="0">
      <selection activeCell="I44" sqref="I4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3871</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38710000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4155</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277</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19" t="s">
        <v>471</v>
      </c>
      <c r="D6" s="3720"/>
      <c r="E6" s="3756" t="s">
        <v>472</v>
      </c>
      <c r="F6" s="3757"/>
      <c r="G6" s="3719" t="s">
        <v>473</v>
      </c>
      <c r="H6" s="3720"/>
      <c r="I6" s="3719" t="s">
        <v>474</v>
      </c>
      <c r="J6" s="3720"/>
      <c r="K6" s="465" t="s">
        <v>475</v>
      </c>
      <c r="L6" s="1740"/>
      <c r="M6" s="1741"/>
      <c r="N6" s="1741"/>
      <c r="O6" s="1741"/>
      <c r="P6" s="3721" t="s">
        <v>476</v>
      </c>
      <c r="Q6" s="3722"/>
      <c r="R6" s="3705" t="s">
        <v>472</v>
      </c>
      <c r="S6" s="3706"/>
      <c r="T6" s="3705" t="s">
        <v>473</v>
      </c>
      <c r="U6" s="3706"/>
      <c r="V6" s="3727" t="s">
        <v>474</v>
      </c>
      <c r="W6" s="3727"/>
      <c r="X6" s="1301"/>
      <c r="Y6" s="3705" t="s">
        <v>476</v>
      </c>
      <c r="Z6" s="3706"/>
      <c r="AA6" s="3700" t="s">
        <v>472</v>
      </c>
      <c r="AB6" s="3701" t="s">
        <v>473</v>
      </c>
      <c r="AC6" s="3700" t="s">
        <v>474</v>
      </c>
    </row>
    <row r="7" spans="1:29" ht="15">
      <c r="A7" s="466"/>
      <c r="B7" s="467"/>
      <c r="C7" s="3730" t="s">
        <v>2186</v>
      </c>
      <c r="D7" s="3731"/>
      <c r="E7" s="3758" t="str">
        <f>'通兴房顺昌门出让-工业'!A13</f>
        <v>北京大兴国际机场综合保税区 DX12-0107-081-01地块W1物流用地</v>
      </c>
      <c r="F7" s="3759"/>
      <c r="G7" s="3730" t="str">
        <f>'通兴房顺昌门出让-工业'!A14</f>
        <v>北京大兴国际机场综合保税区DX12-0107-081-02地块W1物流用地</v>
      </c>
      <c r="H7" s="3731"/>
      <c r="I7" s="3730" t="str">
        <f>'通兴房顺昌门出让-工业'!A17</f>
        <v>北京大兴国际机场临空经济区DX12-0107-053地块</v>
      </c>
      <c r="J7" s="3731"/>
      <c r="K7" s="465"/>
      <c r="L7" s="1740"/>
      <c r="M7" s="1741"/>
      <c r="N7" s="1741"/>
      <c r="O7" s="1741"/>
      <c r="P7" s="3723"/>
      <c r="Q7" s="3724"/>
      <c r="R7" s="3707"/>
      <c r="S7" s="3708"/>
      <c r="T7" s="3707"/>
      <c r="U7" s="3708"/>
      <c r="V7" s="3727"/>
      <c r="W7" s="3727"/>
      <c r="X7" s="1301"/>
      <c r="Y7" s="3707"/>
      <c r="Z7" s="3708"/>
      <c r="AA7" s="3701"/>
      <c r="AB7" s="3701"/>
      <c r="AC7" s="3701"/>
    </row>
    <row r="8" spans="1:29" ht="15.75" thickBot="1">
      <c r="A8" s="468"/>
      <c r="B8" s="469"/>
      <c r="C8" s="3728" t="s">
        <v>2190</v>
      </c>
      <c r="D8" s="3729"/>
      <c r="E8" s="3760" t="s">
        <v>2190</v>
      </c>
      <c r="F8" s="3761"/>
      <c r="G8" s="3728" t="s">
        <v>2190</v>
      </c>
      <c r="H8" s="3729"/>
      <c r="I8" s="3728" t="s">
        <v>2190</v>
      </c>
      <c r="J8" s="3729"/>
      <c r="K8" s="465" t="s">
        <v>477</v>
      </c>
      <c r="L8" s="1740"/>
      <c r="M8" s="1741"/>
      <c r="N8" s="1741"/>
      <c r="O8" s="1741"/>
      <c r="P8" s="3725"/>
      <c r="Q8" s="3726"/>
      <c r="R8" s="3707"/>
      <c r="S8" s="3708"/>
      <c r="T8" s="3709"/>
      <c r="U8" s="3710"/>
      <c r="V8" s="3727"/>
      <c r="W8" s="3727"/>
      <c r="X8" s="1301"/>
      <c r="Y8" s="3709"/>
      <c r="Z8" s="3710"/>
      <c r="AA8" s="3702"/>
      <c r="AB8" s="3702"/>
      <c r="AC8" s="3702"/>
    </row>
    <row r="9" spans="1:29" s="1058" customFormat="1" ht="15.75" thickBot="1">
      <c r="A9" s="2208"/>
      <c r="B9" s="2215" t="s">
        <v>478</v>
      </c>
      <c r="C9" s="470">
        <f>'数据-取费表'!B2</f>
        <v>45196</v>
      </c>
      <c r="D9" s="471">
        <v>100</v>
      </c>
      <c r="E9" s="472">
        <f>'通兴房顺昌门出让-工业'!AC13</f>
        <v>44712.0004976852</v>
      </c>
      <c r="F9" s="473">
        <f>SUMIF(66:66,YEAR(E9)&amp;"-"&amp;INT((MONTH(E9)+2)/3),67:67)</f>
        <v>100</v>
      </c>
      <c r="G9" s="474">
        <f>'通兴房顺昌门出让-工业'!AC14</f>
        <v>44642.0004976852</v>
      </c>
      <c r="H9" s="471">
        <f>SUMIF(66:66,YEAR(G9)&amp;"-"&amp;INT((MONTH(G9)+2)/3),67:67)</f>
        <v>100</v>
      </c>
      <c r="I9" s="474">
        <f>'通兴房顺昌门出让-工业'!AC17</f>
        <v>44521.0004976852</v>
      </c>
      <c r="J9" s="471">
        <f>SUMIF(66:66,YEAR(I9)&amp;"-"&amp;INT((MONTH(I9)+2)/3),67:67)</f>
        <v>100</v>
      </c>
      <c r="K9" s="88"/>
      <c r="L9" s="1742"/>
      <c r="M9" s="1639"/>
      <c r="N9" s="1639"/>
      <c r="O9" s="1639"/>
      <c r="P9" s="3703" t="s">
        <v>479</v>
      </c>
      <c r="Q9" s="3712"/>
      <c r="R9" s="1302" t="s">
        <v>5</v>
      </c>
      <c r="S9" s="1303">
        <f t="shared" ref="S9:S17" si="0">F9</f>
        <v>100</v>
      </c>
      <c r="T9" s="1302" t="s">
        <v>5</v>
      </c>
      <c r="U9" s="1303">
        <f t="shared" ref="U9:U17" si="1">H9</f>
        <v>100</v>
      </c>
      <c r="V9" s="1302" t="s">
        <v>5</v>
      </c>
      <c r="W9" s="1303">
        <f t="shared" ref="W9:W17" si="2">J9</f>
        <v>100</v>
      </c>
      <c r="X9" s="1304"/>
      <c r="Y9" s="3703" t="s">
        <v>479</v>
      </c>
      <c r="Z9" s="3704"/>
      <c r="AA9" s="995">
        <f>D9/F9</f>
        <v>1</v>
      </c>
      <c r="AB9" s="995">
        <f>D9/H9</f>
        <v>1</v>
      </c>
      <c r="AC9" s="995">
        <f>D9/J9</f>
        <v>1</v>
      </c>
    </row>
    <row r="10" spans="1:29" s="1058" customFormat="1" ht="15.75" thickBot="1">
      <c r="A10" s="2209"/>
      <c r="B10" s="2216" t="s">
        <v>480</v>
      </c>
      <c r="C10" s="475" t="s">
        <v>481</v>
      </c>
      <c r="D10" s="471">
        <v>100</v>
      </c>
      <c r="E10" s="475" t="s">
        <v>3728</v>
      </c>
      <c r="F10" s="473">
        <f>SUMIF(69:69,E10,70:70)-SUMIF(69:69,C10,70:70)+100</f>
        <v>100</v>
      </c>
      <c r="G10" s="475" t="s">
        <v>3728</v>
      </c>
      <c r="H10" s="471">
        <f>SUMIF(69:69,G10,70:70)-SUMIF(69:69,C10,70:70)+100</f>
        <v>100</v>
      </c>
      <c r="I10" s="475" t="s">
        <v>3728</v>
      </c>
      <c r="J10" s="471">
        <f>SUMIF(69:69,I10,70:70)-SUMIF(69:69,C10,70:70)+100</f>
        <v>100</v>
      </c>
      <c r="K10" s="88"/>
      <c r="L10" s="1742"/>
      <c r="M10" s="1639"/>
      <c r="N10" s="1639"/>
      <c r="O10" s="1639"/>
      <c r="P10" s="3703" t="s">
        <v>482</v>
      </c>
      <c r="Q10" s="3704"/>
      <c r="R10" s="1302" t="s">
        <v>5</v>
      </c>
      <c r="S10" s="1303">
        <f t="shared" si="0"/>
        <v>100</v>
      </c>
      <c r="T10" s="1302" t="s">
        <v>5</v>
      </c>
      <c r="U10" s="1303">
        <f t="shared" si="1"/>
        <v>100</v>
      </c>
      <c r="V10" s="1302" t="s">
        <v>5</v>
      </c>
      <c r="W10" s="1303">
        <f t="shared" si="2"/>
        <v>100</v>
      </c>
      <c r="X10" s="1304"/>
      <c r="Y10" s="3703" t="s">
        <v>482</v>
      </c>
      <c r="Z10" s="3704"/>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3402</v>
      </c>
      <c r="F11" s="154">
        <f>SUMIF(71:71,E11,72:72)-SUMIF(71:71,C11,72:72)+100</f>
        <v>200</v>
      </c>
      <c r="G11" s="476" t="s">
        <v>3402</v>
      </c>
      <c r="H11" s="154">
        <f>SUMIF(71:71,G11,72:72)-SUMIF(71:71,C11,72:72)+100</f>
        <v>200</v>
      </c>
      <c r="I11" s="476" t="s">
        <v>3402</v>
      </c>
      <c r="J11" s="154">
        <f>SUMIF(71:71,I11,72:72)-SUMIF(71:71,C11,72:72)+100</f>
        <v>200</v>
      </c>
      <c r="K11" s="88"/>
      <c r="L11" s="1742"/>
      <c r="M11" s="1639"/>
      <c r="N11" s="1639"/>
      <c r="O11" s="1743"/>
      <c r="P11" s="3711" t="s">
        <v>484</v>
      </c>
      <c r="Q11" s="816" t="str">
        <f t="shared" ref="Q11:Q17" si="6">B11</f>
        <v>用途</v>
      </c>
      <c r="R11" s="1302" t="s">
        <v>5</v>
      </c>
      <c r="S11" s="1303">
        <f t="shared" si="0"/>
        <v>200</v>
      </c>
      <c r="T11" s="1302" t="s">
        <v>5</v>
      </c>
      <c r="U11" s="1303">
        <f t="shared" si="1"/>
        <v>200</v>
      </c>
      <c r="V11" s="1302" t="s">
        <v>5</v>
      </c>
      <c r="W11" s="1303">
        <f t="shared" si="2"/>
        <v>200</v>
      </c>
      <c r="X11" s="1304"/>
      <c r="Y11" s="3660" t="s">
        <v>485</v>
      </c>
      <c r="Z11" s="995" t="str">
        <f t="shared" ref="Z11:Z17" si="7">Q11</f>
        <v>用途</v>
      </c>
      <c r="AA11" s="995">
        <f t="shared" si="3"/>
        <v>0.5</v>
      </c>
      <c r="AB11" s="995">
        <f t="shared" si="4"/>
        <v>0.5</v>
      </c>
      <c r="AC11" s="995">
        <f t="shared" si="5"/>
        <v>0.5</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1"/>
      <c r="Q12" s="816" t="str">
        <f t="shared" si="6"/>
        <v>土地使用年限（年）</v>
      </c>
      <c r="R12" s="1302" t="s">
        <v>5</v>
      </c>
      <c r="S12" s="1303">
        <f t="shared" si="0"/>
        <v>100</v>
      </c>
      <c r="T12" s="1302" t="s">
        <v>5</v>
      </c>
      <c r="U12" s="1303">
        <f t="shared" si="1"/>
        <v>100</v>
      </c>
      <c r="V12" s="1302" t="s">
        <v>5</v>
      </c>
      <c r="W12" s="1303">
        <f t="shared" si="2"/>
        <v>100</v>
      </c>
      <c r="X12" s="1304"/>
      <c r="Y12" s="3660"/>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1"/>
      <c r="Q13" s="816" t="str">
        <f t="shared" si="6"/>
        <v>容积率</v>
      </c>
      <c r="R13" s="1302" t="s">
        <v>5</v>
      </c>
      <c r="S13" s="1303">
        <f t="shared" si="0"/>
        <v>100</v>
      </c>
      <c r="T13" s="1302" t="s">
        <v>5</v>
      </c>
      <c r="U13" s="1303">
        <f t="shared" si="1"/>
        <v>100</v>
      </c>
      <c r="V13" s="1302" t="s">
        <v>5</v>
      </c>
      <c r="W13" s="1303">
        <f t="shared" si="2"/>
        <v>100</v>
      </c>
      <c r="X13" s="1304"/>
      <c r="Y13" s="3660"/>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1"/>
      <c r="Q14" s="816">
        <f t="shared" si="6"/>
        <v>0</v>
      </c>
      <c r="R14" s="1302" t="s">
        <v>5</v>
      </c>
      <c r="S14" s="1303">
        <f t="shared" si="0"/>
        <v>100</v>
      </c>
      <c r="T14" s="1302" t="s">
        <v>5</v>
      </c>
      <c r="U14" s="1303">
        <f t="shared" si="1"/>
        <v>100</v>
      </c>
      <c r="V14" s="1302" t="s">
        <v>5</v>
      </c>
      <c r="W14" s="1303">
        <f t="shared" si="2"/>
        <v>100</v>
      </c>
      <c r="X14" s="1304"/>
      <c r="Y14" s="3660"/>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1"/>
      <c r="Q15" s="816">
        <f t="shared" si="6"/>
        <v>0</v>
      </c>
      <c r="R15" s="1302" t="s">
        <v>5</v>
      </c>
      <c r="S15" s="1303">
        <f t="shared" si="0"/>
        <v>100</v>
      </c>
      <c r="T15" s="1302" t="s">
        <v>5</v>
      </c>
      <c r="U15" s="1303">
        <f t="shared" si="1"/>
        <v>100</v>
      </c>
      <c r="V15" s="1302" t="s">
        <v>5</v>
      </c>
      <c r="W15" s="1303">
        <f t="shared" si="2"/>
        <v>100</v>
      </c>
      <c r="X15" s="1304"/>
      <c r="Y15" s="3660"/>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1"/>
      <c r="Q16" s="816">
        <f t="shared" si="6"/>
        <v>0</v>
      </c>
      <c r="R16" s="1302" t="s">
        <v>5</v>
      </c>
      <c r="S16" s="1303">
        <f t="shared" si="0"/>
        <v>100</v>
      </c>
      <c r="T16" s="1302" t="s">
        <v>5</v>
      </c>
      <c r="U16" s="1303">
        <f t="shared" si="1"/>
        <v>100</v>
      </c>
      <c r="V16" s="1302" t="s">
        <v>5</v>
      </c>
      <c r="W16" s="1303">
        <f t="shared" si="2"/>
        <v>100</v>
      </c>
      <c r="X16" s="1304"/>
      <c r="Y16" s="3660"/>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3" t="s">
        <v>489</v>
      </c>
      <c r="Q17" s="1305" t="str">
        <f t="shared" si="6"/>
        <v>产业集聚程度</v>
      </c>
      <c r="R17" s="1306" t="s">
        <v>5</v>
      </c>
      <c r="S17" s="1307">
        <f t="shared" si="0"/>
        <v>100</v>
      </c>
      <c r="T17" s="1306" t="s">
        <v>5</v>
      </c>
      <c r="U17" s="1307">
        <f t="shared" si="1"/>
        <v>100</v>
      </c>
      <c r="V17" s="1306" t="s">
        <v>5</v>
      </c>
      <c r="W17" s="1307">
        <f t="shared" si="2"/>
        <v>100</v>
      </c>
      <c r="X17" s="1301"/>
      <c r="Y17" s="3713"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14"/>
      <c r="Q18" s="1305"/>
      <c r="R18" s="1306"/>
      <c r="S18" s="1307"/>
      <c r="T18" s="1306"/>
      <c r="U18" s="1307"/>
      <c r="V18" s="1306"/>
      <c r="W18" s="1307"/>
      <c r="X18" s="1301"/>
      <c r="Y18" s="3714"/>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14"/>
      <c r="Q19" s="1305" t="str">
        <f>B19</f>
        <v>交通便捷度</v>
      </c>
      <c r="R19" s="1306" t="s">
        <v>5</v>
      </c>
      <c r="S19" s="1307">
        <f>F19</f>
        <v>100</v>
      </c>
      <c r="T19" s="1306" t="s">
        <v>5</v>
      </c>
      <c r="U19" s="1307">
        <f>H19</f>
        <v>100</v>
      </c>
      <c r="V19" s="1306" t="s">
        <v>5</v>
      </c>
      <c r="W19" s="1307">
        <f>J19</f>
        <v>100</v>
      </c>
      <c r="X19" s="1301"/>
      <c r="Y19" s="3714"/>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14"/>
      <c r="Q20" s="1305"/>
      <c r="R20" s="1306"/>
      <c r="S20" s="1307"/>
      <c r="T20" s="1306"/>
      <c r="U20" s="1307"/>
      <c r="V20" s="1306"/>
      <c r="W20" s="1307"/>
      <c r="X20" s="1301"/>
      <c r="Y20" s="3714"/>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14"/>
      <c r="Q21" s="1305" t="str">
        <f t="shared" ref="Q21:Q35" si="8">B21</f>
        <v>区域土地利用方向</v>
      </c>
      <c r="R21" s="1306" t="s">
        <v>5</v>
      </c>
      <c r="S21" s="1307">
        <f>F21</f>
        <v>100</v>
      </c>
      <c r="T21" s="1306" t="s">
        <v>5</v>
      </c>
      <c r="U21" s="1307">
        <f>H21</f>
        <v>100</v>
      </c>
      <c r="V21" s="1306" t="s">
        <v>5</v>
      </c>
      <c r="W21" s="1307">
        <f>J21</f>
        <v>100</v>
      </c>
      <c r="X21" s="1301"/>
      <c r="Y21" s="3714"/>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14"/>
      <c r="Q22" s="1305"/>
      <c r="R22" s="1306"/>
      <c r="S22" s="1307"/>
      <c r="T22" s="1306"/>
      <c r="U22" s="1307"/>
      <c r="V22" s="1306"/>
      <c r="W22" s="1307"/>
      <c r="X22" s="1301"/>
      <c r="Y22" s="3714"/>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14"/>
      <c r="Q23" s="1305" t="str">
        <f t="shared" si="8"/>
        <v>环境状况</v>
      </c>
      <c r="R23" s="1306" t="s">
        <v>5</v>
      </c>
      <c r="S23" s="1307">
        <f>F23</f>
        <v>100</v>
      </c>
      <c r="T23" s="1306" t="s">
        <v>5</v>
      </c>
      <c r="U23" s="1307">
        <f>H23</f>
        <v>100</v>
      </c>
      <c r="V23" s="1306" t="s">
        <v>5</v>
      </c>
      <c r="W23" s="1307">
        <f>J23</f>
        <v>100</v>
      </c>
      <c r="X23" s="1301"/>
      <c r="Y23" s="3714"/>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14"/>
      <c r="Q24" s="1305"/>
      <c r="R24" s="1306"/>
      <c r="S24" s="1307"/>
      <c r="T24" s="1306"/>
      <c r="U24" s="1307"/>
      <c r="V24" s="1306"/>
      <c r="W24" s="1307"/>
      <c r="X24" s="1301"/>
      <c r="Y24" s="3714"/>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14"/>
      <c r="Q25" s="816" t="str">
        <f t="shared" si="8"/>
        <v>公共配套设施</v>
      </c>
      <c r="R25" s="1302" t="s">
        <v>5</v>
      </c>
      <c r="S25" s="1303">
        <f>F25</f>
        <v>100</v>
      </c>
      <c r="T25" s="1302" t="s">
        <v>5</v>
      </c>
      <c r="U25" s="1303">
        <f>H25</f>
        <v>100</v>
      </c>
      <c r="V25" s="1302" t="s">
        <v>5</v>
      </c>
      <c r="W25" s="1303">
        <f>J25</f>
        <v>100</v>
      </c>
      <c r="X25" s="1304"/>
      <c r="Y25" s="3714"/>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14"/>
      <c r="Q26" s="816"/>
      <c r="R26" s="1302"/>
      <c r="S26" s="1303"/>
      <c r="T26" s="1302"/>
      <c r="U26" s="1303"/>
      <c r="V26" s="1302"/>
      <c r="W26" s="1303"/>
      <c r="X26" s="1304"/>
      <c r="Y26" s="3714"/>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14"/>
      <c r="Q27" s="816" t="str">
        <f>B27</f>
        <v>基础设施水平</v>
      </c>
      <c r="R27" s="1302" t="s">
        <v>5</v>
      </c>
      <c r="S27" s="1303">
        <f>F27</f>
        <v>100</v>
      </c>
      <c r="T27" s="1302" t="s">
        <v>5</v>
      </c>
      <c r="U27" s="1303">
        <f>H27</f>
        <v>100</v>
      </c>
      <c r="V27" s="1302" t="s">
        <v>5</v>
      </c>
      <c r="W27" s="1303">
        <f>J27</f>
        <v>100</v>
      </c>
      <c r="X27" s="1304"/>
      <c r="Y27" s="3714"/>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14"/>
      <c r="Q28" s="816"/>
      <c r="R28" s="1302"/>
      <c r="S28" s="1303"/>
      <c r="T28" s="1302"/>
      <c r="U28" s="1303"/>
      <c r="V28" s="1302"/>
      <c r="W28" s="1303"/>
      <c r="X28" s="1304"/>
      <c r="Y28" s="3714"/>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14"/>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14"/>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14"/>
      <c r="Q30" s="1305" t="str">
        <f t="shared" si="8"/>
        <v>毗邻道路的类型与等级</v>
      </c>
      <c r="R30" s="1306" t="s">
        <v>5</v>
      </c>
      <c r="S30" s="1307">
        <f t="shared" si="9"/>
        <v>100</v>
      </c>
      <c r="T30" s="1306" t="s">
        <v>5</v>
      </c>
      <c r="U30" s="1307">
        <f t="shared" si="10"/>
        <v>100</v>
      </c>
      <c r="V30" s="1306" t="s">
        <v>5</v>
      </c>
      <c r="W30" s="1307">
        <f t="shared" si="11"/>
        <v>100</v>
      </c>
      <c r="X30" s="1301"/>
      <c r="Y30" s="3714"/>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14"/>
      <c r="Q31" s="1305"/>
      <c r="R31" s="1306"/>
      <c r="S31" s="1307"/>
      <c r="T31" s="1306"/>
      <c r="U31" s="1307"/>
      <c r="V31" s="1306"/>
      <c r="W31" s="1307"/>
      <c r="X31" s="1301"/>
      <c r="Y31" s="3714"/>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14"/>
      <c r="Q32" s="1305" t="str">
        <f t="shared" si="8"/>
        <v>土地级别</v>
      </c>
      <c r="R32" s="1306" t="s">
        <v>5</v>
      </c>
      <c r="S32" s="1307">
        <f t="shared" si="9"/>
        <v>100</v>
      </c>
      <c r="T32" s="1306" t="s">
        <v>5</v>
      </c>
      <c r="U32" s="1307">
        <f t="shared" si="10"/>
        <v>100</v>
      </c>
      <c r="V32" s="1306" t="s">
        <v>5</v>
      </c>
      <c r="W32" s="1307">
        <f t="shared" si="11"/>
        <v>100</v>
      </c>
      <c r="X32" s="1301"/>
      <c r="Y32" s="3714"/>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14"/>
      <c r="Q33" s="1305">
        <f t="shared" si="8"/>
        <v>0</v>
      </c>
      <c r="R33" s="1306" t="s">
        <v>5</v>
      </c>
      <c r="S33" s="1307">
        <f t="shared" si="9"/>
        <v>100</v>
      </c>
      <c r="T33" s="1306" t="s">
        <v>5</v>
      </c>
      <c r="U33" s="1307">
        <f t="shared" si="10"/>
        <v>100</v>
      </c>
      <c r="V33" s="1306" t="s">
        <v>5</v>
      </c>
      <c r="W33" s="1307">
        <f t="shared" si="11"/>
        <v>100</v>
      </c>
      <c r="X33" s="1301"/>
      <c r="Y33" s="3714"/>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15" t="s">
        <v>499</v>
      </c>
      <c r="Q34" s="1305">
        <f t="shared" si="8"/>
        <v>0</v>
      </c>
      <c r="R34" s="1306" t="s">
        <v>5</v>
      </c>
      <c r="S34" s="1307">
        <f t="shared" si="9"/>
        <v>100</v>
      </c>
      <c r="T34" s="1306" t="s">
        <v>5</v>
      </c>
      <c r="U34" s="1307">
        <f t="shared" si="10"/>
        <v>100</v>
      </c>
      <c r="V34" s="1306" t="s">
        <v>5</v>
      </c>
      <c r="W34" s="1307">
        <f t="shared" si="11"/>
        <v>100</v>
      </c>
      <c r="X34" s="1301"/>
      <c r="Y34" s="3716"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16"/>
      <c r="Q35" s="1305">
        <f t="shared" si="8"/>
        <v>0</v>
      </c>
      <c r="R35" s="1309" t="s">
        <v>5</v>
      </c>
      <c r="S35" s="1310">
        <f t="shared" si="9"/>
        <v>100</v>
      </c>
      <c r="T35" s="1309" t="s">
        <v>5</v>
      </c>
      <c r="U35" s="1310">
        <f t="shared" si="10"/>
        <v>100</v>
      </c>
      <c r="V35" s="1309" t="s">
        <v>5</v>
      </c>
      <c r="W35" s="1310">
        <f t="shared" si="11"/>
        <v>100</v>
      </c>
      <c r="X35" s="1311"/>
      <c r="Y35" s="3716"/>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16"/>
      <c r="Q36" s="1305" t="str">
        <f>B36</f>
        <v>宗地面积</v>
      </c>
      <c r="R36" s="1306" t="s">
        <v>5</v>
      </c>
      <c r="S36" s="1307">
        <f t="shared" si="9"/>
        <v>100</v>
      </c>
      <c r="T36" s="1306" t="s">
        <v>5</v>
      </c>
      <c r="U36" s="1307">
        <f t="shared" si="10"/>
        <v>100</v>
      </c>
      <c r="V36" s="1306" t="s">
        <v>5</v>
      </c>
      <c r="W36" s="1307">
        <f t="shared" si="11"/>
        <v>100</v>
      </c>
      <c r="X36" s="1301"/>
      <c r="Y36" s="3716"/>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16"/>
      <c r="Q37" s="1305" t="str">
        <f t="shared" ref="Q37:Q42" si="13">B37</f>
        <v>宗地形状</v>
      </c>
      <c r="R37" s="1306" t="s">
        <v>5</v>
      </c>
      <c r="S37" s="1307">
        <f t="shared" si="9"/>
        <v>100</v>
      </c>
      <c r="T37" s="1306" t="s">
        <v>5</v>
      </c>
      <c r="U37" s="1307">
        <f t="shared" si="10"/>
        <v>100</v>
      </c>
      <c r="V37" s="1306" t="s">
        <v>5</v>
      </c>
      <c r="W37" s="1307">
        <f t="shared" si="11"/>
        <v>100</v>
      </c>
      <c r="X37" s="1301"/>
      <c r="Y37" s="3716"/>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16"/>
      <c r="Q38" s="1305" t="str">
        <f t="shared" si="13"/>
        <v>宗地开发程度</v>
      </c>
      <c r="R38" s="1302" t="s">
        <v>5</v>
      </c>
      <c r="S38" s="1303">
        <f t="shared" si="9"/>
        <v>100</v>
      </c>
      <c r="T38" s="1302" t="s">
        <v>5</v>
      </c>
      <c r="U38" s="1303">
        <f t="shared" si="10"/>
        <v>100</v>
      </c>
      <c r="V38" s="1302" t="s">
        <v>5</v>
      </c>
      <c r="W38" s="1303">
        <f t="shared" si="11"/>
        <v>100</v>
      </c>
      <c r="X38" s="1304"/>
      <c r="Y38" s="3716"/>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16" t="s">
        <v>549</v>
      </c>
      <c r="Q39" s="1305" t="str">
        <f t="shared" si="13"/>
        <v>工程地质条件</v>
      </c>
      <c r="R39" s="1306" t="s">
        <v>5</v>
      </c>
      <c r="S39" s="1307">
        <f t="shared" si="9"/>
        <v>100</v>
      </c>
      <c r="T39" s="1306" t="s">
        <v>5</v>
      </c>
      <c r="U39" s="1307">
        <f t="shared" si="10"/>
        <v>100</v>
      </c>
      <c r="V39" s="1306" t="s">
        <v>5</v>
      </c>
      <c r="W39" s="1307">
        <f t="shared" si="11"/>
        <v>100</v>
      </c>
      <c r="X39" s="1301"/>
      <c r="Y39" s="3716"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16"/>
      <c r="Q40" s="1305">
        <f t="shared" si="13"/>
        <v>0</v>
      </c>
      <c r="R40" s="1306" t="s">
        <v>5</v>
      </c>
      <c r="S40" s="1307">
        <f t="shared" si="9"/>
        <v>100</v>
      </c>
      <c r="T40" s="1306" t="s">
        <v>5</v>
      </c>
      <c r="U40" s="1307">
        <f t="shared" si="10"/>
        <v>100</v>
      </c>
      <c r="V40" s="1306" t="s">
        <v>5</v>
      </c>
      <c r="W40" s="1307">
        <f t="shared" si="11"/>
        <v>100</v>
      </c>
      <c r="X40" s="1301"/>
      <c r="Y40" s="3716"/>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16"/>
      <c r="Q41" s="1305">
        <f t="shared" si="13"/>
        <v>0</v>
      </c>
      <c r="R41" s="1306" t="s">
        <v>5</v>
      </c>
      <c r="S41" s="1307">
        <f t="shared" si="9"/>
        <v>100</v>
      </c>
      <c r="T41" s="1306" t="s">
        <v>5</v>
      </c>
      <c r="U41" s="1307">
        <f t="shared" si="10"/>
        <v>100</v>
      </c>
      <c r="V41" s="1306" t="s">
        <v>5</v>
      </c>
      <c r="W41" s="1307">
        <f t="shared" si="11"/>
        <v>100</v>
      </c>
      <c r="X41" s="1301"/>
      <c r="Y41" s="3716"/>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16"/>
      <c r="Q42" s="1305">
        <f t="shared" si="13"/>
        <v>0</v>
      </c>
      <c r="R42" s="1309" t="s">
        <v>5</v>
      </c>
      <c r="S42" s="1310">
        <f t="shared" si="9"/>
        <v>100</v>
      </c>
      <c r="T42" s="1309" t="s">
        <v>5</v>
      </c>
      <c r="U42" s="1310">
        <f t="shared" si="10"/>
        <v>100</v>
      </c>
      <c r="V42" s="1309" t="s">
        <v>5</v>
      </c>
      <c r="W42" s="1310">
        <f t="shared" si="11"/>
        <v>100</v>
      </c>
      <c r="X42" s="1311"/>
      <c r="Y42" s="3716"/>
      <c r="Z42" s="1312">
        <f t="shared" si="12"/>
        <v>0</v>
      </c>
      <c r="AA42" s="1308">
        <f t="shared" si="3"/>
        <v>1</v>
      </c>
      <c r="AB42" s="1308">
        <f t="shared" si="4"/>
        <v>1</v>
      </c>
      <c r="AC42" s="1308">
        <f t="shared" si="5"/>
        <v>1</v>
      </c>
    </row>
    <row r="43" spans="1:29" ht="15">
      <c r="A43" s="556" t="s">
        <v>505</v>
      </c>
      <c r="B43" s="557" t="s">
        <v>3280</v>
      </c>
      <c r="C43" s="558" t="s">
        <v>0</v>
      </c>
      <c r="D43" s="559"/>
      <c r="E43" s="560">
        <f>'通兴房顺昌门出让-工业'!BJ13</f>
        <v>8254</v>
      </c>
      <c r="F43" s="561"/>
      <c r="G43" s="562">
        <f>'通兴房顺昌门出让-工业'!BJ14</f>
        <v>8383</v>
      </c>
      <c r="H43" s="563"/>
      <c r="I43" s="560">
        <f>'通兴房顺昌门出让-工业'!BJ17</f>
        <v>8290</v>
      </c>
      <c r="J43" s="563"/>
      <c r="K43" s="1133"/>
      <c r="L43" s="1750"/>
      <c r="M43" s="1741"/>
      <c r="N43" s="1741"/>
      <c r="O43" s="1741"/>
      <c r="P43" s="3711" t="str">
        <f>A43</f>
        <v>成交单价</v>
      </c>
      <c r="Q43" s="3711"/>
      <c r="R43" s="3727">
        <f>E43</f>
        <v>8254</v>
      </c>
      <c r="S43" s="3727"/>
      <c r="T43" s="3727">
        <f>G43</f>
        <v>8383</v>
      </c>
      <c r="U43" s="3727"/>
      <c r="V43" s="3727">
        <f>I43</f>
        <v>8290</v>
      </c>
      <c r="W43" s="3727"/>
      <c r="X43" s="797"/>
      <c r="Y43" s="1313"/>
      <c r="Z43" s="797"/>
      <c r="AA43" s="797"/>
      <c r="AB43" s="797"/>
      <c r="AC43" s="797"/>
    </row>
    <row r="44" spans="1:29" ht="15.75" thickBot="1">
      <c r="A44" s="564" t="s">
        <v>1972</v>
      </c>
      <c r="B44" s="565"/>
      <c r="C44" s="566">
        <f>R45</f>
        <v>4155</v>
      </c>
      <c r="D44" s="2549" t="s">
        <v>2255</v>
      </c>
      <c r="E44" s="566">
        <f>R44</f>
        <v>4127</v>
      </c>
      <c r="F44" s="2550"/>
      <c r="G44" s="567">
        <f>T44</f>
        <v>4192</v>
      </c>
      <c r="H44" s="2550"/>
      <c r="I44" s="566">
        <f>V44</f>
        <v>4145</v>
      </c>
      <c r="J44" s="2550"/>
      <c r="K44" s="2551">
        <f>F44+H44+J44</f>
        <v>0</v>
      </c>
      <c r="L44" s="1750"/>
      <c r="M44" s="1741"/>
      <c r="N44" s="1741"/>
      <c r="O44" s="1741"/>
      <c r="P44" s="3711" t="str">
        <f>A44</f>
        <v>比较价格（元/平方米）</v>
      </c>
      <c r="Q44" s="3711"/>
      <c r="R44" s="3735">
        <f>ROUND(PRODUCT(R43,AA9:AA42),0)</f>
        <v>4127</v>
      </c>
      <c r="S44" s="3735"/>
      <c r="T44" s="3735">
        <f>ROUND(PRODUCT(T43,AB9:AB42),0)</f>
        <v>4192</v>
      </c>
      <c r="U44" s="3735"/>
      <c r="V44" s="3735">
        <f>ROUND(PRODUCT(V43,AC9:AC42),0)</f>
        <v>4145</v>
      </c>
      <c r="W44" s="3735"/>
      <c r="X44" s="797"/>
      <c r="Y44" s="797"/>
      <c r="Z44" s="797"/>
      <c r="AA44" s="797"/>
      <c r="AB44" s="797"/>
      <c r="AC44" s="797"/>
    </row>
    <row r="45" spans="1:29" ht="15.75" thickBot="1">
      <c r="A45" s="568" t="s">
        <v>2192</v>
      </c>
      <c r="B45" s="569"/>
      <c r="C45" s="570">
        <f>R45</f>
        <v>4155</v>
      </c>
      <c r="D45" s="570"/>
      <c r="E45" s="570"/>
      <c r="F45" s="570"/>
      <c r="G45" s="570"/>
      <c r="H45" s="570"/>
      <c r="I45" s="570"/>
      <c r="J45" s="570"/>
      <c r="K45" s="1134"/>
      <c r="L45" s="1750"/>
      <c r="M45" s="1741"/>
      <c r="N45" s="1741"/>
      <c r="O45" s="1741"/>
      <c r="P45" s="3717" t="str">
        <f>A45</f>
        <v>估价对象XX用房的比较价格（楼面单价，元/平方米）</v>
      </c>
      <c r="Q45" s="3718"/>
      <c r="R45" s="3755">
        <f>ROUND(IF(D44="简单平均",AVERAGE(R44:W44),R44*F44+T44*H44+V44*J44),0)</f>
        <v>4155</v>
      </c>
      <c r="S45" s="3755"/>
      <c r="T45" s="3755"/>
      <c r="U45" s="3755"/>
      <c r="V45" s="3755"/>
      <c r="W45" s="3755"/>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1</v>
      </c>
      <c r="F48" s="574" t="str">
        <f>IF(OR(E48&gt;=0.3,E48&lt;=-0.3),"超过30%","")</f>
        <v>超过30%</v>
      </c>
      <c r="G48" s="573">
        <f>IF(G43&lt;G44,G44/G43-1,G43/G44-1)</f>
        <v>0.99976145038167941</v>
      </c>
      <c r="H48" s="574" t="str">
        <f>IF(OR(G48&gt;=0.3,G48&lt;=-0.3),"超过30%","")</f>
        <v>超过30%</v>
      </c>
      <c r="I48" s="573">
        <f>IF(I43&lt;I44,I44/I43-1,I43/I44-1)</f>
        <v>1</v>
      </c>
      <c r="J48" s="574" t="str">
        <f>IF(OR(I48&gt;=0.3,I48&lt;=-0.3),"超过30%","")</f>
        <v>超过30%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1.5749939423309822E-2</v>
      </c>
      <c r="F49" s="574" t="str">
        <f>IF(OR(E49&gt;=0.2,E49&lt;=-0.2),"超过20%","")</f>
        <v/>
      </c>
      <c r="G49" s="573">
        <f>IF(G44&lt;I44,I44/G44-1,G44/I44-1)</f>
        <v>1.1338962605548897E-2</v>
      </c>
      <c r="H49" s="574" t="str">
        <f>IF(OR(G49&gt;=0.2,G49&lt;=-0.2),"超过20%","")</f>
        <v/>
      </c>
      <c r="I49" s="573">
        <f>IF(I44&lt;E44,E44/I44-1,I44/E44-1)</f>
        <v>4.3615216864549833E-3</v>
      </c>
      <c r="J49" s="574" t="str">
        <f>IF(OR(I49&gt;=0.2,I49&lt;=-0.2),"超过20%","")</f>
        <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1.562878604313056E-2</v>
      </c>
      <c r="F50" s="574" t="str">
        <f>IF(OR(E50&gt;=0.3,E50&lt;=-0.3),"超过30%","")</f>
        <v/>
      </c>
      <c r="G50" s="573">
        <f>IF(G43&lt;I43,I43/G43-1,G43/I43-1)</f>
        <v>1.12183353437878E-2</v>
      </c>
      <c r="H50" s="574" t="str">
        <f>IF(OR(G50&gt;=0.3,G50&lt;=-0.3),"超过30%","")</f>
        <v/>
      </c>
      <c r="I50" s="573">
        <f>IF(I43&lt;E43,E43/I43-1,I43/E43-1)</f>
        <v>4.3615216864549833E-3</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1" t="s">
        <v>1640</v>
      </c>
      <c r="H52" s="3752"/>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4155</v>
      </c>
      <c r="C53" s="582">
        <v>1</v>
      </c>
      <c r="D53" s="1821">
        <v>1</v>
      </c>
      <c r="E53" s="582">
        <f>'数据-汇总表'!E8+'数据-汇总表'!E9</f>
        <v>1</v>
      </c>
      <c r="F53" s="1608">
        <f t="shared" ref="F53:F61" si="14">ROUND(B53*E53/10000,0)</f>
        <v>0</v>
      </c>
      <c r="G53" s="3753"/>
      <c r="H53" s="3754"/>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9316.8700000000008</v>
      </c>
      <c r="F62" s="591">
        <f>IF(B43="楼面地价",SUM(F53:F61),ROUND(C45*E62/10000,0))</f>
        <v>3871</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f>项目基本情况!B13</f>
        <v>0</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57"/>
  <sheetViews>
    <sheetView view="pageBreakPreview" zoomScaleNormal="100" zoomScaleSheetLayoutView="100" workbookViewId="0">
      <pane xSplit="1" ySplit="1" topLeftCell="BB2" activePane="bottomRight" state="frozen"/>
      <selection pane="topRight" activeCell="B1" sqref="B1"/>
      <selection pane="bottomLeft" activeCell="A2" sqref="A2"/>
      <selection pane="bottomRight" activeCell="AC32" sqref="AC32"/>
    </sheetView>
  </sheetViews>
  <sheetFormatPr defaultColWidth="9" defaultRowHeight="15"/>
  <cols>
    <col min="1" max="1" width="38.5" style="3405" customWidth="1"/>
    <col min="2" max="2" width="9" style="3405" hidden="1" customWidth="1"/>
    <col min="3" max="3" width="11.625" style="3405" customWidth="1"/>
    <col min="4" max="4" width="6.5" style="3405" hidden="1" customWidth="1"/>
    <col min="5" max="5" width="7.875" style="3405" hidden="1" customWidth="1"/>
    <col min="6" max="6" width="11" style="3405" hidden="1" customWidth="1"/>
    <col min="7" max="7" width="9" style="3405" hidden="1" customWidth="1"/>
    <col min="8" max="8" width="11.625" style="3405" hidden="1" customWidth="1"/>
    <col min="9" max="9" width="15.125" style="3405" customWidth="1"/>
    <col min="10" max="10" width="15.125" style="3405" hidden="1" customWidth="1"/>
    <col min="11" max="11" width="13" style="3405" customWidth="1"/>
    <col min="12" max="12" width="6.125" style="3405" hidden="1" customWidth="1"/>
    <col min="13" max="13" width="16.625" style="3405" customWidth="1"/>
    <col min="14" max="15" width="9" style="3405" hidden="1" customWidth="1"/>
    <col min="16" max="16" width="9.125" style="3405" hidden="1" customWidth="1"/>
    <col min="17" max="21" width="9" style="3405" hidden="1" customWidth="1"/>
    <col min="22" max="25" width="9.125" style="3405" hidden="1" customWidth="1"/>
    <col min="26" max="27" width="11.125" style="3405" hidden="1" customWidth="1"/>
    <col min="28" max="28" width="9.125" style="3405" hidden="1" customWidth="1"/>
    <col min="29" max="29" width="11.625" style="3405" customWidth="1"/>
    <col min="30" max="30" width="29.375" style="3405" hidden="1" customWidth="1"/>
    <col min="31" max="31" width="9" style="3405" hidden="1" customWidth="1"/>
    <col min="32" max="32" width="35.125" style="3405" hidden="1" customWidth="1"/>
    <col min="33" max="34" width="9" style="3405" hidden="1" customWidth="1"/>
    <col min="35" max="37" width="15.625" style="3405" hidden="1" customWidth="1"/>
    <col min="38" max="38" width="12" style="3405" customWidth="1"/>
    <col min="39" max="44" width="15.625" style="3405" hidden="1" customWidth="1"/>
    <col min="45" max="45" width="9.5" style="3405" hidden="1" customWidth="1"/>
    <col min="46" max="46" width="11.5" style="3405" customWidth="1"/>
    <col min="47" max="52" width="15.625" style="3405" hidden="1" customWidth="1"/>
    <col min="53" max="53" width="3.625" style="3405" customWidth="1"/>
    <col min="54" max="54" width="12" style="3405" customWidth="1"/>
    <col min="55" max="55" width="16.125" style="3407" customWidth="1"/>
    <col min="56" max="56" width="21" style="3407" customWidth="1"/>
    <col min="57" max="57" width="8" style="3407" customWidth="1"/>
    <col min="58" max="58" width="13.5" style="3409" customWidth="1"/>
    <col min="59" max="59" width="14" style="3409" customWidth="1"/>
    <col min="60" max="60" width="3.125" style="3405" customWidth="1"/>
    <col min="61" max="61" width="9" style="3410"/>
    <col min="62" max="62" width="15.375" style="3410" customWidth="1"/>
    <col min="63" max="63" width="2.5" style="3405" customWidth="1"/>
    <col min="64" max="64" width="20.875" style="3411" customWidth="1"/>
    <col min="65" max="65" width="2.5" style="3405" customWidth="1"/>
    <col min="66" max="16384" width="9" style="3405"/>
  </cols>
  <sheetData>
    <row r="1" spans="1:64" s="3399" customFormat="1" ht="15.75" thickBot="1">
      <c r="A1" s="3399" t="s">
        <v>3281</v>
      </c>
      <c r="B1" s="3399" t="s">
        <v>3282</v>
      </c>
      <c r="C1" s="3399" t="s">
        <v>3283</v>
      </c>
      <c r="D1" s="3399" t="s">
        <v>3284</v>
      </c>
      <c r="E1" s="3399" t="s">
        <v>3285</v>
      </c>
      <c r="F1" s="3399" t="s">
        <v>3286</v>
      </c>
      <c r="G1" s="3399" t="s">
        <v>3287</v>
      </c>
      <c r="H1" s="3399" t="s">
        <v>3288</v>
      </c>
      <c r="I1" s="3399" t="s">
        <v>3289</v>
      </c>
      <c r="J1" s="3399" t="s">
        <v>3290</v>
      </c>
      <c r="K1" s="3399" t="s">
        <v>3764</v>
      </c>
      <c r="L1" s="3399" t="s">
        <v>3291</v>
      </c>
      <c r="M1" s="3399" t="s">
        <v>3292</v>
      </c>
      <c r="N1" s="3399" t="s">
        <v>3293</v>
      </c>
      <c r="O1" s="3399" t="s">
        <v>3294</v>
      </c>
      <c r="P1" s="3399" t="s">
        <v>3295</v>
      </c>
      <c r="Q1" s="3399" t="s">
        <v>3296</v>
      </c>
      <c r="R1" s="3399" t="s">
        <v>3297</v>
      </c>
      <c r="S1" s="3399" t="s">
        <v>3298</v>
      </c>
      <c r="T1" s="3399" t="s">
        <v>3299</v>
      </c>
      <c r="U1" s="3399" t="s">
        <v>3300</v>
      </c>
      <c r="V1" s="3399" t="s">
        <v>3301</v>
      </c>
      <c r="W1" s="3399" t="s">
        <v>3302</v>
      </c>
      <c r="X1" s="3399" t="s">
        <v>3303</v>
      </c>
      <c r="Y1" s="3399" t="s">
        <v>3304</v>
      </c>
      <c r="Z1" s="3399" t="s">
        <v>3305</v>
      </c>
      <c r="AA1" s="3399" t="s">
        <v>3306</v>
      </c>
      <c r="AB1" s="3399" t="s">
        <v>3307</v>
      </c>
      <c r="AC1" s="3399" t="s">
        <v>3308</v>
      </c>
      <c r="AD1" s="3399" t="s">
        <v>3309</v>
      </c>
      <c r="AE1" s="3399" t="s">
        <v>3310</v>
      </c>
      <c r="AF1" s="3399" t="s">
        <v>3311</v>
      </c>
      <c r="AG1" s="3399" t="s">
        <v>3312</v>
      </c>
      <c r="AH1" s="3399" t="s">
        <v>3313</v>
      </c>
      <c r="AI1" s="3399" t="s">
        <v>3314</v>
      </c>
      <c r="AJ1" s="3399" t="s">
        <v>3315</v>
      </c>
      <c r="AK1" s="3399" t="s">
        <v>3316</v>
      </c>
      <c r="AL1" s="3399" t="s">
        <v>3317</v>
      </c>
      <c r="AM1" s="3399" t="s">
        <v>3318</v>
      </c>
      <c r="AN1" s="3399" t="s">
        <v>3319</v>
      </c>
      <c r="AO1" s="3399" t="s">
        <v>3320</v>
      </c>
      <c r="AP1" s="3399" t="s">
        <v>3321</v>
      </c>
      <c r="AQ1" s="3399" t="s">
        <v>3322</v>
      </c>
      <c r="AR1" s="3399" t="s">
        <v>3323</v>
      </c>
      <c r="AS1" s="3399" t="s">
        <v>3324</v>
      </c>
      <c r="AT1" s="3399" t="s">
        <v>3325</v>
      </c>
      <c r="AU1" s="3399" t="s">
        <v>3326</v>
      </c>
      <c r="AV1" s="3399" t="s">
        <v>3327</v>
      </c>
      <c r="AW1" s="3399" t="s">
        <v>3328</v>
      </c>
      <c r="AX1" s="3399" t="s">
        <v>3329</v>
      </c>
      <c r="AY1" s="3399" t="s">
        <v>3330</v>
      </c>
      <c r="AZ1" s="3399" t="s">
        <v>3331</v>
      </c>
      <c r="BA1" s="3399">
        <f>COUNT(AL2:AL57)</f>
        <v>56</v>
      </c>
      <c r="BB1" s="3399" t="s">
        <v>3765</v>
      </c>
      <c r="BC1" s="3400" t="s">
        <v>3766</v>
      </c>
      <c r="BD1" s="3401" t="s">
        <v>3767</v>
      </c>
      <c r="BE1" s="3401">
        <v>0.7</v>
      </c>
      <c r="BF1" s="3402" t="s">
        <v>3768</v>
      </c>
      <c r="BG1" s="3402" t="s">
        <v>3769</v>
      </c>
      <c r="BH1" s="3399">
        <f>COUNT(BF2:BF57)</f>
        <v>39</v>
      </c>
      <c r="BI1" s="3403" t="s">
        <v>3770</v>
      </c>
      <c r="BJ1" s="3403" t="s">
        <v>3771</v>
      </c>
      <c r="BL1" s="3404" t="s">
        <v>3772</v>
      </c>
    </row>
    <row r="2" spans="1:64">
      <c r="A2" s="3405" t="s">
        <v>3332</v>
      </c>
      <c r="B2" s="3405" t="s">
        <v>1465</v>
      </c>
      <c r="C2" s="3405" t="s">
        <v>3333</v>
      </c>
      <c r="D2" s="3405" t="s">
        <v>3334</v>
      </c>
      <c r="E2" s="3405" t="s">
        <v>3335</v>
      </c>
      <c r="F2" s="3405" t="s">
        <v>3336</v>
      </c>
      <c r="G2" s="3405" t="s">
        <v>3337</v>
      </c>
      <c r="H2" s="3405" t="s">
        <v>3338</v>
      </c>
      <c r="I2" s="3405">
        <v>45949.97</v>
      </c>
      <c r="J2" s="3405">
        <v>82709.95</v>
      </c>
      <c r="K2" s="3405">
        <v>1.8</v>
      </c>
      <c r="L2" s="3405" t="s">
        <v>3339</v>
      </c>
      <c r="M2" s="3405" t="s">
        <v>3340</v>
      </c>
      <c r="N2" s="3405" t="s">
        <v>3341</v>
      </c>
      <c r="O2" s="3405" t="s">
        <v>3342</v>
      </c>
      <c r="P2" s="3405">
        <v>0.4</v>
      </c>
      <c r="Q2" s="3405" t="s">
        <v>3343</v>
      </c>
      <c r="R2" s="3405" t="s">
        <v>3344</v>
      </c>
      <c r="S2" s="3405" t="s">
        <v>3344</v>
      </c>
      <c r="T2" s="3405" t="s">
        <v>3344</v>
      </c>
      <c r="U2" s="3405" t="s">
        <v>3344</v>
      </c>
      <c r="V2" s="3405" t="s">
        <v>3344</v>
      </c>
      <c r="W2" s="3405" t="s">
        <v>3344</v>
      </c>
      <c r="X2" s="3405">
        <v>0</v>
      </c>
      <c r="Y2" s="3405">
        <v>0</v>
      </c>
      <c r="Z2" s="3406">
        <v>44442.0004976852</v>
      </c>
      <c r="AA2" s="3406">
        <v>44462.0004976852</v>
      </c>
      <c r="AB2" s="3406">
        <v>44481.0004976852</v>
      </c>
      <c r="AC2" s="3406">
        <v>44481.0004976852</v>
      </c>
      <c r="AD2" s="3405" t="s">
        <v>3345</v>
      </c>
      <c r="AE2" s="3405" t="s">
        <v>3346</v>
      </c>
      <c r="AF2" s="3405" t="s">
        <v>3347</v>
      </c>
      <c r="AG2" s="3405" t="s">
        <v>3344</v>
      </c>
      <c r="AH2" s="3405" t="s">
        <v>3344</v>
      </c>
      <c r="AI2" s="3405">
        <v>11198.93</v>
      </c>
      <c r="AJ2" s="3405">
        <v>2300</v>
      </c>
      <c r="AK2" s="3405" t="s">
        <v>2092</v>
      </c>
      <c r="AL2" s="3405">
        <v>11198.93</v>
      </c>
      <c r="AM2" s="3405">
        <v>162.47999999999999</v>
      </c>
      <c r="AN2" s="3405">
        <v>162.47999999999999</v>
      </c>
      <c r="AO2" s="3405">
        <v>1354</v>
      </c>
      <c r="AP2" s="3405">
        <v>1354</v>
      </c>
      <c r="AQ2" s="3405" t="s">
        <v>3344</v>
      </c>
      <c r="AR2" s="3405" t="s">
        <v>3344</v>
      </c>
      <c r="AS2" s="3405">
        <v>0</v>
      </c>
      <c r="AT2" s="3405" t="s">
        <v>3773</v>
      </c>
      <c r="AU2" s="3405" t="s">
        <v>3342</v>
      </c>
      <c r="AV2" s="3405" t="s">
        <v>3344</v>
      </c>
      <c r="AW2" s="3405" t="s">
        <v>3342</v>
      </c>
      <c r="AX2" s="3405" t="s">
        <v>3344</v>
      </c>
      <c r="AY2" s="3405" t="s">
        <v>3344</v>
      </c>
      <c r="AZ2" s="3405" t="s">
        <v>3344</v>
      </c>
      <c r="BB2" s="3405">
        <f>ROUND(AL2*10000/I2,0)</f>
        <v>2437</v>
      </c>
      <c r="BC2" s="3407">
        <v>6720.34</v>
      </c>
      <c r="BD2" s="3408">
        <f>ROUND(BC2/I2*10000,0)</f>
        <v>1463</v>
      </c>
      <c r="BE2" s="3407">
        <f>ROUND(BD2*$BE$1,0)</f>
        <v>1024</v>
      </c>
    </row>
    <row r="3" spans="1:64">
      <c r="A3" s="3405" t="s">
        <v>3348</v>
      </c>
      <c r="B3" s="3405" t="s">
        <v>1465</v>
      </c>
      <c r="C3" s="3405" t="s">
        <v>3349</v>
      </c>
      <c r="D3" s="3405" t="s">
        <v>3334</v>
      </c>
      <c r="E3" s="3405" t="s">
        <v>3335</v>
      </c>
      <c r="F3" s="3405" t="s">
        <v>3350</v>
      </c>
      <c r="G3" s="3405" t="s">
        <v>3351</v>
      </c>
      <c r="H3" s="3405" t="s">
        <v>3338</v>
      </c>
      <c r="I3" s="3405">
        <v>17315.580000000002</v>
      </c>
      <c r="J3" s="3405">
        <v>20778.689999999999</v>
      </c>
      <c r="K3" s="3405" t="s">
        <v>3352</v>
      </c>
      <c r="L3" s="3405" t="s">
        <v>3339</v>
      </c>
      <c r="M3" s="3405" t="s">
        <v>3353</v>
      </c>
      <c r="N3" s="3405" t="s">
        <v>3341</v>
      </c>
      <c r="O3" s="3405" t="s">
        <v>3342</v>
      </c>
      <c r="P3" s="3405" t="s">
        <v>3344</v>
      </c>
      <c r="Q3" s="3405" t="s">
        <v>3354</v>
      </c>
      <c r="R3" s="3405" t="s">
        <v>3344</v>
      </c>
      <c r="S3" s="3405" t="s">
        <v>3344</v>
      </c>
      <c r="T3" s="3405" t="s">
        <v>3344</v>
      </c>
      <c r="U3" s="3405" t="s">
        <v>3344</v>
      </c>
      <c r="V3" s="3405" t="s">
        <v>3344</v>
      </c>
      <c r="W3" s="3405" t="s">
        <v>3344</v>
      </c>
      <c r="X3" s="3405">
        <v>0</v>
      </c>
      <c r="Y3" s="3405">
        <v>0</v>
      </c>
      <c r="Z3" s="3406">
        <v>44341.0004976852</v>
      </c>
      <c r="AA3" s="3406">
        <v>44362.0004976852</v>
      </c>
      <c r="AB3" s="3406">
        <v>44386.0004976852</v>
      </c>
      <c r="AC3" s="3406">
        <v>44386.0004976852</v>
      </c>
      <c r="AD3" s="3405" t="s">
        <v>3355</v>
      </c>
      <c r="AE3" s="3405" t="s">
        <v>3346</v>
      </c>
      <c r="AF3" s="3405" t="s">
        <v>3356</v>
      </c>
      <c r="AG3" s="3405" t="s">
        <v>3344</v>
      </c>
      <c r="AH3" s="3405" t="s">
        <v>3344</v>
      </c>
      <c r="AI3" s="3405">
        <v>4064.34</v>
      </c>
      <c r="AJ3" s="3405">
        <v>850</v>
      </c>
      <c r="AK3" s="3405" t="s">
        <v>2092</v>
      </c>
      <c r="AL3" s="3405">
        <v>4064.34</v>
      </c>
      <c r="AM3" s="3405">
        <v>156.47999999999999</v>
      </c>
      <c r="AN3" s="3405">
        <v>156.47999999999999</v>
      </c>
      <c r="AO3" s="3405">
        <v>1956</v>
      </c>
      <c r="AP3" s="3405">
        <v>1956</v>
      </c>
      <c r="AQ3" s="3405" t="s">
        <v>3344</v>
      </c>
      <c r="AR3" s="3405" t="s">
        <v>3344</v>
      </c>
      <c r="AS3" s="3405">
        <v>0</v>
      </c>
      <c r="AT3" s="3405" t="s">
        <v>3357</v>
      </c>
      <c r="AU3" s="3405" t="s">
        <v>3342</v>
      </c>
      <c r="AV3" s="3405" t="s">
        <v>3344</v>
      </c>
      <c r="AW3" s="3405" t="s">
        <v>3342</v>
      </c>
      <c r="AX3" s="3405" t="s">
        <v>3344</v>
      </c>
      <c r="AY3" s="3405" t="s">
        <v>3344</v>
      </c>
      <c r="AZ3" s="3405" t="s">
        <v>3344</v>
      </c>
      <c r="BB3" s="3405">
        <f t="shared" ref="BB3:BB57" si="0">ROUND(AL3*10000/I3,0)</f>
        <v>2347</v>
      </c>
      <c r="BC3" s="3407">
        <v>3378.64</v>
      </c>
      <c r="BD3" s="3408">
        <f t="shared" ref="BD3:BD57" si="1">ROUND(BC3/I3*10000,0)</f>
        <v>1951</v>
      </c>
      <c r="BE3" s="3407">
        <f t="shared" ref="BE3:BE57" si="2">ROUND(BD3*$BE$1,0)</f>
        <v>1366</v>
      </c>
    </row>
    <row r="4" spans="1:64">
      <c r="A4" s="3405" t="s">
        <v>3358</v>
      </c>
      <c r="B4" s="3405" t="s">
        <v>1465</v>
      </c>
      <c r="C4" s="3405" t="s">
        <v>3359</v>
      </c>
      <c r="D4" s="3405" t="s">
        <v>3334</v>
      </c>
      <c r="E4" s="3405" t="s">
        <v>3335</v>
      </c>
      <c r="F4" s="3405" t="s">
        <v>3350</v>
      </c>
      <c r="G4" s="3405" t="s">
        <v>3351</v>
      </c>
      <c r="H4" s="3405" t="s">
        <v>3338</v>
      </c>
      <c r="I4" s="3405">
        <v>10677.25</v>
      </c>
      <c r="J4" s="3405">
        <v>21354.5</v>
      </c>
      <c r="K4" s="3405" t="s">
        <v>3360</v>
      </c>
      <c r="L4" s="3405" t="s">
        <v>3339</v>
      </c>
      <c r="M4" s="3405" t="s">
        <v>3353</v>
      </c>
      <c r="N4" s="3405" t="s">
        <v>3341</v>
      </c>
      <c r="O4" s="3405" t="s">
        <v>3342</v>
      </c>
      <c r="P4" s="3405" t="s">
        <v>3344</v>
      </c>
      <c r="Q4" s="3405" t="s">
        <v>3343</v>
      </c>
      <c r="R4" s="3405" t="s">
        <v>3344</v>
      </c>
      <c r="S4" s="3405" t="s">
        <v>3344</v>
      </c>
      <c r="T4" s="3405" t="s">
        <v>3344</v>
      </c>
      <c r="U4" s="3405" t="s">
        <v>3344</v>
      </c>
      <c r="V4" s="3405">
        <v>0</v>
      </c>
      <c r="W4" s="3405">
        <v>0</v>
      </c>
      <c r="X4" s="3405">
        <v>0</v>
      </c>
      <c r="Y4" s="3405">
        <v>0</v>
      </c>
      <c r="Z4" s="3406">
        <v>44341.0004976852</v>
      </c>
      <c r="AA4" s="3406">
        <v>44372.0004976852</v>
      </c>
      <c r="AB4" s="3406">
        <v>44386.0004976852</v>
      </c>
      <c r="AC4" s="3406">
        <v>44386.0004976852</v>
      </c>
      <c r="AD4" s="3405" t="s">
        <v>3361</v>
      </c>
      <c r="AE4" s="3405" t="s">
        <v>3346</v>
      </c>
      <c r="AF4" s="3405" t="s">
        <v>3356</v>
      </c>
      <c r="AG4" s="3405" t="s">
        <v>3344</v>
      </c>
      <c r="AH4" s="3405" t="s">
        <v>3344</v>
      </c>
      <c r="AI4" s="3405">
        <v>4133.82</v>
      </c>
      <c r="AJ4" s="3405">
        <v>850</v>
      </c>
      <c r="AK4" s="3405" t="s">
        <v>2092</v>
      </c>
      <c r="AL4" s="3405">
        <v>4133.82</v>
      </c>
      <c r="AM4" s="3405">
        <v>258.11</v>
      </c>
      <c r="AN4" s="3405">
        <v>258.11</v>
      </c>
      <c r="AO4" s="3405">
        <v>1936</v>
      </c>
      <c r="AP4" s="3405">
        <v>1936</v>
      </c>
      <c r="AQ4" s="3405" t="s">
        <v>3344</v>
      </c>
      <c r="AR4" s="3405" t="s">
        <v>3344</v>
      </c>
      <c r="AS4" s="3405">
        <v>0</v>
      </c>
      <c r="AT4" s="3405" t="s">
        <v>3357</v>
      </c>
      <c r="AU4" s="3405" t="s">
        <v>3342</v>
      </c>
      <c r="AV4" s="3405" t="s">
        <v>3344</v>
      </c>
      <c r="AW4" s="3405" t="s">
        <v>3342</v>
      </c>
      <c r="AX4" s="3405" t="s">
        <v>3344</v>
      </c>
      <c r="AY4" s="3405" t="s">
        <v>3344</v>
      </c>
      <c r="AZ4" s="3405" t="s">
        <v>3344</v>
      </c>
      <c r="BB4" s="3405">
        <f t="shared" si="0"/>
        <v>3872</v>
      </c>
      <c r="BC4" s="3504">
        <v>3476.1</v>
      </c>
      <c r="BD4" s="3408">
        <f t="shared" si="1"/>
        <v>3256</v>
      </c>
      <c r="BE4" s="3407">
        <f t="shared" si="2"/>
        <v>2279</v>
      </c>
      <c r="BF4" s="3409">
        <f t="shared" ref="BF4" si="3">ROUND((AL4-BC4)/AL4,4)</f>
        <v>0.15909999999999999</v>
      </c>
      <c r="BG4" s="3409">
        <f>ROUND(BF4/'[5]剩余（增值收益扣减）法'!$C$31,4)</f>
        <v>0.39779999999999999</v>
      </c>
    </row>
    <row r="5" spans="1:64">
      <c r="A5" s="3405" t="s">
        <v>3362</v>
      </c>
      <c r="B5" s="3405" t="s">
        <v>1465</v>
      </c>
      <c r="C5" s="3405" t="s">
        <v>3363</v>
      </c>
      <c r="D5" s="3405" t="s">
        <v>3334</v>
      </c>
      <c r="E5" s="3405" t="s">
        <v>3335</v>
      </c>
      <c r="F5" s="3405" t="s">
        <v>3350</v>
      </c>
      <c r="G5" s="3405" t="s">
        <v>3351</v>
      </c>
      <c r="H5" s="3405" t="s">
        <v>3338</v>
      </c>
      <c r="I5" s="3405">
        <v>20326.22</v>
      </c>
      <c r="J5" s="3405">
        <v>24391.47</v>
      </c>
      <c r="K5" s="3405" t="s">
        <v>3352</v>
      </c>
      <c r="L5" s="3405" t="s">
        <v>3339</v>
      </c>
      <c r="M5" s="3405" t="s">
        <v>3353</v>
      </c>
      <c r="N5" s="3405" t="s">
        <v>3341</v>
      </c>
      <c r="O5" s="3405" t="s">
        <v>3342</v>
      </c>
      <c r="P5" s="3405" t="s">
        <v>3344</v>
      </c>
      <c r="Q5" s="3405" t="s">
        <v>3364</v>
      </c>
      <c r="R5" s="3405" t="s">
        <v>3344</v>
      </c>
      <c r="S5" s="3405" t="s">
        <v>3344</v>
      </c>
      <c r="T5" s="3405" t="s">
        <v>3344</v>
      </c>
      <c r="U5" s="3405" t="s">
        <v>3344</v>
      </c>
      <c r="V5" s="3405" t="s">
        <v>3344</v>
      </c>
      <c r="W5" s="3405" t="s">
        <v>3344</v>
      </c>
      <c r="X5" s="3405">
        <v>0</v>
      </c>
      <c r="Y5" s="3405">
        <v>0</v>
      </c>
      <c r="Z5" s="3406">
        <v>44341.0004976852</v>
      </c>
      <c r="AA5" s="3406">
        <v>44362.0004976852</v>
      </c>
      <c r="AB5" s="3406">
        <v>44376.0004976852</v>
      </c>
      <c r="AC5" s="3406">
        <v>44376.0004976852</v>
      </c>
      <c r="AD5" s="3405" t="s">
        <v>3365</v>
      </c>
      <c r="AE5" s="3405" t="s">
        <v>3346</v>
      </c>
      <c r="AF5" s="3405" t="s">
        <v>3366</v>
      </c>
      <c r="AG5" s="3405" t="s">
        <v>3344</v>
      </c>
      <c r="AH5" s="3405" t="s">
        <v>3344</v>
      </c>
      <c r="AI5" s="3405">
        <v>4768.32</v>
      </c>
      <c r="AJ5" s="3405">
        <v>1000</v>
      </c>
      <c r="AK5" s="3405" t="s">
        <v>2092</v>
      </c>
      <c r="AL5" s="3405">
        <v>4768.32</v>
      </c>
      <c r="AM5" s="3405">
        <v>156.38999999999999</v>
      </c>
      <c r="AN5" s="3405">
        <v>156.38999999999999</v>
      </c>
      <c r="AO5" s="3405">
        <v>1955</v>
      </c>
      <c r="AP5" s="3405">
        <v>1955</v>
      </c>
      <c r="AQ5" s="3405" t="s">
        <v>3344</v>
      </c>
      <c r="AR5" s="3405" t="s">
        <v>3344</v>
      </c>
      <c r="AS5" s="3405">
        <v>0</v>
      </c>
      <c r="AT5" s="3405" t="s">
        <v>3773</v>
      </c>
      <c r="AU5" s="3405" t="s">
        <v>3342</v>
      </c>
      <c r="AV5" s="3405" t="s">
        <v>3344</v>
      </c>
      <c r="AW5" s="3405" t="s">
        <v>3342</v>
      </c>
      <c r="AX5" s="3405" t="s">
        <v>3344</v>
      </c>
      <c r="AY5" s="3405" t="s">
        <v>3344</v>
      </c>
      <c r="AZ5" s="3405" t="s">
        <v>3344</v>
      </c>
      <c r="BB5" s="3405">
        <f t="shared" si="0"/>
        <v>2346</v>
      </c>
      <c r="BC5" s="3504">
        <v>3963.4</v>
      </c>
      <c r="BD5" s="3408">
        <f t="shared" si="1"/>
        <v>1950</v>
      </c>
      <c r="BE5" s="3407">
        <f t="shared" si="2"/>
        <v>1365</v>
      </c>
    </row>
    <row r="6" spans="1:64" s="3412" customFormat="1" ht="15.75" thickBot="1">
      <c r="A6" s="3412" t="s">
        <v>3367</v>
      </c>
      <c r="B6" s="3412" t="s">
        <v>1465</v>
      </c>
      <c r="C6" s="3412" t="s">
        <v>3368</v>
      </c>
      <c r="D6" s="3412" t="s">
        <v>3334</v>
      </c>
      <c r="E6" s="3412" t="s">
        <v>3335</v>
      </c>
      <c r="F6" s="3412" t="s">
        <v>3344</v>
      </c>
      <c r="G6" s="3412" t="s">
        <v>3369</v>
      </c>
      <c r="H6" s="3412" t="s">
        <v>3338</v>
      </c>
      <c r="I6" s="3412">
        <v>106100</v>
      </c>
      <c r="J6" s="3412">
        <v>127300</v>
      </c>
      <c r="K6" s="3412" t="s">
        <v>3370</v>
      </c>
      <c r="L6" s="3412" t="s">
        <v>3339</v>
      </c>
      <c r="M6" s="3412" t="s">
        <v>3371</v>
      </c>
      <c r="N6" s="3412" t="s">
        <v>3341</v>
      </c>
      <c r="O6" s="3412" t="s">
        <v>3342</v>
      </c>
      <c r="P6" s="3412" t="s">
        <v>3344</v>
      </c>
      <c r="Q6" s="3412" t="s">
        <v>3354</v>
      </c>
      <c r="R6" s="3412" t="s">
        <v>3344</v>
      </c>
      <c r="S6" s="3412" t="s">
        <v>3344</v>
      </c>
      <c r="T6" s="3412" t="s">
        <v>3344</v>
      </c>
      <c r="U6" s="3412" t="s">
        <v>3344</v>
      </c>
      <c r="V6" s="3412">
        <v>0</v>
      </c>
      <c r="W6" s="3412">
        <v>0</v>
      </c>
      <c r="X6" s="3412">
        <v>0</v>
      </c>
      <c r="Y6" s="3412">
        <v>0</v>
      </c>
      <c r="Z6" s="3413">
        <v>44169.0004976852</v>
      </c>
      <c r="AA6" s="3413">
        <v>44189.0004976852</v>
      </c>
      <c r="AB6" s="3413">
        <v>44204.0004976852</v>
      </c>
      <c r="AC6" s="3413">
        <v>44204.0004976852</v>
      </c>
      <c r="AD6" s="3412" t="s">
        <v>3372</v>
      </c>
      <c r="AE6" s="3412" t="s">
        <v>3346</v>
      </c>
      <c r="AF6" s="3412" t="s">
        <v>3373</v>
      </c>
      <c r="AG6" s="3412" t="s">
        <v>3344</v>
      </c>
      <c r="AH6" s="3412" t="s">
        <v>3344</v>
      </c>
      <c r="AI6" s="3412">
        <v>9472.42</v>
      </c>
      <c r="AJ6" s="3412">
        <v>1900</v>
      </c>
      <c r="AK6" s="3412" t="s">
        <v>2092</v>
      </c>
      <c r="AL6" s="3412">
        <v>9472.42</v>
      </c>
      <c r="AM6" s="3412">
        <v>59.52</v>
      </c>
      <c r="AN6" s="3412">
        <v>59.52</v>
      </c>
      <c r="AO6" s="3412">
        <v>744</v>
      </c>
      <c r="AP6" s="3412">
        <v>744</v>
      </c>
      <c r="AQ6" s="3412" t="s">
        <v>3344</v>
      </c>
      <c r="AR6" s="3412" t="s">
        <v>3344</v>
      </c>
      <c r="AS6" s="3412">
        <v>0</v>
      </c>
      <c r="AT6" s="3412" t="s">
        <v>3773</v>
      </c>
      <c r="AU6" s="3412" t="s">
        <v>3342</v>
      </c>
      <c r="AV6" s="3412" t="s">
        <v>3344</v>
      </c>
      <c r="AW6" s="3412" t="s">
        <v>3342</v>
      </c>
      <c r="AX6" s="3412" t="s">
        <v>3344</v>
      </c>
      <c r="AY6" s="3412" t="s">
        <v>3344</v>
      </c>
      <c r="AZ6" s="3412" t="s">
        <v>3344</v>
      </c>
      <c r="BB6" s="3412">
        <f t="shared" si="0"/>
        <v>893</v>
      </c>
      <c r="BC6" s="3505">
        <v>8275.7999999999993</v>
      </c>
      <c r="BD6" s="3415">
        <f t="shared" si="1"/>
        <v>780</v>
      </c>
      <c r="BE6" s="3414">
        <f t="shared" si="2"/>
        <v>546</v>
      </c>
      <c r="BF6" s="3416">
        <f t="shared" ref="BF6:BF47" si="4">ROUND((AL6-BC6)/AL6,4)</f>
        <v>0.1263</v>
      </c>
      <c r="BG6" s="3416">
        <f>ROUND(BF6/'[5]剩余（增值收益扣减）法'!$C$31,4)</f>
        <v>0.31580000000000003</v>
      </c>
      <c r="BI6" s="3417"/>
      <c r="BJ6" s="3417"/>
      <c r="BL6" s="3418"/>
    </row>
    <row r="7" spans="1:64">
      <c r="A7" s="3405" t="s">
        <v>3774</v>
      </c>
      <c r="B7" s="3405" t="s">
        <v>1465</v>
      </c>
      <c r="C7" s="3405" t="s">
        <v>3648</v>
      </c>
      <c r="D7" s="3405" t="s">
        <v>3334</v>
      </c>
      <c r="E7" s="3405" t="s">
        <v>3376</v>
      </c>
      <c r="F7" s="3405" t="s">
        <v>3377</v>
      </c>
      <c r="G7" s="3405" t="s">
        <v>3378</v>
      </c>
      <c r="H7" s="3405" t="s">
        <v>3338</v>
      </c>
      <c r="I7" s="3405">
        <v>74702.7</v>
      </c>
      <c r="J7" s="3405">
        <v>110253.98</v>
      </c>
      <c r="K7" s="3405">
        <v>1.48</v>
      </c>
      <c r="L7" s="3405" t="s">
        <v>3339</v>
      </c>
      <c r="M7" s="3405" t="s">
        <v>3649</v>
      </c>
      <c r="N7" s="3405" t="s">
        <v>3341</v>
      </c>
      <c r="O7" s="3405" t="s">
        <v>3342</v>
      </c>
      <c r="P7" s="3405" t="s">
        <v>3344</v>
      </c>
      <c r="Q7" s="3405" t="s">
        <v>3344</v>
      </c>
      <c r="R7" s="3405" t="s">
        <v>3344</v>
      </c>
      <c r="S7" s="3405" t="s">
        <v>3344</v>
      </c>
      <c r="T7" s="3405" t="s">
        <v>3344</v>
      </c>
      <c r="U7" s="3405" t="s">
        <v>3344</v>
      </c>
      <c r="V7" s="3405" t="s">
        <v>3344</v>
      </c>
      <c r="W7" s="3405" t="s">
        <v>3344</v>
      </c>
      <c r="X7" s="3405">
        <v>0</v>
      </c>
      <c r="Y7" s="3405">
        <v>0</v>
      </c>
      <c r="Z7" s="3406">
        <v>45153.000497685185</v>
      </c>
      <c r="AA7" s="3406">
        <v>45173.000497685185</v>
      </c>
      <c r="AB7" s="3406">
        <v>45187.000497685185</v>
      </c>
      <c r="AC7" s="3406">
        <v>45187.000497685185</v>
      </c>
      <c r="AD7" s="3405" t="s">
        <v>3650</v>
      </c>
      <c r="AE7" s="3405" t="s">
        <v>3346</v>
      </c>
      <c r="AF7" s="3405" t="s">
        <v>3651</v>
      </c>
      <c r="AG7" s="3405" t="s">
        <v>3467</v>
      </c>
      <c r="AH7" s="3405" t="s">
        <v>3468</v>
      </c>
      <c r="AI7" s="3405">
        <v>16910.09</v>
      </c>
      <c r="AJ7" s="3405">
        <v>3400</v>
      </c>
      <c r="AK7" s="3405" t="s">
        <v>3652</v>
      </c>
      <c r="AL7" s="3405">
        <v>16910.09</v>
      </c>
      <c r="AM7" s="3405">
        <v>150.91</v>
      </c>
      <c r="AN7" s="3405">
        <v>150.91</v>
      </c>
      <c r="AO7" s="3405">
        <v>1534</v>
      </c>
      <c r="AP7" s="3405">
        <v>1534</v>
      </c>
      <c r="AQ7" s="3405" t="s">
        <v>3344</v>
      </c>
      <c r="AR7" s="3405" t="s">
        <v>3344</v>
      </c>
      <c r="AS7" s="3405">
        <v>0</v>
      </c>
      <c r="AT7" s="3405" t="s">
        <v>3357</v>
      </c>
      <c r="AU7" s="3405" t="s">
        <v>3342</v>
      </c>
      <c r="AV7" s="3405" t="s">
        <v>3344</v>
      </c>
      <c r="AW7" s="3405" t="s">
        <v>3342</v>
      </c>
      <c r="AX7" s="3405" t="s">
        <v>3344</v>
      </c>
      <c r="AY7" s="3405" t="s">
        <v>3344</v>
      </c>
      <c r="AZ7" s="3405" t="s">
        <v>3344</v>
      </c>
      <c r="BB7" s="3405">
        <f t="shared" si="0"/>
        <v>2264</v>
      </c>
      <c r="BC7" s="3407">
        <v>16074.2</v>
      </c>
      <c r="BD7" s="3408">
        <f t="shared" si="1"/>
        <v>2152</v>
      </c>
      <c r="BE7" s="3407">
        <f t="shared" si="2"/>
        <v>1506</v>
      </c>
      <c r="BF7" s="3409">
        <f t="shared" si="4"/>
        <v>4.9399999999999999E-2</v>
      </c>
      <c r="BG7" s="3409">
        <f>ROUND(BF7/'[5]剩余（增值收益扣减）法'!$C$31,4)</f>
        <v>0.1235</v>
      </c>
    </row>
    <row r="8" spans="1:64">
      <c r="A8" s="3405" t="s">
        <v>3374</v>
      </c>
      <c r="B8" s="3405" t="s">
        <v>1465</v>
      </c>
      <c r="C8" s="3405" t="s">
        <v>3375</v>
      </c>
      <c r="D8" s="3405" t="s">
        <v>3334</v>
      </c>
      <c r="E8" s="3405" t="s">
        <v>3376</v>
      </c>
      <c r="F8" s="3405" t="s">
        <v>3377</v>
      </c>
      <c r="G8" s="3405" t="s">
        <v>3378</v>
      </c>
      <c r="H8" s="3405" t="s">
        <v>3338</v>
      </c>
      <c r="I8" s="3405">
        <v>52522.559999999998</v>
      </c>
      <c r="J8" s="3405">
        <v>78783.839999999997</v>
      </c>
      <c r="K8" s="3405">
        <v>1.5</v>
      </c>
      <c r="L8" s="3405" t="s">
        <v>3339</v>
      </c>
      <c r="M8" s="3405" t="s">
        <v>3371</v>
      </c>
      <c r="N8" s="3405" t="s">
        <v>3341</v>
      </c>
      <c r="O8" s="3405" t="s">
        <v>3342</v>
      </c>
      <c r="P8" s="3405" t="s">
        <v>3344</v>
      </c>
      <c r="Q8" s="3405" t="s">
        <v>3344</v>
      </c>
      <c r="R8" s="3405" t="s">
        <v>3344</v>
      </c>
      <c r="S8" s="3405" t="s">
        <v>3344</v>
      </c>
      <c r="T8" s="3405" t="s">
        <v>3344</v>
      </c>
      <c r="U8" s="3405" t="s">
        <v>3344</v>
      </c>
      <c r="V8" s="3405" t="s">
        <v>3344</v>
      </c>
      <c r="W8" s="3405" t="s">
        <v>3344</v>
      </c>
      <c r="X8" s="3405">
        <v>0</v>
      </c>
      <c r="Y8" s="3405">
        <v>0</v>
      </c>
      <c r="Z8" s="3406">
        <v>44995.0004976852</v>
      </c>
      <c r="AA8" s="3406">
        <v>45015.0004976852</v>
      </c>
      <c r="AB8" s="3406">
        <v>45033.0004976852</v>
      </c>
      <c r="AC8" s="3406">
        <v>45033.0004976852</v>
      </c>
      <c r="AD8" s="3405" t="s">
        <v>3379</v>
      </c>
      <c r="AE8" s="3405" t="s">
        <v>3346</v>
      </c>
      <c r="AF8" s="3405" t="s">
        <v>3380</v>
      </c>
      <c r="AG8" s="3405" t="s">
        <v>3344</v>
      </c>
      <c r="AH8" s="3405" t="s">
        <v>3344</v>
      </c>
      <c r="AI8" s="3405">
        <v>9585.85</v>
      </c>
      <c r="AJ8" s="3405">
        <v>1900</v>
      </c>
      <c r="AK8" s="3405" t="s">
        <v>3381</v>
      </c>
      <c r="AL8" s="3405">
        <v>9585.85</v>
      </c>
      <c r="AM8" s="3405">
        <v>121.67</v>
      </c>
      <c r="AN8" s="3405">
        <v>121.67</v>
      </c>
      <c r="AO8" s="3405">
        <v>1217</v>
      </c>
      <c r="AP8" s="3405">
        <v>1217</v>
      </c>
      <c r="AQ8" s="3405" t="s">
        <v>3344</v>
      </c>
      <c r="AR8" s="3405" t="s">
        <v>3344</v>
      </c>
      <c r="AS8" s="3405">
        <v>0</v>
      </c>
      <c r="AT8" s="3405" t="s">
        <v>3357</v>
      </c>
      <c r="AU8" s="3405" t="s">
        <v>3342</v>
      </c>
      <c r="AV8" s="3405" t="s">
        <v>3344</v>
      </c>
      <c r="AW8" s="3405" t="s">
        <v>3342</v>
      </c>
      <c r="AX8" s="3405" t="s">
        <v>3344</v>
      </c>
      <c r="AY8" s="3405" t="s">
        <v>3344</v>
      </c>
      <c r="AZ8" s="3405" t="s">
        <v>3344</v>
      </c>
      <c r="BB8" s="3405">
        <f t="shared" si="0"/>
        <v>1825</v>
      </c>
      <c r="BC8" s="3407">
        <v>8997.83</v>
      </c>
      <c r="BD8" s="3408">
        <f t="shared" si="1"/>
        <v>1713</v>
      </c>
      <c r="BE8" s="3407">
        <f t="shared" si="2"/>
        <v>1199</v>
      </c>
      <c r="BF8" s="3409">
        <f t="shared" si="4"/>
        <v>6.13E-2</v>
      </c>
      <c r="BG8" s="3409">
        <f>ROUND(BF8/'[5]剩余（增值收益扣减）法'!$C$31,4)</f>
        <v>0.15329999999999999</v>
      </c>
    </row>
    <row r="9" spans="1:64">
      <c r="A9" s="3405" t="s">
        <v>3382</v>
      </c>
      <c r="B9" s="3405" t="s">
        <v>1465</v>
      </c>
      <c r="C9" s="3405" t="s">
        <v>3383</v>
      </c>
      <c r="D9" s="3405" t="s">
        <v>3334</v>
      </c>
      <c r="E9" s="3405" t="s">
        <v>3376</v>
      </c>
      <c r="F9" s="3405" t="s">
        <v>3384</v>
      </c>
      <c r="G9" s="3405" t="s">
        <v>3385</v>
      </c>
      <c r="H9" s="3405" t="s">
        <v>3338</v>
      </c>
      <c r="I9" s="3405">
        <v>52790.03</v>
      </c>
      <c r="J9" s="3405">
        <v>79185.05</v>
      </c>
      <c r="K9" s="3405" t="s">
        <v>3386</v>
      </c>
      <c r="L9" s="3405" t="s">
        <v>3339</v>
      </c>
      <c r="M9" s="3405" t="s">
        <v>3338</v>
      </c>
      <c r="N9" s="3405" t="s">
        <v>3341</v>
      </c>
      <c r="O9" s="3405" t="s">
        <v>3342</v>
      </c>
      <c r="P9" s="3405" t="s">
        <v>3344</v>
      </c>
      <c r="Q9" s="3405" t="s">
        <v>3344</v>
      </c>
      <c r="R9" s="3405" t="s">
        <v>3344</v>
      </c>
      <c r="S9" s="3405" t="s">
        <v>3344</v>
      </c>
      <c r="T9" s="3405" t="s">
        <v>3344</v>
      </c>
      <c r="U9" s="3405" t="s">
        <v>3344</v>
      </c>
      <c r="V9" s="3405" t="s">
        <v>3344</v>
      </c>
      <c r="W9" s="3405" t="s">
        <v>3344</v>
      </c>
      <c r="X9" s="3405">
        <v>0</v>
      </c>
      <c r="Y9" s="3405">
        <v>0</v>
      </c>
      <c r="Z9" s="3406">
        <v>44834.0004976852</v>
      </c>
      <c r="AA9" s="3406">
        <v>44854.0004976852</v>
      </c>
      <c r="AB9" s="3406">
        <v>44868.0004976852</v>
      </c>
      <c r="AC9" s="3406">
        <v>44868.0004976852</v>
      </c>
      <c r="AD9" s="3405" t="s">
        <v>3387</v>
      </c>
      <c r="AE9" s="3405" t="s">
        <v>3346</v>
      </c>
      <c r="AF9" s="3405" t="s">
        <v>3388</v>
      </c>
      <c r="AG9" s="3405" t="s">
        <v>3344</v>
      </c>
      <c r="AH9" s="3405" t="s">
        <v>3344</v>
      </c>
      <c r="AI9" s="3405">
        <v>9429.41</v>
      </c>
      <c r="AJ9" s="3405">
        <v>1900</v>
      </c>
      <c r="AK9" s="3405" t="s">
        <v>3389</v>
      </c>
      <c r="AL9" s="3405">
        <v>9429.41</v>
      </c>
      <c r="AM9" s="3405">
        <v>119.08</v>
      </c>
      <c r="AN9" s="3405">
        <v>119.08</v>
      </c>
      <c r="AO9" s="3405">
        <v>1191</v>
      </c>
      <c r="AP9" s="3405">
        <v>1191</v>
      </c>
      <c r="AQ9" s="3405" t="s">
        <v>3344</v>
      </c>
      <c r="AR9" s="3405" t="s">
        <v>3344</v>
      </c>
      <c r="AS9" s="3405">
        <v>0</v>
      </c>
      <c r="AT9" s="3405" t="s">
        <v>3357</v>
      </c>
      <c r="AU9" s="3405" t="s">
        <v>3342</v>
      </c>
      <c r="AV9" s="3405" t="s">
        <v>3344</v>
      </c>
      <c r="AW9" s="3405" t="s">
        <v>3342</v>
      </c>
      <c r="AX9" s="3405" t="s">
        <v>3344</v>
      </c>
      <c r="AY9" s="3405" t="s">
        <v>3344</v>
      </c>
      <c r="AZ9" s="3405" t="s">
        <v>3344</v>
      </c>
      <c r="BB9" s="3405">
        <f t="shared" si="0"/>
        <v>1786</v>
      </c>
      <c r="BC9" s="3407">
        <v>8875.11</v>
      </c>
      <c r="BD9" s="3408">
        <f t="shared" si="1"/>
        <v>1681</v>
      </c>
      <c r="BE9" s="3407">
        <f t="shared" si="2"/>
        <v>1177</v>
      </c>
      <c r="BF9" s="3409">
        <f t="shared" si="4"/>
        <v>5.8799999999999998E-2</v>
      </c>
      <c r="BG9" s="3409">
        <f>ROUND(BF9/'[5]剩余（增值收益扣减）法'!$C$31,4)</f>
        <v>0.14699999999999999</v>
      </c>
    </row>
    <row r="10" spans="1:64">
      <c r="A10" s="3405" t="s">
        <v>3775</v>
      </c>
      <c r="I10" s="3405">
        <v>19333.343000000001</v>
      </c>
      <c r="K10" s="3405" t="s">
        <v>3776</v>
      </c>
      <c r="M10" s="3405" t="s">
        <v>3777</v>
      </c>
      <c r="Z10" s="3406"/>
      <c r="AA10" s="3406"/>
      <c r="AB10" s="3406"/>
      <c r="AC10" s="3406">
        <v>44817</v>
      </c>
      <c r="AL10" s="3405">
        <v>3477.0967999999998</v>
      </c>
      <c r="AT10" s="3405" t="s">
        <v>3773</v>
      </c>
      <c r="BB10" s="3405">
        <f t="shared" si="0"/>
        <v>1798</v>
      </c>
      <c r="BC10" s="3407">
        <v>3252.83</v>
      </c>
      <c r="BD10" s="3408">
        <f t="shared" si="1"/>
        <v>1682</v>
      </c>
      <c r="BE10" s="3407">
        <f t="shared" si="2"/>
        <v>1177</v>
      </c>
      <c r="BF10" s="3409">
        <f t="shared" si="4"/>
        <v>6.4500000000000002E-2</v>
      </c>
      <c r="BG10" s="3409">
        <f>ROUND(BF10/'[5]剩余（增值收益扣减）法'!$C$31,4)</f>
        <v>0.1613</v>
      </c>
    </row>
    <row r="11" spans="1:64">
      <c r="A11" s="3405" t="s">
        <v>3390</v>
      </c>
      <c r="B11" s="3405" t="s">
        <v>1465</v>
      </c>
      <c r="C11" s="3405" t="s">
        <v>3391</v>
      </c>
      <c r="D11" s="3405" t="s">
        <v>3334</v>
      </c>
      <c r="E11" s="3405" t="s">
        <v>3376</v>
      </c>
      <c r="F11" s="3405" t="s">
        <v>3392</v>
      </c>
      <c r="G11" s="3405" t="s">
        <v>3393</v>
      </c>
      <c r="H11" s="3405" t="s">
        <v>3338</v>
      </c>
      <c r="I11" s="3405">
        <v>20000</v>
      </c>
      <c r="J11" s="3405">
        <v>20000</v>
      </c>
      <c r="K11" s="3405" t="s">
        <v>3394</v>
      </c>
      <c r="L11" s="3405" t="s">
        <v>3339</v>
      </c>
      <c r="M11" s="3405" t="s">
        <v>3338</v>
      </c>
      <c r="N11" s="3405" t="s">
        <v>3341</v>
      </c>
      <c r="O11" s="3405" t="s">
        <v>3342</v>
      </c>
      <c r="P11" s="3405" t="s">
        <v>3344</v>
      </c>
      <c r="Q11" s="3405" t="s">
        <v>3344</v>
      </c>
      <c r="R11" s="3405" t="s">
        <v>3344</v>
      </c>
      <c r="S11" s="3405" t="s">
        <v>3344</v>
      </c>
      <c r="T11" s="3405" t="s">
        <v>3344</v>
      </c>
      <c r="U11" s="3405" t="s">
        <v>3344</v>
      </c>
      <c r="V11" s="3405" t="s">
        <v>3344</v>
      </c>
      <c r="W11" s="3405" t="s">
        <v>3344</v>
      </c>
      <c r="X11" s="3405">
        <v>0</v>
      </c>
      <c r="Y11" s="3405">
        <v>0</v>
      </c>
      <c r="Z11" s="3406">
        <v>44708.0004976852</v>
      </c>
      <c r="AA11" s="3406">
        <v>44728.0004976852</v>
      </c>
      <c r="AB11" s="3406">
        <v>44742.0004976852</v>
      </c>
      <c r="AC11" s="3406">
        <v>44742.0004976852</v>
      </c>
      <c r="AD11" s="3405" t="s">
        <v>3395</v>
      </c>
      <c r="AE11" s="3405" t="s">
        <v>3346</v>
      </c>
      <c r="AF11" s="3405" t="s">
        <v>3396</v>
      </c>
      <c r="AG11" s="3405" t="s">
        <v>3344</v>
      </c>
      <c r="AH11" s="3405" t="s">
        <v>3344</v>
      </c>
      <c r="AI11" s="3405">
        <v>2284.42</v>
      </c>
      <c r="AJ11" s="3405">
        <v>500</v>
      </c>
      <c r="AK11" s="3405" t="s">
        <v>3397</v>
      </c>
      <c r="AL11" s="3405">
        <v>2284.42</v>
      </c>
      <c r="AM11" s="3405">
        <v>76.150000000000006</v>
      </c>
      <c r="AN11" s="3405">
        <v>76.150000000000006</v>
      </c>
      <c r="AO11" s="3405">
        <v>1142</v>
      </c>
      <c r="AP11" s="3405">
        <v>1142</v>
      </c>
      <c r="AQ11" s="3405" t="s">
        <v>3344</v>
      </c>
      <c r="AR11" s="3405" t="s">
        <v>3344</v>
      </c>
      <c r="AS11" s="3405">
        <v>0</v>
      </c>
      <c r="AT11" s="3405" t="s">
        <v>3357</v>
      </c>
      <c r="AU11" s="3405" t="s">
        <v>3342</v>
      </c>
      <c r="AV11" s="3405" t="s">
        <v>3344</v>
      </c>
      <c r="AW11" s="3405" t="s">
        <v>3342</v>
      </c>
      <c r="AX11" s="3405" t="s">
        <v>3344</v>
      </c>
      <c r="AY11" s="3405" t="s">
        <v>3344</v>
      </c>
      <c r="AZ11" s="3405" t="s">
        <v>3344</v>
      </c>
      <c r="BB11" s="3405">
        <f t="shared" si="0"/>
        <v>1142</v>
      </c>
      <c r="BC11" s="3407">
        <v>2104.42</v>
      </c>
      <c r="BD11" s="3408">
        <f t="shared" si="1"/>
        <v>1052</v>
      </c>
      <c r="BE11" s="3407">
        <f t="shared" si="2"/>
        <v>736</v>
      </c>
      <c r="BF11" s="3409">
        <f t="shared" si="4"/>
        <v>7.8799999999999995E-2</v>
      </c>
      <c r="BG11" s="3409">
        <f>ROUND(BF11/'[5]剩余（增值收益扣减）法'!$C$31,4)</f>
        <v>0.19700000000000001</v>
      </c>
    </row>
    <row r="12" spans="1:64" s="3506" customFormat="1">
      <c r="A12" s="3506" t="s">
        <v>3778</v>
      </c>
      <c r="B12" s="3506" t="s">
        <v>1465</v>
      </c>
      <c r="C12" s="3506" t="s">
        <v>3779</v>
      </c>
      <c r="D12" s="3506" t="s">
        <v>3334</v>
      </c>
      <c r="E12" s="3506" t="s">
        <v>3376</v>
      </c>
      <c r="G12" s="3506" t="s">
        <v>3780</v>
      </c>
      <c r="H12" s="3506" t="s">
        <v>3338</v>
      </c>
      <c r="I12" s="3506">
        <v>17103.271000000001</v>
      </c>
      <c r="K12" s="3506" t="s">
        <v>3776</v>
      </c>
      <c r="M12" s="3507" t="s">
        <v>3781</v>
      </c>
      <c r="Z12" s="3508"/>
      <c r="AA12" s="3508"/>
      <c r="AB12" s="3508"/>
      <c r="AC12" s="3508">
        <v>44720</v>
      </c>
      <c r="AL12" s="3506">
        <v>3075.9578999999999</v>
      </c>
      <c r="AT12" s="3506" t="s">
        <v>3357</v>
      </c>
      <c r="BB12" s="3506">
        <f t="shared" si="0"/>
        <v>1798</v>
      </c>
      <c r="BC12" s="3509">
        <v>2877.56</v>
      </c>
      <c r="BD12" s="3510">
        <f t="shared" si="1"/>
        <v>1682</v>
      </c>
      <c r="BE12" s="3509">
        <f t="shared" si="2"/>
        <v>1177</v>
      </c>
      <c r="BF12" s="3511">
        <f t="shared" si="4"/>
        <v>6.4500000000000002E-2</v>
      </c>
      <c r="BG12" s="3511">
        <f>ROUND(BF12/'[5]剩余（增值收益扣减）法'!$C$31,4)</f>
        <v>0.1613</v>
      </c>
      <c r="BI12" s="3512"/>
      <c r="BJ12" s="3512"/>
      <c r="BL12" s="3513"/>
    </row>
    <row r="13" spans="1:64" s="3429" customFormat="1">
      <c r="A13" s="3429" t="s">
        <v>3398</v>
      </c>
      <c r="B13" s="3429" t="s">
        <v>1465</v>
      </c>
      <c r="C13" s="3429" t="s">
        <v>3399</v>
      </c>
      <c r="D13" s="3429" t="s">
        <v>3334</v>
      </c>
      <c r="E13" s="3429" t="s">
        <v>3376</v>
      </c>
      <c r="F13" s="3429" t="s">
        <v>3400</v>
      </c>
      <c r="G13" s="3429" t="s">
        <v>3401</v>
      </c>
      <c r="H13" s="3429" t="s">
        <v>3338</v>
      </c>
      <c r="I13" s="3429">
        <v>54995.519999999997</v>
      </c>
      <c r="J13" s="3429">
        <v>82493.289999999994</v>
      </c>
      <c r="K13" s="3429" t="s">
        <v>3386</v>
      </c>
      <c r="L13" s="3429" t="s">
        <v>3339</v>
      </c>
      <c r="M13" s="3429" t="s">
        <v>3402</v>
      </c>
      <c r="N13" s="3429" t="s">
        <v>3341</v>
      </c>
      <c r="O13" s="3429" t="s">
        <v>3342</v>
      </c>
      <c r="P13" s="3429" t="s">
        <v>3344</v>
      </c>
      <c r="Q13" s="3429">
        <v>24</v>
      </c>
      <c r="R13" s="3429" t="s">
        <v>3344</v>
      </c>
      <c r="S13" s="3429" t="s">
        <v>3344</v>
      </c>
      <c r="T13" s="3429" t="s">
        <v>3344</v>
      </c>
      <c r="U13" s="3429" t="s">
        <v>3344</v>
      </c>
      <c r="V13" s="3429" t="s">
        <v>3344</v>
      </c>
      <c r="W13" s="3429" t="s">
        <v>3344</v>
      </c>
      <c r="X13" s="3429">
        <v>0</v>
      </c>
      <c r="Y13" s="3429">
        <v>0</v>
      </c>
      <c r="Z13" s="3430">
        <v>44678.0004976852</v>
      </c>
      <c r="AA13" s="3430">
        <v>44698.0004976852</v>
      </c>
      <c r="AB13" s="3430">
        <v>44712.0004976852</v>
      </c>
      <c r="AC13" s="3430">
        <v>44712.0004976852</v>
      </c>
      <c r="AD13" s="3429" t="s">
        <v>3403</v>
      </c>
      <c r="AE13" s="3429" t="s">
        <v>3346</v>
      </c>
      <c r="AF13" s="3429" t="s">
        <v>3404</v>
      </c>
      <c r="AG13" s="3429" t="s">
        <v>3344</v>
      </c>
      <c r="AH13" s="3429" t="s">
        <v>3344</v>
      </c>
      <c r="AI13" s="3429">
        <v>8783.01</v>
      </c>
      <c r="AJ13" s="3429">
        <v>1800</v>
      </c>
      <c r="AK13" s="3429" t="s">
        <v>3405</v>
      </c>
      <c r="AL13" s="3429">
        <v>8783.01</v>
      </c>
      <c r="AM13" s="3429">
        <v>106.47</v>
      </c>
      <c r="AN13" s="3429">
        <v>106.47</v>
      </c>
      <c r="AO13" s="3429">
        <v>1065</v>
      </c>
      <c r="AP13" s="3429">
        <v>1065</v>
      </c>
      <c r="AQ13" s="3429" t="s">
        <v>3344</v>
      </c>
      <c r="AR13" s="3429" t="s">
        <v>3344</v>
      </c>
      <c r="AS13" s="3429">
        <v>0</v>
      </c>
      <c r="AT13" s="3429" t="s">
        <v>3357</v>
      </c>
      <c r="AU13" s="3429" t="s">
        <v>3342</v>
      </c>
      <c r="AV13" s="3429" t="s">
        <v>3344</v>
      </c>
      <c r="AW13" s="3429" t="s">
        <v>3342</v>
      </c>
      <c r="AX13" s="3429" t="s">
        <v>3344</v>
      </c>
      <c r="AY13" s="3429" t="s">
        <v>3344</v>
      </c>
      <c r="AZ13" s="3429" t="s">
        <v>3344</v>
      </c>
      <c r="BB13" s="3429">
        <f t="shared" si="0"/>
        <v>1597</v>
      </c>
      <c r="BC13" s="3431">
        <v>8073.57</v>
      </c>
      <c r="BD13" s="3434">
        <f t="shared" si="1"/>
        <v>1468</v>
      </c>
      <c r="BE13" s="3431">
        <f t="shared" si="2"/>
        <v>1028</v>
      </c>
      <c r="BF13" s="3435">
        <f t="shared" si="4"/>
        <v>8.0799999999999997E-2</v>
      </c>
      <c r="BG13" s="3435">
        <f>ROUND(BF13/'[5]剩余（增值收益扣减）法'!$C$31,4)</f>
        <v>0.20200000000000001</v>
      </c>
      <c r="BI13" s="3432" t="s">
        <v>3406</v>
      </c>
      <c r="BJ13" s="3432">
        <f>ROUND(BB13*[5]土地一级开发案例!$B$26/[5]土地一级开发案例!B31,0)</f>
        <v>8254</v>
      </c>
      <c r="BL13" s="3433">
        <f>ROUND(BJ13*'[1]剩余（增值收益扣减）法'!$C$34/'[1]剩余（增值收益扣减）法'!$C$33,0)</f>
        <v>12092</v>
      </c>
    </row>
    <row r="14" spans="1:64" s="3429" customFormat="1">
      <c r="A14" s="3429" t="s">
        <v>3407</v>
      </c>
      <c r="B14" s="3429" t="s">
        <v>1465</v>
      </c>
      <c r="C14" s="3429" t="s">
        <v>3408</v>
      </c>
      <c r="D14" s="3429" t="s">
        <v>3334</v>
      </c>
      <c r="E14" s="3429" t="s">
        <v>3376</v>
      </c>
      <c r="F14" s="3429" t="s">
        <v>3400</v>
      </c>
      <c r="G14" s="3429" t="s">
        <v>3401</v>
      </c>
      <c r="H14" s="3429" t="s">
        <v>3338</v>
      </c>
      <c r="I14" s="3429">
        <v>54214.080000000002</v>
      </c>
      <c r="J14" s="3429">
        <v>108428.16</v>
      </c>
      <c r="K14" s="3429">
        <v>2</v>
      </c>
      <c r="L14" s="3429" t="s">
        <v>3339</v>
      </c>
      <c r="M14" s="3429" t="s">
        <v>3402</v>
      </c>
      <c r="N14" s="3429" t="s">
        <v>3341</v>
      </c>
      <c r="O14" s="3429" t="s">
        <v>3342</v>
      </c>
      <c r="P14" s="3429" t="s">
        <v>3344</v>
      </c>
      <c r="Q14" s="3429" t="s">
        <v>3354</v>
      </c>
      <c r="R14" s="3429" t="s">
        <v>3344</v>
      </c>
      <c r="S14" s="3429" t="s">
        <v>3344</v>
      </c>
      <c r="T14" s="3429" t="s">
        <v>3344</v>
      </c>
      <c r="U14" s="3429" t="s">
        <v>3344</v>
      </c>
      <c r="V14" s="3429" t="s">
        <v>3344</v>
      </c>
      <c r="W14" s="3429" t="s">
        <v>3344</v>
      </c>
      <c r="X14" s="3429">
        <v>0</v>
      </c>
      <c r="Y14" s="3429">
        <v>0</v>
      </c>
      <c r="Z14" s="3430">
        <v>44606.0004976852</v>
      </c>
      <c r="AA14" s="3430">
        <v>44627.0004976852</v>
      </c>
      <c r="AB14" s="3430">
        <v>44642.0004976852</v>
      </c>
      <c r="AC14" s="3430">
        <v>44642.0004976852</v>
      </c>
      <c r="AD14" s="3429" t="s">
        <v>3409</v>
      </c>
      <c r="AE14" s="3429" t="s">
        <v>3346</v>
      </c>
      <c r="AF14" s="3429" t="s">
        <v>3410</v>
      </c>
      <c r="AG14" s="3429" t="s">
        <v>3344</v>
      </c>
      <c r="AH14" s="3429" t="s">
        <v>3344</v>
      </c>
      <c r="AI14" s="3429">
        <v>8793.52</v>
      </c>
      <c r="AJ14" s="3429">
        <v>1800</v>
      </c>
      <c r="AK14" s="3429" t="s">
        <v>2092</v>
      </c>
      <c r="AL14" s="3429">
        <v>8793.52</v>
      </c>
      <c r="AM14" s="3429">
        <v>108.13</v>
      </c>
      <c r="AN14" s="3429">
        <v>108.13</v>
      </c>
      <c r="AO14" s="3429">
        <v>811</v>
      </c>
      <c r="AP14" s="3429">
        <v>811</v>
      </c>
      <c r="AQ14" s="3429" t="s">
        <v>3344</v>
      </c>
      <c r="AR14" s="3429" t="s">
        <v>3344</v>
      </c>
      <c r="AS14" s="3429">
        <v>0</v>
      </c>
      <c r="AT14" s="3429" t="s">
        <v>3357</v>
      </c>
      <c r="AU14" s="3429" t="s">
        <v>3342</v>
      </c>
      <c r="AV14" s="3429" t="s">
        <v>3344</v>
      </c>
      <c r="AW14" s="3429" t="s">
        <v>3342</v>
      </c>
      <c r="AX14" s="3429" t="s">
        <v>3344</v>
      </c>
      <c r="AY14" s="3429" t="s">
        <v>3344</v>
      </c>
      <c r="AZ14" s="3429" t="s">
        <v>3344</v>
      </c>
      <c r="BB14" s="3429">
        <f t="shared" si="0"/>
        <v>1622</v>
      </c>
      <c r="BC14" s="3431">
        <v>7717.94</v>
      </c>
      <c r="BD14" s="3434">
        <f t="shared" si="1"/>
        <v>1424</v>
      </c>
      <c r="BE14" s="3431">
        <f t="shared" si="2"/>
        <v>997</v>
      </c>
      <c r="BF14" s="3435">
        <f t="shared" si="4"/>
        <v>0.12230000000000001</v>
      </c>
      <c r="BG14" s="3435">
        <f>ROUND(BF14/'[5]剩余（增值收益扣减）法'!$C$31,4)</f>
        <v>0.30580000000000002</v>
      </c>
      <c r="BI14" s="3432" t="s">
        <v>3406</v>
      </c>
      <c r="BJ14" s="3432">
        <f>ROUND(BB14*[5]土地一级开发案例!$B$26/[5]土地一级开发案例!B31,0)</f>
        <v>8383</v>
      </c>
      <c r="BL14" s="3433">
        <f>ROUND(BJ14*'[1]剩余（增值收益扣减）法'!$C$34/'[1]剩余（增值收益扣减）法'!$C$33,0)</f>
        <v>12281</v>
      </c>
    </row>
    <row r="15" spans="1:64">
      <c r="A15" s="3405" t="s">
        <v>3411</v>
      </c>
      <c r="B15" s="3405" t="s">
        <v>1465</v>
      </c>
      <c r="C15" s="3405" t="s">
        <v>3412</v>
      </c>
      <c r="D15" s="3405" t="s">
        <v>3334</v>
      </c>
      <c r="E15" s="3405" t="s">
        <v>3376</v>
      </c>
      <c r="F15" s="3405" t="s">
        <v>3413</v>
      </c>
      <c r="G15" s="3405" t="s">
        <v>3414</v>
      </c>
      <c r="H15" s="3405" t="s">
        <v>3338</v>
      </c>
      <c r="I15" s="3405">
        <v>76366.38</v>
      </c>
      <c r="J15" s="3405">
        <v>114549.57</v>
      </c>
      <c r="K15" s="3405">
        <v>1.5</v>
      </c>
      <c r="L15" s="3405" t="s">
        <v>3339</v>
      </c>
      <c r="M15" s="3405" t="s">
        <v>3338</v>
      </c>
      <c r="N15" s="3405" t="s">
        <v>3341</v>
      </c>
      <c r="O15" s="3405" t="s">
        <v>3342</v>
      </c>
      <c r="P15" s="3405" t="s">
        <v>3415</v>
      </c>
      <c r="Q15" s="3405" t="s">
        <v>3344</v>
      </c>
      <c r="R15" s="3405" t="s">
        <v>3344</v>
      </c>
      <c r="S15" s="3405" t="s">
        <v>3344</v>
      </c>
      <c r="T15" s="3405" t="s">
        <v>3344</v>
      </c>
      <c r="U15" s="3405" t="s">
        <v>3344</v>
      </c>
      <c r="V15" s="3405" t="s">
        <v>3344</v>
      </c>
      <c r="W15" s="3405" t="s">
        <v>3344</v>
      </c>
      <c r="X15" s="3405">
        <v>0</v>
      </c>
      <c r="Y15" s="3405">
        <v>0</v>
      </c>
      <c r="Z15" s="3406">
        <v>44582.0004976852</v>
      </c>
      <c r="AA15" s="3406">
        <v>44602.0004976852</v>
      </c>
      <c r="AB15" s="3406">
        <v>44630.0004976852</v>
      </c>
      <c r="AC15" s="3406">
        <v>44630.0004976852</v>
      </c>
      <c r="AD15" s="3405" t="s">
        <v>3416</v>
      </c>
      <c r="AE15" s="3405" t="s">
        <v>3346</v>
      </c>
      <c r="AF15" s="3405" t="s">
        <v>3417</v>
      </c>
      <c r="AG15" s="3405" t="s">
        <v>3344</v>
      </c>
      <c r="AH15" s="3405" t="s">
        <v>3344</v>
      </c>
      <c r="AI15" s="3405">
        <v>11431.52</v>
      </c>
      <c r="AJ15" s="3405">
        <v>2500</v>
      </c>
      <c r="AK15" s="3405" t="s">
        <v>2092</v>
      </c>
      <c r="AL15" s="3405">
        <v>11431.52</v>
      </c>
      <c r="AM15" s="3405">
        <v>99.8</v>
      </c>
      <c r="AN15" s="3405">
        <v>99.8</v>
      </c>
      <c r="AO15" s="3405">
        <v>998</v>
      </c>
      <c r="AP15" s="3405">
        <v>998</v>
      </c>
      <c r="AQ15" s="3405" t="s">
        <v>3344</v>
      </c>
      <c r="AR15" s="3405" t="s">
        <v>3344</v>
      </c>
      <c r="AS15" s="3405">
        <v>0</v>
      </c>
      <c r="AT15" s="3405" t="s">
        <v>3357</v>
      </c>
      <c r="AU15" s="3405" t="s">
        <v>3342</v>
      </c>
      <c r="AV15" s="3405" t="s">
        <v>3344</v>
      </c>
      <c r="AW15" s="3405" t="s">
        <v>3342</v>
      </c>
      <c r="AX15" s="3405" t="s">
        <v>3344</v>
      </c>
      <c r="AY15" s="3405" t="s">
        <v>3344</v>
      </c>
      <c r="AZ15" s="3405" t="s">
        <v>3344</v>
      </c>
      <c r="BB15" s="3405">
        <f t="shared" si="0"/>
        <v>1497</v>
      </c>
      <c r="BC15" s="3407">
        <v>5226.5200000000004</v>
      </c>
      <c r="BD15" s="3408">
        <f t="shared" si="1"/>
        <v>684</v>
      </c>
      <c r="BE15" s="3407">
        <f t="shared" si="2"/>
        <v>479</v>
      </c>
    </row>
    <row r="16" spans="1:64">
      <c r="A16" s="3405" t="s">
        <v>3782</v>
      </c>
      <c r="B16" s="3405" t="s">
        <v>1465</v>
      </c>
      <c r="C16" s="3405" t="s">
        <v>3418</v>
      </c>
      <c r="D16" s="3405" t="s">
        <v>3334</v>
      </c>
      <c r="E16" s="3405" t="s">
        <v>3376</v>
      </c>
      <c r="F16" s="3405" t="s">
        <v>3392</v>
      </c>
      <c r="G16" s="3405" t="s">
        <v>3385</v>
      </c>
      <c r="H16" s="3405" t="s">
        <v>3338</v>
      </c>
      <c r="I16" s="3405">
        <v>19333.34</v>
      </c>
      <c r="J16" s="3405">
        <v>38666.69</v>
      </c>
      <c r="K16" s="3405">
        <v>2</v>
      </c>
      <c r="L16" s="3405" t="s">
        <v>3339</v>
      </c>
      <c r="M16" s="3405" t="s">
        <v>3419</v>
      </c>
      <c r="N16" s="3405" t="s">
        <v>3341</v>
      </c>
      <c r="O16" s="3405" t="s">
        <v>3342</v>
      </c>
      <c r="P16" s="3405" t="s">
        <v>3344</v>
      </c>
      <c r="Q16" s="3405" t="s">
        <v>3344</v>
      </c>
      <c r="R16" s="3405" t="s">
        <v>3344</v>
      </c>
      <c r="S16" s="3405" t="s">
        <v>3344</v>
      </c>
      <c r="T16" s="3405" t="s">
        <v>3344</v>
      </c>
      <c r="U16" s="3405" t="s">
        <v>3344</v>
      </c>
      <c r="V16" s="3405">
        <v>0</v>
      </c>
      <c r="W16" s="3405">
        <v>0</v>
      </c>
      <c r="X16" s="3405">
        <v>0</v>
      </c>
      <c r="Y16" s="3405">
        <v>0</v>
      </c>
      <c r="Z16" s="3406">
        <v>44526.0004976852</v>
      </c>
      <c r="AA16" s="3406">
        <v>44546.0004976852</v>
      </c>
      <c r="AB16" s="3406">
        <v>44561.0004976852</v>
      </c>
      <c r="AC16" s="3406">
        <v>44561.0004976852</v>
      </c>
      <c r="AD16" s="3405" t="s">
        <v>3420</v>
      </c>
      <c r="AE16" s="3405" t="s">
        <v>3346</v>
      </c>
      <c r="AF16" s="3405" t="s">
        <v>3421</v>
      </c>
      <c r="AG16" s="3405" t="s">
        <v>3344</v>
      </c>
      <c r="AH16" s="3405" t="s">
        <v>3344</v>
      </c>
      <c r="AI16" s="3405">
        <v>3477.1</v>
      </c>
      <c r="AJ16" s="3405">
        <v>700</v>
      </c>
      <c r="AK16" s="3405" t="s">
        <v>2092</v>
      </c>
      <c r="AL16" s="3405">
        <v>3477.1</v>
      </c>
      <c r="AM16" s="3405">
        <v>119.9</v>
      </c>
      <c r="AN16" s="3405">
        <v>119.9</v>
      </c>
      <c r="AO16" s="3405">
        <v>899</v>
      </c>
      <c r="AP16" s="3405">
        <v>899</v>
      </c>
      <c r="AQ16" s="3405" t="s">
        <v>3344</v>
      </c>
      <c r="AR16" s="3405" t="s">
        <v>3344</v>
      </c>
      <c r="AS16" s="3405">
        <v>0</v>
      </c>
      <c r="AT16" s="3405" t="s">
        <v>3357</v>
      </c>
      <c r="AU16" s="3405" t="s">
        <v>3342</v>
      </c>
      <c r="AV16" s="3405" t="s">
        <v>3344</v>
      </c>
      <c r="AW16" s="3405" t="s">
        <v>3342</v>
      </c>
      <c r="AX16" s="3405" t="s">
        <v>3344</v>
      </c>
      <c r="AY16" s="3405" t="s">
        <v>3344</v>
      </c>
      <c r="AZ16" s="3405" t="s">
        <v>3344</v>
      </c>
      <c r="BB16" s="3405">
        <f t="shared" si="0"/>
        <v>1798</v>
      </c>
      <c r="BC16" s="3407">
        <v>3252.83</v>
      </c>
      <c r="BD16" s="3408">
        <f t="shared" si="1"/>
        <v>1682</v>
      </c>
      <c r="BE16" s="3407">
        <f t="shared" si="2"/>
        <v>1177</v>
      </c>
      <c r="BF16" s="3409">
        <f t="shared" si="4"/>
        <v>6.4500000000000002E-2</v>
      </c>
      <c r="BG16" s="3409">
        <f>ROUND(BF16/'[5]剩余（增值收益扣减）法'!$C$31,4)</f>
        <v>0.1613</v>
      </c>
    </row>
    <row r="17" spans="1:64" s="3429" customFormat="1">
      <c r="A17" s="3429" t="s">
        <v>3422</v>
      </c>
      <c r="B17" s="3429" t="s">
        <v>1465</v>
      </c>
      <c r="C17" s="3429" t="s">
        <v>3423</v>
      </c>
      <c r="D17" s="3429" t="s">
        <v>3334</v>
      </c>
      <c r="E17" s="3429" t="s">
        <v>3376</v>
      </c>
      <c r="F17" s="3429" t="s">
        <v>3344</v>
      </c>
      <c r="G17" s="3429" t="s">
        <v>3424</v>
      </c>
      <c r="H17" s="3429" t="s">
        <v>3338</v>
      </c>
      <c r="I17" s="3429">
        <v>95076.46</v>
      </c>
      <c r="J17" s="3429">
        <v>114091.75</v>
      </c>
      <c r="K17" s="3429">
        <v>1.2</v>
      </c>
      <c r="L17" s="3429" t="s">
        <v>3339</v>
      </c>
      <c r="M17" s="3429" t="s">
        <v>3402</v>
      </c>
      <c r="N17" s="3429" t="s">
        <v>3341</v>
      </c>
      <c r="O17" s="3429" t="s">
        <v>3342</v>
      </c>
      <c r="P17" s="3429" t="s">
        <v>3344</v>
      </c>
      <c r="Q17" s="3429" t="s">
        <v>3425</v>
      </c>
      <c r="R17" s="3429" t="s">
        <v>3344</v>
      </c>
      <c r="S17" s="3429" t="s">
        <v>3344</v>
      </c>
      <c r="T17" s="3429" t="s">
        <v>3344</v>
      </c>
      <c r="U17" s="3429" t="s">
        <v>3344</v>
      </c>
      <c r="V17" s="3429" t="s">
        <v>3344</v>
      </c>
      <c r="W17" s="3429" t="s">
        <v>3344</v>
      </c>
      <c r="X17" s="3429">
        <v>0</v>
      </c>
      <c r="Y17" s="3429">
        <v>0</v>
      </c>
      <c r="Z17" s="3430">
        <v>44465.0004976852</v>
      </c>
      <c r="AA17" s="3430">
        <v>44487.0004976852</v>
      </c>
      <c r="AB17" s="3430">
        <v>44521.0004976852</v>
      </c>
      <c r="AC17" s="3430">
        <v>44521.0004976852</v>
      </c>
      <c r="AD17" s="3429" t="s">
        <v>3426</v>
      </c>
      <c r="AE17" s="3429" t="s">
        <v>3346</v>
      </c>
      <c r="AF17" s="3429" t="s">
        <v>3427</v>
      </c>
      <c r="AG17" s="3429" t="s">
        <v>3344</v>
      </c>
      <c r="AH17" s="3429" t="s">
        <v>3344</v>
      </c>
      <c r="AI17" s="3429">
        <v>15254.86</v>
      </c>
      <c r="AJ17" s="3429">
        <v>3100</v>
      </c>
      <c r="AK17" s="3429" t="s">
        <v>3428</v>
      </c>
      <c r="AL17" s="3429">
        <v>15254.86</v>
      </c>
      <c r="AM17" s="3429">
        <v>106.97</v>
      </c>
      <c r="AN17" s="3429">
        <v>106.97</v>
      </c>
      <c r="AO17" s="3429">
        <v>1337</v>
      </c>
      <c r="AP17" s="3429">
        <v>1337</v>
      </c>
      <c r="AQ17" s="3429" t="s">
        <v>3344</v>
      </c>
      <c r="AR17" s="3429" t="s">
        <v>3344</v>
      </c>
      <c r="AS17" s="3429">
        <v>0</v>
      </c>
      <c r="AT17" s="3429" t="s">
        <v>3773</v>
      </c>
      <c r="AU17" s="3429" t="s">
        <v>3342</v>
      </c>
      <c r="AV17" s="3429" t="s">
        <v>3344</v>
      </c>
      <c r="AW17" s="3429" t="s">
        <v>3342</v>
      </c>
      <c r="AX17" s="3429" t="s">
        <v>3344</v>
      </c>
      <c r="AY17" s="3429" t="s">
        <v>3344</v>
      </c>
      <c r="AZ17" s="3429" t="s">
        <v>3344</v>
      </c>
      <c r="BB17" s="3429">
        <f t="shared" si="0"/>
        <v>1604</v>
      </c>
      <c r="BC17" s="3431">
        <v>14022.67</v>
      </c>
      <c r="BD17" s="3434">
        <f t="shared" si="1"/>
        <v>1475</v>
      </c>
      <c r="BE17" s="3431">
        <f t="shared" si="2"/>
        <v>1033</v>
      </c>
      <c r="BF17" s="3435">
        <f t="shared" si="4"/>
        <v>8.0799999999999997E-2</v>
      </c>
      <c r="BG17" s="3435">
        <f>ROUND(BF17/'[5]剩余（增值收益扣减）法'!$C$31,4)</f>
        <v>0.20200000000000001</v>
      </c>
      <c r="BI17" s="3432" t="s">
        <v>3406</v>
      </c>
      <c r="BJ17" s="3432">
        <f>ROUND(BB17*[5]土地一级开发案例!$B$26/[5]土地一级开发案例!B31,0)</f>
        <v>8290</v>
      </c>
      <c r="BL17" s="3433">
        <f>ROUND(BJ17*'[1]剩余（增值收益扣减）法'!$C$34/'[1]剩余（增值收益扣减）法'!$C$33,0)</f>
        <v>12144</v>
      </c>
    </row>
    <row r="18" spans="1:64">
      <c r="A18" s="3405" t="s">
        <v>3429</v>
      </c>
      <c r="B18" s="3405" t="s">
        <v>1465</v>
      </c>
      <c r="C18" s="3405" t="s">
        <v>3430</v>
      </c>
      <c r="D18" s="3405" t="s">
        <v>3334</v>
      </c>
      <c r="E18" s="3405" t="s">
        <v>3376</v>
      </c>
      <c r="F18" s="3405" t="s">
        <v>3413</v>
      </c>
      <c r="G18" s="3405" t="s">
        <v>3414</v>
      </c>
      <c r="H18" s="3405" t="s">
        <v>3338</v>
      </c>
      <c r="I18" s="3405">
        <v>23200</v>
      </c>
      <c r="J18" s="3405">
        <v>32480</v>
      </c>
      <c r="K18" s="3405">
        <v>1.4</v>
      </c>
      <c r="L18" s="3405" t="s">
        <v>3431</v>
      </c>
      <c r="M18" s="3405" t="s">
        <v>3432</v>
      </c>
      <c r="N18" s="3405" t="s">
        <v>3341</v>
      </c>
      <c r="O18" s="3405" t="s">
        <v>3342</v>
      </c>
      <c r="P18" s="3405" t="s">
        <v>3433</v>
      </c>
      <c r="Q18" s="3405" t="s">
        <v>3344</v>
      </c>
      <c r="R18" s="3405" t="s">
        <v>3344</v>
      </c>
      <c r="S18" s="3405" t="s">
        <v>3344</v>
      </c>
      <c r="T18" s="3405" t="s">
        <v>3344</v>
      </c>
      <c r="U18" s="3405" t="s">
        <v>3344</v>
      </c>
      <c r="V18" s="3405" t="s">
        <v>3344</v>
      </c>
      <c r="W18" s="3405" t="s">
        <v>3344</v>
      </c>
      <c r="X18" s="3405">
        <v>0</v>
      </c>
      <c r="Y18" s="3405">
        <v>0</v>
      </c>
      <c r="Z18" s="3406">
        <v>44447.0004976852</v>
      </c>
      <c r="AA18" s="3406">
        <v>44467.0004976852</v>
      </c>
      <c r="AB18" s="3406">
        <v>44487.0004976852</v>
      </c>
      <c r="AC18" s="3406">
        <v>44487.0004976852</v>
      </c>
      <c r="AD18" s="3405" t="s">
        <v>3434</v>
      </c>
      <c r="AE18" s="3405" t="s">
        <v>3346</v>
      </c>
      <c r="AF18" s="3405" t="s">
        <v>3435</v>
      </c>
      <c r="AG18" s="3405" t="s">
        <v>3344</v>
      </c>
      <c r="AH18" s="3405" t="s">
        <v>3344</v>
      </c>
      <c r="AI18" s="3405">
        <v>2150.1799999999998</v>
      </c>
      <c r="AJ18" s="3405">
        <v>440</v>
      </c>
      <c r="AK18" s="3405" t="s">
        <v>2092</v>
      </c>
      <c r="AL18" s="3405">
        <v>2150.1799999999998</v>
      </c>
      <c r="AM18" s="3405">
        <v>61.79</v>
      </c>
      <c r="AN18" s="3405">
        <v>61.79</v>
      </c>
      <c r="AO18" s="3405">
        <v>662</v>
      </c>
      <c r="AP18" s="3405">
        <v>662</v>
      </c>
      <c r="AQ18" s="3405" t="s">
        <v>3344</v>
      </c>
      <c r="AR18" s="3405" t="s">
        <v>3344</v>
      </c>
      <c r="AS18" s="3405">
        <v>0</v>
      </c>
      <c r="AT18" s="3405" t="s">
        <v>3773</v>
      </c>
      <c r="AU18" s="3405" t="s">
        <v>3342</v>
      </c>
      <c r="AV18" s="3405" t="s">
        <v>3344</v>
      </c>
      <c r="AW18" s="3405" t="s">
        <v>3342</v>
      </c>
      <c r="AX18" s="3405" t="s">
        <v>3344</v>
      </c>
      <c r="AY18" s="3405" t="s">
        <v>3344</v>
      </c>
      <c r="AZ18" s="3405" t="s">
        <v>3344</v>
      </c>
      <c r="BB18" s="3405">
        <f t="shared" si="0"/>
        <v>927</v>
      </c>
      <c r="BC18" s="3419" t="s">
        <v>3783</v>
      </c>
      <c r="BD18" s="3408"/>
    </row>
    <row r="19" spans="1:64">
      <c r="A19" s="3405" t="s">
        <v>3436</v>
      </c>
      <c r="B19" s="3405" t="s">
        <v>1465</v>
      </c>
      <c r="C19" s="3405" t="s">
        <v>3437</v>
      </c>
      <c r="D19" s="3405" t="s">
        <v>3334</v>
      </c>
      <c r="E19" s="3405" t="s">
        <v>3376</v>
      </c>
      <c r="F19" s="3405" t="s">
        <v>3392</v>
      </c>
      <c r="G19" s="3405" t="s">
        <v>3393</v>
      </c>
      <c r="H19" s="3405" t="s">
        <v>3338</v>
      </c>
      <c r="I19" s="3405">
        <v>57488.82</v>
      </c>
      <c r="J19" s="3405">
        <v>86233.23</v>
      </c>
      <c r="K19" s="3405" t="s">
        <v>3386</v>
      </c>
      <c r="L19" s="3405" t="s">
        <v>3339</v>
      </c>
      <c r="M19" s="3405" t="s">
        <v>3432</v>
      </c>
      <c r="N19" s="3405" t="s">
        <v>3341</v>
      </c>
      <c r="O19" s="3405" t="s">
        <v>3342</v>
      </c>
      <c r="P19" s="3405">
        <v>0.45</v>
      </c>
      <c r="Q19" s="3405" t="s">
        <v>3438</v>
      </c>
      <c r="R19" s="3405" t="s">
        <v>3344</v>
      </c>
      <c r="S19" s="3405" t="s">
        <v>3344</v>
      </c>
      <c r="T19" s="3405" t="s">
        <v>3344</v>
      </c>
      <c r="U19" s="3405" t="s">
        <v>3344</v>
      </c>
      <c r="V19" s="3405" t="s">
        <v>3344</v>
      </c>
      <c r="W19" s="3405" t="s">
        <v>3344</v>
      </c>
      <c r="X19" s="3405">
        <v>0</v>
      </c>
      <c r="Y19" s="3405">
        <v>0</v>
      </c>
      <c r="Z19" s="3406">
        <v>44440.0004976852</v>
      </c>
      <c r="AA19" s="3406">
        <v>44461.0004976852</v>
      </c>
      <c r="AB19" s="3406">
        <v>44480.0004976852</v>
      </c>
      <c r="AC19" s="3406">
        <v>44480.0004976852</v>
      </c>
      <c r="AD19" s="3405" t="s">
        <v>3439</v>
      </c>
      <c r="AE19" s="3405" t="s">
        <v>3346</v>
      </c>
      <c r="AF19" s="3405" t="s">
        <v>3440</v>
      </c>
      <c r="AG19" s="3405" t="s">
        <v>3344</v>
      </c>
      <c r="AH19" s="3405" t="s">
        <v>3344</v>
      </c>
      <c r="AI19" s="3405">
        <v>7835.68</v>
      </c>
      <c r="AJ19" s="3405">
        <v>1600</v>
      </c>
      <c r="AK19" s="3405" t="s">
        <v>2092</v>
      </c>
      <c r="AL19" s="3405">
        <v>7835.68</v>
      </c>
      <c r="AM19" s="3405">
        <v>90.87</v>
      </c>
      <c r="AN19" s="3405">
        <v>90.87</v>
      </c>
      <c r="AO19" s="3405">
        <v>909</v>
      </c>
      <c r="AP19" s="3405">
        <v>909</v>
      </c>
      <c r="AQ19" s="3405" t="s">
        <v>3344</v>
      </c>
      <c r="AR19" s="3405" t="s">
        <v>3344</v>
      </c>
      <c r="AS19" s="3405">
        <v>0</v>
      </c>
      <c r="AT19" s="3405" t="s">
        <v>3357</v>
      </c>
      <c r="AU19" s="3405" t="s">
        <v>3342</v>
      </c>
      <c r="AV19" s="3405" t="s">
        <v>3344</v>
      </c>
      <c r="AW19" s="3405" t="s">
        <v>3342</v>
      </c>
      <c r="AX19" s="3405" t="s">
        <v>3344</v>
      </c>
      <c r="AY19" s="3405" t="s">
        <v>3344</v>
      </c>
      <c r="AZ19" s="3405" t="s">
        <v>3344</v>
      </c>
      <c r="BB19" s="3405">
        <f t="shared" si="0"/>
        <v>1363</v>
      </c>
      <c r="BC19" s="3407">
        <v>7249.29</v>
      </c>
      <c r="BD19" s="3408">
        <f t="shared" si="1"/>
        <v>1261</v>
      </c>
      <c r="BE19" s="3407">
        <f t="shared" si="2"/>
        <v>883</v>
      </c>
      <c r="BF19" s="3409">
        <f t="shared" si="4"/>
        <v>7.4800000000000005E-2</v>
      </c>
      <c r="BG19" s="3409">
        <f>ROUND(BF19/'[5]剩余（增值收益扣减）法'!$C$31,4)</f>
        <v>0.187</v>
      </c>
    </row>
    <row r="20" spans="1:64">
      <c r="A20" s="3405" t="s">
        <v>3441</v>
      </c>
      <c r="B20" s="3405" t="s">
        <v>1465</v>
      </c>
      <c r="C20" s="3405" t="s">
        <v>3442</v>
      </c>
      <c r="D20" s="3405" t="s">
        <v>3334</v>
      </c>
      <c r="E20" s="3405" t="s">
        <v>3376</v>
      </c>
      <c r="F20" s="3405" t="s">
        <v>3392</v>
      </c>
      <c r="G20" s="3405" t="s">
        <v>3393</v>
      </c>
      <c r="H20" s="3405" t="s">
        <v>3338</v>
      </c>
      <c r="I20" s="3405">
        <v>7422.43</v>
      </c>
      <c r="J20" s="3405">
        <v>5937.95</v>
      </c>
      <c r="K20" s="3405" t="s">
        <v>3443</v>
      </c>
      <c r="L20" s="3405" t="s">
        <v>3339</v>
      </c>
      <c r="M20" s="3405" t="s">
        <v>3432</v>
      </c>
      <c r="N20" s="3405" t="s">
        <v>3341</v>
      </c>
      <c r="O20" s="3405" t="s">
        <v>3342</v>
      </c>
      <c r="P20" s="3405">
        <v>0.5</v>
      </c>
      <c r="Q20" s="3405" t="s">
        <v>3438</v>
      </c>
      <c r="R20" s="3405" t="s">
        <v>3344</v>
      </c>
      <c r="S20" s="3405" t="s">
        <v>3344</v>
      </c>
      <c r="T20" s="3405" t="s">
        <v>3344</v>
      </c>
      <c r="U20" s="3405" t="s">
        <v>3344</v>
      </c>
      <c r="V20" s="3405" t="s">
        <v>3344</v>
      </c>
      <c r="W20" s="3405" t="s">
        <v>3344</v>
      </c>
      <c r="X20" s="3405">
        <v>0</v>
      </c>
      <c r="Y20" s="3405">
        <v>0</v>
      </c>
      <c r="Z20" s="3406">
        <v>44440.0004976852</v>
      </c>
      <c r="AA20" s="3406">
        <v>44461.0004976852</v>
      </c>
      <c r="AB20" s="3406">
        <v>44480.0004976852</v>
      </c>
      <c r="AC20" s="3406">
        <v>44480.0004976852</v>
      </c>
      <c r="AD20" s="3405" t="s">
        <v>3444</v>
      </c>
      <c r="AE20" s="3405" t="s">
        <v>3346</v>
      </c>
      <c r="AF20" s="3405" t="s">
        <v>3445</v>
      </c>
      <c r="AG20" s="3405" t="s">
        <v>3344</v>
      </c>
      <c r="AH20" s="3405" t="s">
        <v>3344</v>
      </c>
      <c r="AI20" s="3405">
        <v>844.63</v>
      </c>
      <c r="AJ20" s="3405">
        <v>170</v>
      </c>
      <c r="AK20" s="3405" t="s">
        <v>2092</v>
      </c>
      <c r="AL20" s="3405">
        <v>844.63</v>
      </c>
      <c r="AM20" s="3405">
        <v>75.86</v>
      </c>
      <c r="AN20" s="3405">
        <v>75.86</v>
      </c>
      <c r="AO20" s="3405">
        <v>1422</v>
      </c>
      <c r="AP20" s="3405">
        <v>1422</v>
      </c>
      <c r="AQ20" s="3405" t="s">
        <v>3344</v>
      </c>
      <c r="AR20" s="3405" t="s">
        <v>3344</v>
      </c>
      <c r="AS20" s="3405">
        <v>0</v>
      </c>
      <c r="AT20" s="3405" t="s">
        <v>3357</v>
      </c>
      <c r="AU20" s="3405" t="s">
        <v>3342</v>
      </c>
      <c r="AV20" s="3405" t="s">
        <v>3344</v>
      </c>
      <c r="AW20" s="3405" t="s">
        <v>3342</v>
      </c>
      <c r="AX20" s="3405" t="s">
        <v>3344</v>
      </c>
      <c r="AY20" s="3405" t="s">
        <v>3344</v>
      </c>
      <c r="AZ20" s="3405" t="s">
        <v>3344</v>
      </c>
      <c r="BB20" s="3405">
        <f t="shared" si="0"/>
        <v>1138</v>
      </c>
      <c r="BC20" s="3407">
        <v>781.69</v>
      </c>
      <c r="BD20" s="3408">
        <f t="shared" si="1"/>
        <v>1053</v>
      </c>
      <c r="BE20" s="3407">
        <f t="shared" si="2"/>
        <v>737</v>
      </c>
      <c r="BF20" s="3409">
        <f t="shared" si="4"/>
        <v>7.4499999999999997E-2</v>
      </c>
      <c r="BG20" s="3409">
        <f>ROUND(BF20/'[5]剩余（增值收益扣减）法'!$C$31,4)</f>
        <v>0.18629999999999999</v>
      </c>
    </row>
    <row r="21" spans="1:64">
      <c r="A21" s="3405" t="s">
        <v>3446</v>
      </c>
      <c r="B21" s="3405" t="s">
        <v>1465</v>
      </c>
      <c r="C21" s="3405" t="s">
        <v>3447</v>
      </c>
      <c r="D21" s="3405" t="s">
        <v>3334</v>
      </c>
      <c r="E21" s="3405" t="s">
        <v>3376</v>
      </c>
      <c r="F21" s="3405" t="s">
        <v>3392</v>
      </c>
      <c r="G21" s="3405" t="s">
        <v>3393</v>
      </c>
      <c r="H21" s="3405" t="s">
        <v>3338</v>
      </c>
      <c r="I21" s="3405">
        <v>23652.31</v>
      </c>
      <c r="J21" s="3405">
        <v>23652.31</v>
      </c>
      <c r="K21" s="3405">
        <v>1</v>
      </c>
      <c r="L21" s="3405" t="s">
        <v>3339</v>
      </c>
      <c r="M21" s="3405" t="s">
        <v>3432</v>
      </c>
      <c r="N21" s="3405" t="s">
        <v>3341</v>
      </c>
      <c r="O21" s="3405" t="s">
        <v>3342</v>
      </c>
      <c r="P21" s="3405">
        <v>0.45</v>
      </c>
      <c r="Q21" s="3405" t="s">
        <v>3354</v>
      </c>
      <c r="R21" s="3405" t="s">
        <v>3344</v>
      </c>
      <c r="S21" s="3405" t="s">
        <v>3344</v>
      </c>
      <c r="T21" s="3405" t="s">
        <v>3344</v>
      </c>
      <c r="U21" s="3405" t="s">
        <v>3344</v>
      </c>
      <c r="V21" s="3405" t="s">
        <v>3344</v>
      </c>
      <c r="W21" s="3405" t="s">
        <v>3344</v>
      </c>
      <c r="X21" s="3405">
        <v>0</v>
      </c>
      <c r="Y21" s="3405">
        <v>0</v>
      </c>
      <c r="Z21" s="3406">
        <v>44440.0004976852</v>
      </c>
      <c r="AA21" s="3406">
        <v>44461.0004976852</v>
      </c>
      <c r="AB21" s="3406">
        <v>44480.0004976852</v>
      </c>
      <c r="AC21" s="3406">
        <v>44480.0004976852</v>
      </c>
      <c r="AD21" s="3405" t="s">
        <v>3448</v>
      </c>
      <c r="AE21" s="3405" t="s">
        <v>3346</v>
      </c>
      <c r="AF21" s="3405" t="s">
        <v>3449</v>
      </c>
      <c r="AG21" s="3405" t="s">
        <v>3344</v>
      </c>
      <c r="AH21" s="3405" t="s">
        <v>3344</v>
      </c>
      <c r="AI21" s="3405">
        <v>2689.6</v>
      </c>
      <c r="AJ21" s="3405">
        <v>550</v>
      </c>
      <c r="AK21" s="3405" t="s">
        <v>2092</v>
      </c>
      <c r="AL21" s="3405">
        <v>2689.6</v>
      </c>
      <c r="AM21" s="3405">
        <v>75.81</v>
      </c>
      <c r="AN21" s="3405">
        <v>75.81</v>
      </c>
      <c r="AO21" s="3405">
        <v>1137</v>
      </c>
      <c r="AP21" s="3405">
        <v>1137</v>
      </c>
      <c r="AQ21" s="3405" t="s">
        <v>3344</v>
      </c>
      <c r="AR21" s="3405" t="s">
        <v>3344</v>
      </c>
      <c r="AS21" s="3405">
        <v>0</v>
      </c>
      <c r="AT21" s="3405" t="s">
        <v>3357</v>
      </c>
      <c r="AU21" s="3405" t="s">
        <v>3342</v>
      </c>
      <c r="AV21" s="3405" t="s">
        <v>3344</v>
      </c>
      <c r="AW21" s="3405" t="s">
        <v>3342</v>
      </c>
      <c r="AX21" s="3405" t="s">
        <v>3344</v>
      </c>
      <c r="AY21" s="3405" t="s">
        <v>3344</v>
      </c>
      <c r="AZ21" s="3405" t="s">
        <v>3344</v>
      </c>
      <c r="BB21" s="3405">
        <f t="shared" si="0"/>
        <v>1137</v>
      </c>
      <c r="BC21" s="3407">
        <v>2488.56</v>
      </c>
      <c r="BD21" s="3408">
        <f t="shared" si="1"/>
        <v>1052</v>
      </c>
      <c r="BE21" s="3407">
        <f t="shared" si="2"/>
        <v>736</v>
      </c>
      <c r="BF21" s="3409">
        <f t="shared" si="4"/>
        <v>7.4700000000000003E-2</v>
      </c>
      <c r="BG21" s="3409">
        <f>ROUND(BF21/'[5]剩余（增值收益扣减）法'!$C$31,4)</f>
        <v>0.18679999999999999</v>
      </c>
    </row>
    <row r="22" spans="1:64">
      <c r="A22" s="3405" t="s">
        <v>3450</v>
      </c>
      <c r="B22" s="3405" t="s">
        <v>1465</v>
      </c>
      <c r="C22" s="3405" t="s">
        <v>3451</v>
      </c>
      <c r="D22" s="3405" t="s">
        <v>3334</v>
      </c>
      <c r="E22" s="3405" t="s">
        <v>3376</v>
      </c>
      <c r="F22" s="3405" t="s">
        <v>3392</v>
      </c>
      <c r="G22" s="3405" t="s">
        <v>3393</v>
      </c>
      <c r="H22" s="3405" t="s">
        <v>3338</v>
      </c>
      <c r="I22" s="3405">
        <v>23170.400000000001</v>
      </c>
      <c r="J22" s="3405">
        <v>23170.400000000001</v>
      </c>
      <c r="K22" s="3405">
        <v>1</v>
      </c>
      <c r="L22" s="3405" t="s">
        <v>3339</v>
      </c>
      <c r="M22" s="3405" t="s">
        <v>3784</v>
      </c>
      <c r="N22" s="3405" t="s">
        <v>3341</v>
      </c>
      <c r="O22" s="3405" t="s">
        <v>3342</v>
      </c>
      <c r="P22" s="3405">
        <v>0.45</v>
      </c>
      <c r="Q22" s="3405" t="s">
        <v>3452</v>
      </c>
      <c r="R22" s="3405" t="s">
        <v>3344</v>
      </c>
      <c r="S22" s="3405" t="s">
        <v>3344</v>
      </c>
      <c r="T22" s="3405" t="s">
        <v>3344</v>
      </c>
      <c r="U22" s="3405" t="s">
        <v>3344</v>
      </c>
      <c r="V22" s="3405" t="s">
        <v>3344</v>
      </c>
      <c r="W22" s="3405" t="s">
        <v>3344</v>
      </c>
      <c r="X22" s="3405">
        <v>0</v>
      </c>
      <c r="Y22" s="3405">
        <v>0</v>
      </c>
      <c r="Z22" s="3406">
        <v>44440.0004976852</v>
      </c>
      <c r="AA22" s="3406">
        <v>44461.0004976852</v>
      </c>
      <c r="AB22" s="3406">
        <v>44480.0004976852</v>
      </c>
      <c r="AC22" s="3406">
        <v>44480.0004976852</v>
      </c>
      <c r="AD22" s="3405" t="s">
        <v>3453</v>
      </c>
      <c r="AE22" s="3405" t="s">
        <v>3346</v>
      </c>
      <c r="AF22" s="3405" t="s">
        <v>3445</v>
      </c>
      <c r="AG22" s="3405" t="s">
        <v>3344</v>
      </c>
      <c r="AH22" s="3405" t="s">
        <v>3344</v>
      </c>
      <c r="AI22" s="3405">
        <v>2632.78</v>
      </c>
      <c r="AJ22" s="3405">
        <v>530</v>
      </c>
      <c r="AK22" s="3405" t="s">
        <v>2092</v>
      </c>
      <c r="AL22" s="3405">
        <v>2632.78</v>
      </c>
      <c r="AM22" s="3405">
        <v>75.75</v>
      </c>
      <c r="AN22" s="3405">
        <v>75.75</v>
      </c>
      <c r="AO22" s="3405">
        <v>1136</v>
      </c>
      <c r="AP22" s="3405">
        <v>1136</v>
      </c>
      <c r="AQ22" s="3405" t="s">
        <v>3344</v>
      </c>
      <c r="AR22" s="3405" t="s">
        <v>3344</v>
      </c>
      <c r="AS22" s="3405">
        <v>0</v>
      </c>
      <c r="AT22" s="3405" t="s">
        <v>3357</v>
      </c>
      <c r="AU22" s="3405" t="s">
        <v>3342</v>
      </c>
      <c r="AV22" s="3405" t="s">
        <v>3344</v>
      </c>
      <c r="AW22" s="3405" t="s">
        <v>3342</v>
      </c>
      <c r="AX22" s="3405" t="s">
        <v>3344</v>
      </c>
      <c r="AY22" s="3405" t="s">
        <v>3344</v>
      </c>
      <c r="AZ22" s="3405" t="s">
        <v>3344</v>
      </c>
      <c r="BB22" s="3405">
        <f t="shared" si="0"/>
        <v>1136</v>
      </c>
      <c r="BC22" s="3407">
        <v>2438.15</v>
      </c>
      <c r="BD22" s="3408">
        <f t="shared" si="1"/>
        <v>1052</v>
      </c>
      <c r="BE22" s="3407">
        <f t="shared" si="2"/>
        <v>736</v>
      </c>
      <c r="BF22" s="3409">
        <f t="shared" si="4"/>
        <v>7.3899999999999993E-2</v>
      </c>
      <c r="BG22" s="3409">
        <f>ROUND(BF22/'[5]剩余（增值收益扣减）法'!$C$31,4)</f>
        <v>0.18479999999999999</v>
      </c>
    </row>
    <row r="23" spans="1:64">
      <c r="A23" s="3405" t="s">
        <v>3454</v>
      </c>
      <c r="B23" s="3405" t="s">
        <v>1465</v>
      </c>
      <c r="C23" s="3405" t="s">
        <v>3455</v>
      </c>
      <c r="D23" s="3405" t="s">
        <v>3334</v>
      </c>
      <c r="E23" s="3405" t="s">
        <v>3376</v>
      </c>
      <c r="F23" s="3405" t="s">
        <v>3392</v>
      </c>
      <c r="G23" s="3405" t="s">
        <v>3393</v>
      </c>
      <c r="H23" s="3405" t="s">
        <v>3338</v>
      </c>
      <c r="I23" s="3405">
        <v>6782.77</v>
      </c>
      <c r="J23" s="3405">
        <v>10174.16</v>
      </c>
      <c r="K23" s="3405" t="s">
        <v>3386</v>
      </c>
      <c r="L23" s="3405" t="s">
        <v>3339</v>
      </c>
      <c r="M23" s="3405" t="s">
        <v>3338</v>
      </c>
      <c r="N23" s="3405" t="s">
        <v>3341</v>
      </c>
      <c r="O23" s="3405" t="s">
        <v>3342</v>
      </c>
      <c r="P23" s="3405">
        <v>0.45</v>
      </c>
      <c r="Q23" s="3405" t="s">
        <v>3456</v>
      </c>
      <c r="R23" s="3405" t="s">
        <v>3344</v>
      </c>
      <c r="S23" s="3405" t="s">
        <v>3344</v>
      </c>
      <c r="T23" s="3405" t="s">
        <v>3344</v>
      </c>
      <c r="U23" s="3405" t="s">
        <v>3344</v>
      </c>
      <c r="V23" s="3405" t="s">
        <v>3344</v>
      </c>
      <c r="W23" s="3405" t="s">
        <v>3344</v>
      </c>
      <c r="X23" s="3405">
        <v>0</v>
      </c>
      <c r="Y23" s="3405">
        <v>0</v>
      </c>
      <c r="Z23" s="3406">
        <v>44399.0004976852</v>
      </c>
      <c r="AA23" s="3406">
        <v>44419.0004976852</v>
      </c>
      <c r="AB23" s="3406">
        <v>44433.0004976852</v>
      </c>
      <c r="AC23" s="3406">
        <v>44433.0004976852</v>
      </c>
      <c r="AD23" s="3405" t="s">
        <v>3457</v>
      </c>
      <c r="AE23" s="3405" t="s">
        <v>3346</v>
      </c>
      <c r="AF23" s="3405" t="s">
        <v>3458</v>
      </c>
      <c r="AG23" s="3405" t="s">
        <v>3344</v>
      </c>
      <c r="AH23" s="3405" t="s">
        <v>3344</v>
      </c>
      <c r="AI23" s="3405">
        <v>768.15</v>
      </c>
      <c r="AJ23" s="3405">
        <v>160</v>
      </c>
      <c r="AK23" s="3405" t="s">
        <v>2092</v>
      </c>
      <c r="AL23" s="3405">
        <v>768.15</v>
      </c>
      <c r="AM23" s="3405">
        <v>75.5</v>
      </c>
      <c r="AN23" s="3405">
        <v>75.5</v>
      </c>
      <c r="AO23" s="3405">
        <v>755</v>
      </c>
      <c r="AP23" s="3405">
        <v>755</v>
      </c>
      <c r="AQ23" s="3405" t="s">
        <v>3344</v>
      </c>
      <c r="AR23" s="3405" t="s">
        <v>3344</v>
      </c>
      <c r="AS23" s="3405">
        <v>0</v>
      </c>
      <c r="AT23" s="3405" t="s">
        <v>3357</v>
      </c>
      <c r="AU23" s="3405" t="s">
        <v>3342</v>
      </c>
      <c r="AV23" s="3405" t="s">
        <v>3344</v>
      </c>
      <c r="AW23" s="3405" t="s">
        <v>3342</v>
      </c>
      <c r="AX23" s="3405" t="s">
        <v>3344</v>
      </c>
      <c r="AY23" s="3405" t="s">
        <v>3344</v>
      </c>
      <c r="AZ23" s="3405" t="s">
        <v>3344</v>
      </c>
      <c r="BB23" s="3405">
        <f t="shared" si="0"/>
        <v>1133</v>
      </c>
      <c r="BC23" s="3407">
        <v>479.68299999999999</v>
      </c>
      <c r="BD23" s="3408">
        <f t="shared" si="1"/>
        <v>707</v>
      </c>
      <c r="BE23" s="3407">
        <f t="shared" si="2"/>
        <v>495</v>
      </c>
    </row>
    <row r="24" spans="1:64">
      <c r="A24" s="3405" t="s">
        <v>3459</v>
      </c>
      <c r="B24" s="3405" t="s">
        <v>1465</v>
      </c>
      <c r="C24" s="3405" t="s">
        <v>3460</v>
      </c>
      <c r="D24" s="3405" t="s">
        <v>3334</v>
      </c>
      <c r="E24" s="3405" t="s">
        <v>3376</v>
      </c>
      <c r="F24" s="3405" t="s">
        <v>3400</v>
      </c>
      <c r="G24" s="3405" t="s">
        <v>3461</v>
      </c>
      <c r="H24" s="3405" t="s">
        <v>3338</v>
      </c>
      <c r="I24" s="3405">
        <v>132895.59</v>
      </c>
      <c r="J24" s="3405">
        <v>132895.59</v>
      </c>
      <c r="K24" s="3405" t="s">
        <v>3462</v>
      </c>
      <c r="L24" s="3405" t="s">
        <v>3339</v>
      </c>
      <c r="M24" s="3405" t="s">
        <v>3463</v>
      </c>
      <c r="N24" s="3405" t="s">
        <v>3341</v>
      </c>
      <c r="O24" s="3405" t="s">
        <v>3342</v>
      </c>
      <c r="P24" s="3405" t="s">
        <v>3344</v>
      </c>
      <c r="Q24" s="3405" t="s">
        <v>3464</v>
      </c>
      <c r="R24" s="3405" t="s">
        <v>3344</v>
      </c>
      <c r="S24" s="3405" t="s">
        <v>3344</v>
      </c>
      <c r="T24" s="3405" t="s">
        <v>3344</v>
      </c>
      <c r="U24" s="3405" t="s">
        <v>3344</v>
      </c>
      <c r="V24" s="3405">
        <v>0</v>
      </c>
      <c r="W24" s="3405">
        <v>0</v>
      </c>
      <c r="X24" s="3405">
        <v>0</v>
      </c>
      <c r="Y24" s="3405">
        <v>0</v>
      </c>
      <c r="Z24" s="3406">
        <v>44316.0004976852</v>
      </c>
      <c r="AA24" s="3406">
        <v>44336.0004976852</v>
      </c>
      <c r="AB24" s="3406">
        <v>44350.0004976852</v>
      </c>
      <c r="AC24" s="3406">
        <v>44350.0004976852</v>
      </c>
      <c r="AD24" s="3405" t="s">
        <v>3465</v>
      </c>
      <c r="AE24" s="3405" t="s">
        <v>3346</v>
      </c>
      <c r="AF24" s="3405" t="s">
        <v>3466</v>
      </c>
      <c r="AG24" s="3405" t="s">
        <v>3467</v>
      </c>
      <c r="AH24" s="3405" t="s">
        <v>3468</v>
      </c>
      <c r="AI24" s="3405">
        <v>17928.64</v>
      </c>
      <c r="AJ24" s="3405">
        <v>3600</v>
      </c>
      <c r="AK24" s="3405" t="s">
        <v>2092</v>
      </c>
      <c r="AL24" s="3405">
        <v>17928.64</v>
      </c>
      <c r="AM24" s="3405">
        <v>89.94</v>
      </c>
      <c r="AN24" s="3405">
        <v>89.94</v>
      </c>
      <c r="AO24" s="3405">
        <v>1349</v>
      </c>
      <c r="AP24" s="3405">
        <v>1349</v>
      </c>
      <c r="AQ24" s="3405" t="s">
        <v>3344</v>
      </c>
      <c r="AR24" s="3405" t="s">
        <v>3344</v>
      </c>
      <c r="AS24" s="3405">
        <v>0</v>
      </c>
      <c r="AT24" s="3405" t="s">
        <v>3357</v>
      </c>
      <c r="AU24" s="3405" t="s">
        <v>3342</v>
      </c>
      <c r="AV24" s="3405" t="s">
        <v>3344</v>
      </c>
      <c r="AW24" s="3405" t="s">
        <v>3342</v>
      </c>
      <c r="AX24" s="3405" t="s">
        <v>3344</v>
      </c>
      <c r="AY24" s="3405" t="s">
        <v>3344</v>
      </c>
      <c r="AZ24" s="3405" t="s">
        <v>3344</v>
      </c>
      <c r="BB24" s="3405">
        <f t="shared" si="0"/>
        <v>1349</v>
      </c>
      <c r="BC24" s="3407">
        <v>16493.3691</v>
      </c>
      <c r="BD24" s="3408">
        <f t="shared" si="1"/>
        <v>1241</v>
      </c>
      <c r="BE24" s="3407">
        <f t="shared" si="2"/>
        <v>869</v>
      </c>
      <c r="BF24" s="3409">
        <f t="shared" si="4"/>
        <v>8.0100000000000005E-2</v>
      </c>
      <c r="BG24" s="3409">
        <f>ROUND(BF24/'[5]剩余（增值收益扣减）法'!$C$31,4)</f>
        <v>0.20030000000000001</v>
      </c>
    </row>
    <row r="25" spans="1:64" s="3424" customFormat="1">
      <c r="A25" s="3424" t="s">
        <v>3469</v>
      </c>
      <c r="B25" s="3424" t="s">
        <v>1465</v>
      </c>
      <c r="C25" s="3424" t="s">
        <v>3470</v>
      </c>
      <c r="D25" s="3424" t="s">
        <v>3334</v>
      </c>
      <c r="E25" s="3424" t="s">
        <v>3376</v>
      </c>
      <c r="F25" s="3424" t="s">
        <v>3344</v>
      </c>
      <c r="G25" s="3424" t="s">
        <v>3471</v>
      </c>
      <c r="H25" s="3424" t="s">
        <v>3338</v>
      </c>
      <c r="I25" s="3424">
        <v>194336.92</v>
      </c>
      <c r="J25" s="3424">
        <v>291505.37</v>
      </c>
      <c r="K25" s="3424" t="s">
        <v>3386</v>
      </c>
      <c r="L25" s="3424" t="s">
        <v>3339</v>
      </c>
      <c r="M25" s="3424" t="s">
        <v>3472</v>
      </c>
      <c r="N25" s="3424" t="s">
        <v>3341</v>
      </c>
      <c r="O25" s="3424" t="s">
        <v>3342</v>
      </c>
      <c r="P25" s="3424" t="s">
        <v>3344</v>
      </c>
      <c r="Q25" s="3424" t="s">
        <v>3473</v>
      </c>
      <c r="R25" s="3424" t="s">
        <v>3344</v>
      </c>
      <c r="S25" s="3424" t="s">
        <v>3344</v>
      </c>
      <c r="T25" s="3424" t="s">
        <v>3344</v>
      </c>
      <c r="U25" s="3424" t="s">
        <v>3344</v>
      </c>
      <c r="V25" s="3424">
        <v>0</v>
      </c>
      <c r="W25" s="3424">
        <v>0</v>
      </c>
      <c r="X25" s="3424">
        <v>0</v>
      </c>
      <c r="Y25" s="3424">
        <v>0</v>
      </c>
      <c r="Z25" s="3425">
        <v>44309.0004976852</v>
      </c>
      <c r="AA25" s="3425">
        <v>44329.0004976852</v>
      </c>
      <c r="AB25" s="3425">
        <v>44343.0004976852</v>
      </c>
      <c r="AC25" s="3425">
        <v>44343.0004976852</v>
      </c>
      <c r="AD25" s="3424" t="s">
        <v>3474</v>
      </c>
      <c r="AE25" s="3424" t="s">
        <v>3346</v>
      </c>
      <c r="AF25" s="3424" t="s">
        <v>3475</v>
      </c>
      <c r="AG25" s="3424" t="s">
        <v>3476</v>
      </c>
      <c r="AH25" s="3424" t="s">
        <v>3477</v>
      </c>
      <c r="AI25" s="3424">
        <v>31978.14</v>
      </c>
      <c r="AJ25" s="3424">
        <v>6400</v>
      </c>
      <c r="AK25" s="3424" t="s">
        <v>2092</v>
      </c>
      <c r="AL25" s="3424">
        <v>31978.14</v>
      </c>
      <c r="AM25" s="3424">
        <v>109.7</v>
      </c>
      <c r="AN25" s="3424">
        <v>109.7</v>
      </c>
      <c r="AO25" s="3424">
        <v>1097</v>
      </c>
      <c r="AP25" s="3424">
        <v>1097</v>
      </c>
      <c r="AQ25" s="3424" t="s">
        <v>3344</v>
      </c>
      <c r="AR25" s="3424" t="s">
        <v>3344</v>
      </c>
      <c r="AS25" s="3424">
        <v>0</v>
      </c>
      <c r="AT25" s="3424" t="s">
        <v>3357</v>
      </c>
      <c r="AU25" s="3424" t="s">
        <v>3342</v>
      </c>
      <c r="AV25" s="3424" t="s">
        <v>3344</v>
      </c>
      <c r="AW25" s="3424" t="s">
        <v>3342</v>
      </c>
      <c r="AX25" s="3424" t="s">
        <v>3344</v>
      </c>
      <c r="AY25" s="3424" t="s">
        <v>3344</v>
      </c>
      <c r="AZ25" s="3424" t="s">
        <v>3344</v>
      </c>
      <c r="BB25" s="3514">
        <f t="shared" si="0"/>
        <v>1645</v>
      </c>
      <c r="BC25" s="3426">
        <v>28731.727900000002</v>
      </c>
      <c r="BD25" s="3515">
        <f t="shared" si="1"/>
        <v>1478</v>
      </c>
      <c r="BE25" s="3516">
        <f t="shared" si="2"/>
        <v>1035</v>
      </c>
      <c r="BF25" s="3517">
        <f t="shared" si="4"/>
        <v>0.10150000000000001</v>
      </c>
      <c r="BG25" s="3517">
        <f>ROUND(BF25/'[5]剩余（增值收益扣减）法'!$C$31,4)</f>
        <v>0.25380000000000003</v>
      </c>
      <c r="BI25" s="3427" t="s">
        <v>3785</v>
      </c>
      <c r="BJ25" s="3427">
        <f>ROUND(BB25*[5]土地一级开发案例!$B$26/[5]土地一级开发案例!B31,0)</f>
        <v>8502</v>
      </c>
      <c r="BL25" s="3428">
        <f>ROUND(BJ25*'[1]剩余（增值收益扣减）法'!$C$34/'[1]剩余（增值收益扣减）法'!$C$33,0)</f>
        <v>12455</v>
      </c>
    </row>
    <row r="26" spans="1:64">
      <c r="A26" s="3405" t="s">
        <v>3478</v>
      </c>
      <c r="B26" s="3405" t="s">
        <v>1465</v>
      </c>
      <c r="C26" s="3405" t="s">
        <v>3479</v>
      </c>
      <c r="D26" s="3405" t="s">
        <v>3334</v>
      </c>
      <c r="E26" s="3405" t="s">
        <v>3376</v>
      </c>
      <c r="F26" s="3405" t="s">
        <v>3400</v>
      </c>
      <c r="G26" s="3405" t="s">
        <v>3461</v>
      </c>
      <c r="H26" s="3405" t="s">
        <v>3338</v>
      </c>
      <c r="I26" s="3405">
        <v>110807.97</v>
      </c>
      <c r="J26" s="3405">
        <v>149590.76</v>
      </c>
      <c r="K26" s="3405" t="s">
        <v>3480</v>
      </c>
      <c r="L26" s="3405" t="s">
        <v>3339</v>
      </c>
      <c r="M26" s="3405" t="s">
        <v>3338</v>
      </c>
      <c r="N26" s="3405" t="s">
        <v>3341</v>
      </c>
      <c r="O26" s="3405" t="s">
        <v>3342</v>
      </c>
      <c r="P26" s="3405" t="s">
        <v>3481</v>
      </c>
      <c r="Q26" s="3405" t="s">
        <v>3354</v>
      </c>
      <c r="R26" s="3405" t="s">
        <v>3344</v>
      </c>
      <c r="S26" s="3405" t="s">
        <v>3344</v>
      </c>
      <c r="T26" s="3405" t="s">
        <v>3344</v>
      </c>
      <c r="U26" s="3405" t="s">
        <v>3344</v>
      </c>
      <c r="V26" s="3405">
        <v>0</v>
      </c>
      <c r="W26" s="3405">
        <v>0</v>
      </c>
      <c r="X26" s="3405">
        <v>0</v>
      </c>
      <c r="Y26" s="3405">
        <v>0</v>
      </c>
      <c r="Z26" s="3406">
        <v>44229.0004976852</v>
      </c>
      <c r="AA26" s="3406">
        <v>44249.0004976852</v>
      </c>
      <c r="AB26" s="3406">
        <v>44263.0004976852</v>
      </c>
      <c r="AC26" s="3406">
        <v>44263.0004976852</v>
      </c>
      <c r="AD26" s="3405" t="s">
        <v>3482</v>
      </c>
      <c r="AE26" s="3405" t="s">
        <v>3346</v>
      </c>
      <c r="AF26" s="3405" t="s">
        <v>3483</v>
      </c>
      <c r="AG26" s="3405" t="s">
        <v>3484</v>
      </c>
      <c r="AH26" s="3405" t="s">
        <v>3485</v>
      </c>
      <c r="AI26" s="3405">
        <v>11293.36</v>
      </c>
      <c r="AJ26" s="3405">
        <v>2300</v>
      </c>
      <c r="AK26" s="3405" t="s">
        <v>2092</v>
      </c>
      <c r="AL26" s="3405">
        <v>11293.36</v>
      </c>
      <c r="AM26" s="3405">
        <v>67.95</v>
      </c>
      <c r="AN26" s="3405">
        <v>67.95</v>
      </c>
      <c r="AO26" s="3405">
        <v>755</v>
      </c>
      <c r="AP26" s="3405">
        <v>755</v>
      </c>
      <c r="AQ26" s="3405" t="s">
        <v>3344</v>
      </c>
      <c r="AR26" s="3405" t="s">
        <v>3344</v>
      </c>
      <c r="AS26" s="3405">
        <v>0</v>
      </c>
      <c r="AT26" s="3405" t="s">
        <v>3357</v>
      </c>
      <c r="AU26" s="3405" t="s">
        <v>3342</v>
      </c>
      <c r="AV26" s="3405" t="s">
        <v>3344</v>
      </c>
      <c r="AW26" s="3405" t="s">
        <v>3342</v>
      </c>
      <c r="AX26" s="3405" t="s">
        <v>3344</v>
      </c>
      <c r="AY26" s="3405" t="s">
        <v>3344</v>
      </c>
      <c r="AZ26" s="3405" t="s">
        <v>3344</v>
      </c>
      <c r="BB26" s="3405">
        <f t="shared" si="0"/>
        <v>1019</v>
      </c>
      <c r="BC26" s="3407">
        <v>10231.2673</v>
      </c>
      <c r="BD26" s="3408">
        <f t="shared" si="1"/>
        <v>923</v>
      </c>
      <c r="BE26" s="3407">
        <f t="shared" si="2"/>
        <v>646</v>
      </c>
      <c r="BF26" s="3409">
        <f t="shared" si="4"/>
        <v>9.4E-2</v>
      </c>
      <c r="BG26" s="3409">
        <f>ROUND(BF26/'[5]剩余（增值收益扣减）法'!$C$31,4)</f>
        <v>0.23499999999999999</v>
      </c>
    </row>
    <row r="27" spans="1:64">
      <c r="A27" s="3405" t="s">
        <v>3486</v>
      </c>
      <c r="B27" s="3405" t="s">
        <v>1465</v>
      </c>
      <c r="C27" s="3405" t="s">
        <v>3487</v>
      </c>
      <c r="D27" s="3405" t="s">
        <v>3334</v>
      </c>
      <c r="E27" s="3405" t="s">
        <v>3376</v>
      </c>
      <c r="F27" s="3405" t="s">
        <v>3344</v>
      </c>
      <c r="G27" s="3405" t="s">
        <v>3488</v>
      </c>
      <c r="H27" s="3405" t="s">
        <v>3338</v>
      </c>
      <c r="I27" s="3405">
        <v>33333</v>
      </c>
      <c r="J27" s="3405">
        <v>40000</v>
      </c>
      <c r="K27" s="3405" t="s">
        <v>3370</v>
      </c>
      <c r="L27" s="3405" t="s">
        <v>3339</v>
      </c>
      <c r="M27" s="3405" t="s">
        <v>3432</v>
      </c>
      <c r="N27" s="3405" t="s">
        <v>3341</v>
      </c>
      <c r="O27" s="3405" t="s">
        <v>3342</v>
      </c>
      <c r="P27" s="3405" t="s">
        <v>3344</v>
      </c>
      <c r="Q27" s="3405" t="s">
        <v>3354</v>
      </c>
      <c r="R27" s="3405" t="s">
        <v>3344</v>
      </c>
      <c r="S27" s="3405" t="s">
        <v>3344</v>
      </c>
      <c r="T27" s="3405" t="s">
        <v>3344</v>
      </c>
      <c r="U27" s="3405" t="s">
        <v>3344</v>
      </c>
      <c r="V27" s="3405">
        <v>0</v>
      </c>
      <c r="W27" s="3405">
        <v>0</v>
      </c>
      <c r="X27" s="3405">
        <v>0</v>
      </c>
      <c r="Y27" s="3405">
        <v>0</v>
      </c>
      <c r="Z27" s="3406">
        <v>44195.0004976852</v>
      </c>
      <c r="AA27" s="3406">
        <v>44215.0004976852</v>
      </c>
      <c r="AB27" s="3406">
        <v>44229.0004976852</v>
      </c>
      <c r="AC27" s="3406">
        <v>44229.0004976852</v>
      </c>
      <c r="AD27" s="3405" t="s">
        <v>3489</v>
      </c>
      <c r="AE27" s="3405" t="s">
        <v>3346</v>
      </c>
      <c r="AF27" s="3405" t="s">
        <v>3490</v>
      </c>
      <c r="AG27" s="3405" t="s">
        <v>3344</v>
      </c>
      <c r="AH27" s="3405" t="s">
        <v>3344</v>
      </c>
      <c r="AI27" s="3405">
        <v>5935.6</v>
      </c>
      <c r="AJ27" s="3405">
        <v>1200</v>
      </c>
      <c r="AK27" s="3405" t="s">
        <v>2092</v>
      </c>
      <c r="AL27" s="3405">
        <v>5935.6</v>
      </c>
      <c r="AM27" s="3405">
        <v>118.71</v>
      </c>
      <c r="AN27" s="3405">
        <v>118.71</v>
      </c>
      <c r="AO27" s="3405">
        <v>1484</v>
      </c>
      <c r="AP27" s="3405">
        <v>1484</v>
      </c>
      <c r="AQ27" s="3405" t="s">
        <v>3344</v>
      </c>
      <c r="AR27" s="3405" t="s">
        <v>3344</v>
      </c>
      <c r="AS27" s="3405">
        <v>0</v>
      </c>
      <c r="AT27" s="3405" t="s">
        <v>3357</v>
      </c>
      <c r="AU27" s="3405" t="s">
        <v>3342</v>
      </c>
      <c r="AV27" s="3405" t="s">
        <v>3344</v>
      </c>
      <c r="AW27" s="3405" t="s">
        <v>3342</v>
      </c>
      <c r="AX27" s="3405" t="s">
        <v>3344</v>
      </c>
      <c r="AY27" s="3405" t="s">
        <v>3344</v>
      </c>
      <c r="AZ27" s="3405" t="s">
        <v>3344</v>
      </c>
      <c r="BB27" s="3405">
        <f t="shared" si="0"/>
        <v>1781</v>
      </c>
      <c r="BC27" s="3407">
        <v>5503.6</v>
      </c>
      <c r="BD27" s="3408">
        <f t="shared" si="1"/>
        <v>1651</v>
      </c>
      <c r="BE27" s="3407">
        <f t="shared" si="2"/>
        <v>1156</v>
      </c>
      <c r="BF27" s="3409">
        <f t="shared" si="4"/>
        <v>7.2800000000000004E-2</v>
      </c>
      <c r="BG27" s="3409">
        <f>ROUND(BF27/'[5]剩余（增值收益扣减）法'!$C$31,4)</f>
        <v>0.182</v>
      </c>
    </row>
    <row r="28" spans="1:64">
      <c r="A28" s="3405" t="s">
        <v>3491</v>
      </c>
      <c r="B28" s="3405" t="s">
        <v>1465</v>
      </c>
      <c r="C28" s="3405" t="s">
        <v>3492</v>
      </c>
      <c r="D28" s="3405" t="s">
        <v>3334</v>
      </c>
      <c r="E28" s="3405" t="s">
        <v>3376</v>
      </c>
      <c r="F28" s="3405" t="s">
        <v>3392</v>
      </c>
      <c r="G28" s="3405" t="s">
        <v>3493</v>
      </c>
      <c r="H28" s="3405" t="s">
        <v>3338</v>
      </c>
      <c r="I28" s="3405">
        <v>26644.98</v>
      </c>
      <c r="J28" s="3405">
        <v>53289.96</v>
      </c>
      <c r="K28" s="3405" t="s">
        <v>3494</v>
      </c>
      <c r="L28" s="3405" t="s">
        <v>3339</v>
      </c>
      <c r="M28" s="3405" t="s">
        <v>3371</v>
      </c>
      <c r="N28" s="3405" t="s">
        <v>3341</v>
      </c>
      <c r="O28" s="3405" t="s">
        <v>3342</v>
      </c>
      <c r="P28" s="3405" t="s">
        <v>3344</v>
      </c>
      <c r="Q28" s="3405" t="s">
        <v>3364</v>
      </c>
      <c r="R28" s="3405" t="s">
        <v>3344</v>
      </c>
      <c r="S28" s="3405" t="s">
        <v>3344</v>
      </c>
      <c r="T28" s="3405" t="s">
        <v>3344</v>
      </c>
      <c r="U28" s="3405" t="s">
        <v>3344</v>
      </c>
      <c r="V28" s="3405">
        <v>0</v>
      </c>
      <c r="W28" s="3405">
        <v>0</v>
      </c>
      <c r="X28" s="3405">
        <v>0</v>
      </c>
      <c r="Y28" s="3405">
        <v>0</v>
      </c>
      <c r="Z28" s="3406">
        <v>44104.0004976852</v>
      </c>
      <c r="AA28" s="3406">
        <v>44124.0004976852</v>
      </c>
      <c r="AB28" s="3406">
        <v>44139.0004976852</v>
      </c>
      <c r="AC28" s="3406">
        <v>44139.0004976852</v>
      </c>
      <c r="AD28" s="3405" t="s">
        <v>3495</v>
      </c>
      <c r="AE28" s="3405" t="s">
        <v>3346</v>
      </c>
      <c r="AF28" s="3405" t="s">
        <v>3496</v>
      </c>
      <c r="AG28" s="3405" t="s">
        <v>3344</v>
      </c>
      <c r="AH28" s="3405" t="s">
        <v>3344</v>
      </c>
      <c r="AI28" s="3405">
        <v>3744.24</v>
      </c>
      <c r="AJ28" s="3405">
        <v>800</v>
      </c>
      <c r="AK28" s="3405" t="s">
        <v>2092</v>
      </c>
      <c r="AL28" s="3405">
        <v>3744.24</v>
      </c>
      <c r="AM28" s="3405">
        <v>93.68</v>
      </c>
      <c r="AN28" s="3405">
        <v>93.68</v>
      </c>
      <c r="AO28" s="3405">
        <v>703</v>
      </c>
      <c r="AP28" s="3405">
        <v>703</v>
      </c>
      <c r="AQ28" s="3405" t="s">
        <v>3344</v>
      </c>
      <c r="AR28" s="3405" t="s">
        <v>3344</v>
      </c>
      <c r="AS28" s="3405">
        <v>0</v>
      </c>
      <c r="AT28" s="3405" t="s">
        <v>3357</v>
      </c>
      <c r="AU28" s="3405" t="s">
        <v>3342</v>
      </c>
      <c r="AV28" s="3405" t="s">
        <v>3344</v>
      </c>
      <c r="AW28" s="3405" t="s">
        <v>3342</v>
      </c>
      <c r="AX28" s="3405" t="s">
        <v>3344</v>
      </c>
      <c r="AY28" s="3405" t="s">
        <v>3344</v>
      </c>
      <c r="AZ28" s="3405" t="s">
        <v>3344</v>
      </c>
      <c r="BB28" s="3405">
        <f t="shared" si="0"/>
        <v>1405</v>
      </c>
      <c r="BC28" s="3407">
        <v>2214.8209999999999</v>
      </c>
      <c r="BD28" s="3408">
        <f t="shared" si="1"/>
        <v>831</v>
      </c>
      <c r="BE28" s="3407">
        <f t="shared" si="2"/>
        <v>582</v>
      </c>
    </row>
    <row r="29" spans="1:64" s="3412" customFormat="1" ht="15.75" thickBot="1">
      <c r="A29" s="3412" t="s">
        <v>3786</v>
      </c>
      <c r="B29" s="3412" t="s">
        <v>1465</v>
      </c>
      <c r="C29" s="3412" t="s">
        <v>3497</v>
      </c>
      <c r="D29" s="3412" t="s">
        <v>3334</v>
      </c>
      <c r="E29" s="3412" t="s">
        <v>3376</v>
      </c>
      <c r="F29" s="3412" t="s">
        <v>3392</v>
      </c>
      <c r="G29" s="3412" t="s">
        <v>3493</v>
      </c>
      <c r="H29" s="3412" t="s">
        <v>3338</v>
      </c>
      <c r="I29" s="3412">
        <v>67532.14</v>
      </c>
      <c r="J29" s="3412">
        <v>101298</v>
      </c>
      <c r="K29" s="3412" t="s">
        <v>3386</v>
      </c>
      <c r="L29" s="3412" t="s">
        <v>3339</v>
      </c>
      <c r="M29" s="3412" t="s">
        <v>3371</v>
      </c>
      <c r="N29" s="3412" t="s">
        <v>3341</v>
      </c>
      <c r="O29" s="3412" t="s">
        <v>3342</v>
      </c>
      <c r="P29" s="3412" t="s">
        <v>3344</v>
      </c>
      <c r="Q29" s="3412" t="s">
        <v>3343</v>
      </c>
      <c r="R29" s="3412" t="s">
        <v>3344</v>
      </c>
      <c r="S29" s="3412" t="s">
        <v>3344</v>
      </c>
      <c r="T29" s="3412" t="s">
        <v>3344</v>
      </c>
      <c r="U29" s="3412" t="s">
        <v>3344</v>
      </c>
      <c r="V29" s="3412">
        <v>0</v>
      </c>
      <c r="W29" s="3412">
        <v>0</v>
      </c>
      <c r="X29" s="3412">
        <v>0</v>
      </c>
      <c r="Y29" s="3412">
        <v>0</v>
      </c>
      <c r="Z29" s="3413">
        <v>44104.0004976852</v>
      </c>
      <c r="AA29" s="3413">
        <v>44124.0004976852</v>
      </c>
      <c r="AB29" s="3413">
        <v>44139.0004976852</v>
      </c>
      <c r="AC29" s="3413">
        <v>44139.0004976852</v>
      </c>
      <c r="AD29" s="3412" t="s">
        <v>3498</v>
      </c>
      <c r="AE29" s="3412" t="s">
        <v>3346</v>
      </c>
      <c r="AF29" s="3412" t="s">
        <v>3499</v>
      </c>
      <c r="AG29" s="3412" t="s">
        <v>3344</v>
      </c>
      <c r="AH29" s="3412" t="s">
        <v>3344</v>
      </c>
      <c r="AI29" s="3412">
        <v>7574.07</v>
      </c>
      <c r="AJ29" s="3412">
        <v>1600</v>
      </c>
      <c r="AK29" s="3412" t="s">
        <v>2092</v>
      </c>
      <c r="AL29" s="3412">
        <v>7574.07</v>
      </c>
      <c r="AM29" s="3412">
        <v>74.77</v>
      </c>
      <c r="AN29" s="3412">
        <v>74.77</v>
      </c>
      <c r="AO29" s="3412">
        <v>748</v>
      </c>
      <c r="AP29" s="3412">
        <v>748</v>
      </c>
      <c r="AQ29" s="3412" t="s">
        <v>3344</v>
      </c>
      <c r="AR29" s="3412" t="s">
        <v>3344</v>
      </c>
      <c r="AS29" s="3412">
        <v>0</v>
      </c>
      <c r="AT29" s="3412" t="s">
        <v>3357</v>
      </c>
      <c r="AU29" s="3412" t="s">
        <v>3342</v>
      </c>
      <c r="AV29" s="3412" t="s">
        <v>3344</v>
      </c>
      <c r="AW29" s="3412" t="s">
        <v>3342</v>
      </c>
      <c r="AX29" s="3412" t="s">
        <v>3344</v>
      </c>
      <c r="AY29" s="3412" t="s">
        <v>3344</v>
      </c>
      <c r="AZ29" s="3412" t="s">
        <v>3344</v>
      </c>
      <c r="BB29" s="3412">
        <f t="shared" si="0"/>
        <v>1122</v>
      </c>
      <c r="BC29" s="3421" t="s">
        <v>3787</v>
      </c>
      <c r="BD29" s="3415"/>
      <c r="BE29" s="3414"/>
      <c r="BF29" s="3416"/>
      <c r="BG29" s="3416"/>
      <c r="BI29" s="3417"/>
      <c r="BJ29" s="3417"/>
      <c r="BL29" s="3418"/>
    </row>
    <row r="30" spans="1:64" s="3514" customFormat="1">
      <c r="A30" s="3514" t="s">
        <v>3500</v>
      </c>
      <c r="B30" s="3514" t="s">
        <v>1465</v>
      </c>
      <c r="C30" s="3514" t="s">
        <v>3501</v>
      </c>
      <c r="D30" s="3514" t="s">
        <v>3334</v>
      </c>
      <c r="E30" s="3514" t="s">
        <v>3502</v>
      </c>
      <c r="F30" s="3514" t="s">
        <v>3503</v>
      </c>
      <c r="G30" s="3514" t="s">
        <v>3504</v>
      </c>
      <c r="H30" s="3514" t="s">
        <v>3338</v>
      </c>
      <c r="I30" s="3514">
        <v>94169.78</v>
      </c>
      <c r="J30" s="3514">
        <v>141254.67000000001</v>
      </c>
      <c r="K30" s="3514">
        <v>1.5</v>
      </c>
      <c r="L30" s="3514" t="s">
        <v>3339</v>
      </c>
      <c r="M30" s="3514" t="s">
        <v>3505</v>
      </c>
      <c r="N30" s="3514" t="s">
        <v>3341</v>
      </c>
      <c r="O30" s="3514" t="s">
        <v>3342</v>
      </c>
      <c r="P30" s="3514" t="s">
        <v>3344</v>
      </c>
      <c r="Q30" s="3514" t="s">
        <v>3344</v>
      </c>
      <c r="R30" s="3514" t="s">
        <v>3344</v>
      </c>
      <c r="S30" s="3514" t="s">
        <v>3344</v>
      </c>
      <c r="T30" s="3514" t="s">
        <v>3344</v>
      </c>
      <c r="U30" s="3514" t="s">
        <v>3344</v>
      </c>
      <c r="V30" s="3514" t="s">
        <v>3344</v>
      </c>
      <c r="W30" s="3514" t="s">
        <v>3344</v>
      </c>
      <c r="X30" s="3514">
        <v>0</v>
      </c>
      <c r="Y30" s="3514">
        <v>0</v>
      </c>
      <c r="Z30" s="3518">
        <v>45064</v>
      </c>
      <c r="AA30" s="3518">
        <v>45084</v>
      </c>
      <c r="AB30" s="3518">
        <v>45098</v>
      </c>
      <c r="AC30" s="3518">
        <v>45098</v>
      </c>
      <c r="AD30" s="3514" t="s">
        <v>3506</v>
      </c>
      <c r="AE30" s="3514" t="s">
        <v>3346</v>
      </c>
      <c r="AF30" s="3514" t="s">
        <v>3507</v>
      </c>
      <c r="AG30" s="3514" t="s">
        <v>3344</v>
      </c>
      <c r="AH30" s="3514" t="s">
        <v>3344</v>
      </c>
      <c r="AI30" s="3514">
        <v>15396.76</v>
      </c>
      <c r="AJ30" s="3514">
        <v>3080</v>
      </c>
      <c r="AK30" s="3519">
        <v>45097.625</v>
      </c>
      <c r="AL30" s="3514">
        <v>15396.76</v>
      </c>
      <c r="AM30" s="3514">
        <v>109</v>
      </c>
      <c r="AN30" s="3514">
        <v>109</v>
      </c>
      <c r="AO30" s="3514">
        <v>1090</v>
      </c>
      <c r="AP30" s="3514">
        <v>1090</v>
      </c>
      <c r="AQ30" s="3514" t="s">
        <v>3344</v>
      </c>
      <c r="AR30" s="3514" t="s">
        <v>3344</v>
      </c>
      <c r="AS30" s="3514">
        <v>0</v>
      </c>
      <c r="AT30" s="3514" t="s">
        <v>3357</v>
      </c>
      <c r="AU30" s="3514" t="s">
        <v>3342</v>
      </c>
      <c r="AV30" s="3514" t="s">
        <v>3344</v>
      </c>
      <c r="AW30" s="3514" t="s">
        <v>3342</v>
      </c>
      <c r="AX30" s="3514" t="s">
        <v>3344</v>
      </c>
      <c r="AY30" s="3514" t="s">
        <v>3344</v>
      </c>
      <c r="AZ30" s="3514" t="s">
        <v>3344</v>
      </c>
      <c r="BB30" s="3514">
        <f t="shared" si="0"/>
        <v>1635</v>
      </c>
      <c r="BC30" s="3516">
        <v>14405.86</v>
      </c>
      <c r="BD30" s="3515">
        <f t="shared" si="1"/>
        <v>1530</v>
      </c>
      <c r="BE30" s="3516">
        <f t="shared" si="2"/>
        <v>1071</v>
      </c>
      <c r="BF30" s="3517">
        <f t="shared" si="4"/>
        <v>6.4399999999999999E-2</v>
      </c>
      <c r="BG30" s="3517">
        <f>ROUND(BF30/'[5]剩余（增值收益扣减）法'!$C$31,4)</f>
        <v>0.161</v>
      </c>
      <c r="BI30" s="3520" t="s">
        <v>3788</v>
      </c>
      <c r="BJ30" s="3427">
        <f>ROUND(BB30*[5]土地一级开发案例!$B$26/[5]土地一级开发案例!B33,0)</f>
        <v>14084</v>
      </c>
      <c r="BL30" s="3521">
        <f>ROUND(BJ30*'[1]剩余（增值收益扣减）法'!$C$34/'[1]剩余（增值收益扣减）法'!$C$33,0)</f>
        <v>20632</v>
      </c>
    </row>
    <row r="31" spans="1:64">
      <c r="A31" s="3405" t="s">
        <v>3508</v>
      </c>
      <c r="B31" s="3405" t="s">
        <v>1465</v>
      </c>
      <c r="C31" s="3405" t="s">
        <v>3509</v>
      </c>
      <c r="D31" s="3405" t="s">
        <v>3334</v>
      </c>
      <c r="E31" s="3405" t="s">
        <v>3502</v>
      </c>
      <c r="F31" s="3405" t="s">
        <v>3510</v>
      </c>
      <c r="G31" s="3405" t="s">
        <v>3511</v>
      </c>
      <c r="H31" s="3405" t="s">
        <v>3338</v>
      </c>
      <c r="I31" s="3405">
        <v>84245.85</v>
      </c>
      <c r="J31" s="3405">
        <v>84245.85</v>
      </c>
      <c r="K31" s="3405" t="s">
        <v>3394</v>
      </c>
      <c r="L31" s="3405" t="s">
        <v>3339</v>
      </c>
      <c r="M31" s="3405" t="s">
        <v>3512</v>
      </c>
      <c r="N31" s="3405" t="s">
        <v>3341</v>
      </c>
      <c r="O31" s="3405" t="s">
        <v>3342</v>
      </c>
      <c r="P31" s="3405" t="s">
        <v>3344</v>
      </c>
      <c r="Q31" s="3405" t="s">
        <v>3344</v>
      </c>
      <c r="R31" s="3405" t="s">
        <v>3344</v>
      </c>
      <c r="S31" s="3405" t="s">
        <v>3344</v>
      </c>
      <c r="T31" s="3405" t="s">
        <v>3344</v>
      </c>
      <c r="U31" s="3405" t="s">
        <v>3344</v>
      </c>
      <c r="V31" s="3405">
        <v>0</v>
      </c>
      <c r="W31" s="3405">
        <v>0</v>
      </c>
      <c r="X31" s="3405">
        <v>0</v>
      </c>
      <c r="Y31" s="3405">
        <v>0</v>
      </c>
      <c r="Z31" s="3406">
        <v>44896</v>
      </c>
      <c r="AA31" s="3406">
        <v>44916</v>
      </c>
      <c r="AB31" s="3406">
        <v>44931</v>
      </c>
      <c r="AC31" s="3406">
        <v>44931</v>
      </c>
      <c r="AD31" s="3405" t="s">
        <v>3513</v>
      </c>
      <c r="AE31" s="3405" t="s">
        <v>3346</v>
      </c>
      <c r="AF31" s="3405" t="s">
        <v>3514</v>
      </c>
      <c r="AG31" s="3405" t="s">
        <v>3344</v>
      </c>
      <c r="AH31" s="3405" t="s">
        <v>3344</v>
      </c>
      <c r="AI31" s="3405">
        <v>23049.66</v>
      </c>
      <c r="AJ31" s="3405">
        <v>4610</v>
      </c>
      <c r="AK31" s="3420">
        <v>44930.625</v>
      </c>
      <c r="AL31" s="3405">
        <v>23049.66</v>
      </c>
      <c r="AM31" s="3405">
        <v>182.4</v>
      </c>
      <c r="AN31" s="3405">
        <v>182.4</v>
      </c>
      <c r="AO31" s="3405">
        <v>2736</v>
      </c>
      <c r="AP31" s="3405">
        <v>2736</v>
      </c>
      <c r="AQ31" s="3405" t="s">
        <v>3344</v>
      </c>
      <c r="AR31" s="3405" t="s">
        <v>3344</v>
      </c>
      <c r="AS31" s="3405">
        <v>0</v>
      </c>
      <c r="AT31" s="3419" t="s">
        <v>3515</v>
      </c>
      <c r="AU31" s="3405" t="s">
        <v>3342</v>
      </c>
      <c r="AV31" s="3405" t="s">
        <v>3344</v>
      </c>
      <c r="AW31" s="3405" t="s">
        <v>3342</v>
      </c>
      <c r="AX31" s="3405" t="s">
        <v>3344</v>
      </c>
      <c r="AY31" s="3405" t="s">
        <v>3344</v>
      </c>
      <c r="AZ31" s="3405">
        <v>-2736</v>
      </c>
      <c r="BB31" s="3405">
        <f t="shared" si="0"/>
        <v>2736</v>
      </c>
      <c r="BC31" s="3407">
        <v>20808.72</v>
      </c>
      <c r="BD31" s="3408">
        <f t="shared" si="1"/>
        <v>2470</v>
      </c>
      <c r="BE31" s="3407">
        <f t="shared" si="2"/>
        <v>1729</v>
      </c>
      <c r="BF31" s="3409">
        <f t="shared" si="4"/>
        <v>9.7199999999999995E-2</v>
      </c>
      <c r="BG31" s="3409">
        <f>ROUND(BF31/'[5]剩余（增值收益扣减）法'!$C$31,4)</f>
        <v>0.24299999999999999</v>
      </c>
    </row>
    <row r="32" spans="1:64">
      <c r="A32" s="3405" t="s">
        <v>3516</v>
      </c>
      <c r="B32" s="3405" t="s">
        <v>1465</v>
      </c>
      <c r="C32" s="3405" t="s">
        <v>3517</v>
      </c>
      <c r="D32" s="3405" t="s">
        <v>3334</v>
      </c>
      <c r="E32" s="3405" t="s">
        <v>3502</v>
      </c>
      <c r="F32" s="3405" t="s">
        <v>3518</v>
      </c>
      <c r="G32" s="3405" t="s">
        <v>3519</v>
      </c>
      <c r="H32" s="3405" t="s">
        <v>3338</v>
      </c>
      <c r="I32" s="3405">
        <v>40217.370000000003</v>
      </c>
      <c r="J32" s="3405">
        <v>60326.05</v>
      </c>
      <c r="K32" s="3405" t="s">
        <v>3386</v>
      </c>
      <c r="L32" s="3405" t="s">
        <v>3339</v>
      </c>
      <c r="M32" s="3405" t="s">
        <v>3463</v>
      </c>
      <c r="N32" s="3405" t="s">
        <v>3341</v>
      </c>
      <c r="O32" s="3405" t="s">
        <v>3342</v>
      </c>
      <c r="P32" s="3405" t="s">
        <v>3344</v>
      </c>
      <c r="Q32" s="3405">
        <v>30</v>
      </c>
      <c r="R32" s="3405" t="s">
        <v>3344</v>
      </c>
      <c r="S32" s="3405" t="s">
        <v>3344</v>
      </c>
      <c r="T32" s="3405" t="s">
        <v>3344</v>
      </c>
      <c r="U32" s="3405" t="s">
        <v>3344</v>
      </c>
      <c r="V32" s="3405" t="s">
        <v>3344</v>
      </c>
      <c r="W32" s="3405" t="s">
        <v>3344</v>
      </c>
      <c r="X32" s="3405">
        <v>0</v>
      </c>
      <c r="Y32" s="3405">
        <v>0</v>
      </c>
      <c r="Z32" s="3406">
        <v>44798</v>
      </c>
      <c r="AA32" s="3406">
        <v>44818</v>
      </c>
      <c r="AB32" s="3406">
        <v>44832</v>
      </c>
      <c r="AC32" s="3406">
        <v>44832</v>
      </c>
      <c r="AD32" s="3405" t="s">
        <v>3520</v>
      </c>
      <c r="AE32" s="3405" t="s">
        <v>3346</v>
      </c>
      <c r="AF32" s="3405" t="s">
        <v>3521</v>
      </c>
      <c r="AG32" s="3405" t="s">
        <v>3344</v>
      </c>
      <c r="AH32" s="3405" t="s">
        <v>3344</v>
      </c>
      <c r="AI32" s="3405">
        <v>4964.83</v>
      </c>
      <c r="AJ32" s="3405">
        <v>1000</v>
      </c>
      <c r="AK32" s="3420">
        <v>44832.625</v>
      </c>
      <c r="AL32" s="3405">
        <v>4964.83</v>
      </c>
      <c r="AM32" s="3405">
        <v>82.3</v>
      </c>
      <c r="AN32" s="3405">
        <v>82.3</v>
      </c>
      <c r="AO32" s="3405">
        <v>823</v>
      </c>
      <c r="AP32" s="3405">
        <v>823</v>
      </c>
      <c r="AQ32" s="3405" t="s">
        <v>3344</v>
      </c>
      <c r="AR32" s="3405" t="s">
        <v>3344</v>
      </c>
      <c r="AS32" s="3405">
        <v>0</v>
      </c>
      <c r="AT32" s="3405" t="s">
        <v>3357</v>
      </c>
      <c r="AU32" s="3405" t="s">
        <v>3342</v>
      </c>
      <c r="AV32" s="3405" t="s">
        <v>3344</v>
      </c>
      <c r="AW32" s="3405" t="s">
        <v>3342</v>
      </c>
      <c r="AX32" s="3405" t="s">
        <v>3344</v>
      </c>
      <c r="AY32" s="3405" t="s">
        <v>3344</v>
      </c>
      <c r="AZ32" s="3405" t="s">
        <v>3344</v>
      </c>
      <c r="BB32" s="3405">
        <f t="shared" si="0"/>
        <v>1234</v>
      </c>
      <c r="BC32" s="3407">
        <v>4464.49</v>
      </c>
      <c r="BD32" s="3408">
        <f t="shared" si="1"/>
        <v>1110</v>
      </c>
      <c r="BE32" s="3407">
        <f t="shared" si="2"/>
        <v>777</v>
      </c>
      <c r="BF32" s="3409">
        <f t="shared" si="4"/>
        <v>0.1008</v>
      </c>
      <c r="BG32" s="3409">
        <f>ROUND(BF32/'[5]剩余（增值收益扣减）法'!$C$31,4)</f>
        <v>0.252</v>
      </c>
    </row>
    <row r="33" spans="1:64">
      <c r="A33" s="3405" t="s">
        <v>3522</v>
      </c>
      <c r="B33" s="3405" t="s">
        <v>1465</v>
      </c>
      <c r="C33" s="3405" t="s">
        <v>3523</v>
      </c>
      <c r="D33" s="3405" t="s">
        <v>3334</v>
      </c>
      <c r="E33" s="3405" t="s">
        <v>3502</v>
      </c>
      <c r="F33" s="3405" t="s">
        <v>3518</v>
      </c>
      <c r="G33" s="3405" t="s">
        <v>3519</v>
      </c>
      <c r="H33" s="3405" t="s">
        <v>3338</v>
      </c>
      <c r="I33" s="3405">
        <v>26650.41</v>
      </c>
      <c r="J33" s="3405">
        <v>39975.61</v>
      </c>
      <c r="K33" s="3405" t="s">
        <v>3386</v>
      </c>
      <c r="L33" s="3405" t="s">
        <v>3339</v>
      </c>
      <c r="M33" s="3405" t="s">
        <v>3463</v>
      </c>
      <c r="N33" s="3405" t="s">
        <v>3341</v>
      </c>
      <c r="O33" s="3405" t="s">
        <v>3342</v>
      </c>
      <c r="P33" s="3405" t="s">
        <v>3344</v>
      </c>
      <c r="Q33" s="3405" t="s">
        <v>3344</v>
      </c>
      <c r="R33" s="3405" t="s">
        <v>3344</v>
      </c>
      <c r="S33" s="3405" t="s">
        <v>3344</v>
      </c>
      <c r="T33" s="3405" t="s">
        <v>3344</v>
      </c>
      <c r="U33" s="3405" t="s">
        <v>3344</v>
      </c>
      <c r="V33" s="3405" t="s">
        <v>3344</v>
      </c>
      <c r="W33" s="3405" t="s">
        <v>3344</v>
      </c>
      <c r="X33" s="3405">
        <v>0</v>
      </c>
      <c r="Y33" s="3405">
        <v>0</v>
      </c>
      <c r="Z33" s="3406">
        <v>44725</v>
      </c>
      <c r="AA33" s="3406">
        <v>44746</v>
      </c>
      <c r="AB33" s="3406">
        <v>44760</v>
      </c>
      <c r="AC33" s="3406">
        <v>44760</v>
      </c>
      <c r="AD33" s="3405" t="s">
        <v>3524</v>
      </c>
      <c r="AE33" s="3405" t="s">
        <v>3346</v>
      </c>
      <c r="AF33" s="3405" t="s">
        <v>3525</v>
      </c>
      <c r="AG33" s="3405" t="s">
        <v>3344</v>
      </c>
      <c r="AH33" s="3405" t="s">
        <v>3344</v>
      </c>
      <c r="AI33" s="3405">
        <v>3258.01</v>
      </c>
      <c r="AJ33" s="3405">
        <v>650</v>
      </c>
      <c r="AK33" s="3420">
        <v>44760.625</v>
      </c>
      <c r="AL33" s="3405">
        <v>3258.01</v>
      </c>
      <c r="AM33" s="3405">
        <v>81.5</v>
      </c>
      <c r="AN33" s="3405">
        <v>81.5</v>
      </c>
      <c r="AO33" s="3405">
        <v>815</v>
      </c>
      <c r="AP33" s="3405">
        <v>815</v>
      </c>
      <c r="AQ33" s="3405" t="s">
        <v>3344</v>
      </c>
      <c r="AR33" s="3405" t="s">
        <v>3344</v>
      </c>
      <c r="AS33" s="3405">
        <v>0</v>
      </c>
      <c r="AT33" s="3405" t="s">
        <v>3357</v>
      </c>
      <c r="AU33" s="3405" t="s">
        <v>3342</v>
      </c>
      <c r="AV33" s="3405" t="s">
        <v>3344</v>
      </c>
      <c r="AW33" s="3405" t="s">
        <v>3342</v>
      </c>
      <c r="AX33" s="3405" t="s">
        <v>3344</v>
      </c>
      <c r="AY33" s="3405" t="s">
        <v>3344</v>
      </c>
      <c r="AZ33" s="3405" t="s">
        <v>3344</v>
      </c>
      <c r="BB33" s="3405">
        <f t="shared" si="0"/>
        <v>1222</v>
      </c>
      <c r="BC33" s="3407">
        <v>2864.12</v>
      </c>
      <c r="BD33" s="3408">
        <f t="shared" si="1"/>
        <v>1075</v>
      </c>
      <c r="BE33" s="3407">
        <f t="shared" si="2"/>
        <v>753</v>
      </c>
      <c r="BF33" s="3409">
        <f t="shared" si="4"/>
        <v>0.12089999999999999</v>
      </c>
      <c r="BG33" s="3409">
        <f>ROUND(BF33/'[5]剩余（增值收益扣减）法'!$C$31,4)</f>
        <v>0.30230000000000001</v>
      </c>
    </row>
    <row r="34" spans="1:64">
      <c r="A34" s="3405" t="s">
        <v>3526</v>
      </c>
      <c r="B34" s="3405" t="s">
        <v>1465</v>
      </c>
      <c r="C34" s="3405" t="s">
        <v>3527</v>
      </c>
      <c r="D34" s="3405" t="s">
        <v>3334</v>
      </c>
      <c r="E34" s="3405" t="s">
        <v>3502</v>
      </c>
      <c r="F34" s="3405" t="s">
        <v>3528</v>
      </c>
      <c r="G34" s="3405" t="s">
        <v>3529</v>
      </c>
      <c r="H34" s="3405" t="s">
        <v>3338</v>
      </c>
      <c r="I34" s="3405">
        <v>77481.740000000005</v>
      </c>
      <c r="J34" s="3405">
        <v>100726.26</v>
      </c>
      <c r="K34" s="3405" t="s">
        <v>3530</v>
      </c>
      <c r="L34" s="3405" t="s">
        <v>3339</v>
      </c>
      <c r="M34" s="3405" t="s">
        <v>3463</v>
      </c>
      <c r="N34" s="3405" t="s">
        <v>3341</v>
      </c>
      <c r="O34" s="3405" t="s">
        <v>3342</v>
      </c>
      <c r="P34" s="3405" t="s">
        <v>3344</v>
      </c>
      <c r="Q34" s="3405" t="s">
        <v>3344</v>
      </c>
      <c r="R34" s="3405" t="s">
        <v>3344</v>
      </c>
      <c r="S34" s="3405" t="s">
        <v>3344</v>
      </c>
      <c r="T34" s="3405" t="s">
        <v>3344</v>
      </c>
      <c r="U34" s="3405" t="s">
        <v>3344</v>
      </c>
      <c r="V34" s="3405" t="s">
        <v>3344</v>
      </c>
      <c r="W34" s="3405" t="s">
        <v>3344</v>
      </c>
      <c r="X34" s="3405">
        <v>0</v>
      </c>
      <c r="Y34" s="3405">
        <v>0</v>
      </c>
      <c r="Z34" s="3406">
        <v>44725</v>
      </c>
      <c r="AA34" s="3406">
        <v>44746</v>
      </c>
      <c r="AB34" s="3406">
        <v>44760</v>
      </c>
      <c r="AC34" s="3406">
        <v>44760</v>
      </c>
      <c r="AD34" s="3405" t="s">
        <v>3531</v>
      </c>
      <c r="AE34" s="3405" t="s">
        <v>3346</v>
      </c>
      <c r="AF34" s="3405" t="s">
        <v>3532</v>
      </c>
      <c r="AG34" s="3405" t="s">
        <v>3344</v>
      </c>
      <c r="AH34" s="3405" t="s">
        <v>3344</v>
      </c>
      <c r="AI34" s="3405">
        <v>8098.39</v>
      </c>
      <c r="AJ34" s="3405">
        <v>1600</v>
      </c>
      <c r="AK34" s="3420">
        <v>44760.625</v>
      </c>
      <c r="AL34" s="3405">
        <v>8098.39</v>
      </c>
      <c r="AM34" s="3405">
        <v>69.680000000000007</v>
      </c>
      <c r="AN34" s="3405">
        <v>69.680000000000007</v>
      </c>
      <c r="AO34" s="3405">
        <v>804</v>
      </c>
      <c r="AP34" s="3405">
        <v>804</v>
      </c>
      <c r="AQ34" s="3405" t="s">
        <v>3344</v>
      </c>
      <c r="AR34" s="3405" t="s">
        <v>3344</v>
      </c>
      <c r="AS34" s="3405">
        <v>0</v>
      </c>
      <c r="AT34" s="3405" t="s">
        <v>3357</v>
      </c>
      <c r="AU34" s="3405" t="s">
        <v>3342</v>
      </c>
      <c r="AV34" s="3405" t="s">
        <v>3344</v>
      </c>
      <c r="AW34" s="3405" t="s">
        <v>3342</v>
      </c>
      <c r="AX34" s="3405" t="s">
        <v>3344</v>
      </c>
      <c r="AY34" s="3405" t="s">
        <v>3344</v>
      </c>
      <c r="AZ34" s="3405" t="s">
        <v>3344</v>
      </c>
      <c r="BB34" s="3405">
        <f t="shared" si="0"/>
        <v>1045</v>
      </c>
      <c r="BC34" s="3407">
        <v>1023.16</v>
      </c>
      <c r="BD34" s="3408">
        <f t="shared" si="1"/>
        <v>132</v>
      </c>
      <c r="BE34" s="3407">
        <f t="shared" si="2"/>
        <v>92</v>
      </c>
    </row>
    <row r="35" spans="1:64">
      <c r="A35" s="3405" t="s">
        <v>3533</v>
      </c>
      <c r="B35" s="3405" t="s">
        <v>1465</v>
      </c>
      <c r="C35" s="3405" t="s">
        <v>3534</v>
      </c>
      <c r="D35" s="3405" t="s">
        <v>3334</v>
      </c>
      <c r="E35" s="3405" t="s">
        <v>3502</v>
      </c>
      <c r="F35" s="3405" t="s">
        <v>3518</v>
      </c>
      <c r="G35" s="3405" t="s">
        <v>3519</v>
      </c>
      <c r="H35" s="3405" t="s">
        <v>3338</v>
      </c>
      <c r="I35" s="3405">
        <v>65024.44</v>
      </c>
      <c r="J35" s="3405">
        <v>97536.66</v>
      </c>
      <c r="K35" s="3405" t="s">
        <v>3386</v>
      </c>
      <c r="L35" s="3405" t="s">
        <v>3339</v>
      </c>
      <c r="M35" s="3405" t="s">
        <v>3463</v>
      </c>
      <c r="N35" s="3405" t="s">
        <v>3341</v>
      </c>
      <c r="O35" s="3405" t="s">
        <v>3342</v>
      </c>
      <c r="P35" s="3405" t="s">
        <v>3344</v>
      </c>
      <c r="Q35" s="3405" t="s">
        <v>3344</v>
      </c>
      <c r="R35" s="3405" t="s">
        <v>3344</v>
      </c>
      <c r="S35" s="3405" t="s">
        <v>3344</v>
      </c>
      <c r="T35" s="3405" t="s">
        <v>3344</v>
      </c>
      <c r="U35" s="3405" t="s">
        <v>3344</v>
      </c>
      <c r="V35" s="3405" t="s">
        <v>3344</v>
      </c>
      <c r="W35" s="3405" t="s">
        <v>3344</v>
      </c>
      <c r="X35" s="3405">
        <v>0</v>
      </c>
      <c r="Y35" s="3405">
        <v>0</v>
      </c>
      <c r="Z35" s="3406">
        <v>44725</v>
      </c>
      <c r="AA35" s="3406">
        <v>44746</v>
      </c>
      <c r="AB35" s="3406">
        <v>44761</v>
      </c>
      <c r="AC35" s="3406">
        <v>44761</v>
      </c>
      <c r="AD35" s="3405" t="s">
        <v>3535</v>
      </c>
      <c r="AE35" s="3405" t="s">
        <v>3346</v>
      </c>
      <c r="AF35" s="3405" t="s">
        <v>3536</v>
      </c>
      <c r="AG35" s="3405" t="s">
        <v>3344</v>
      </c>
      <c r="AH35" s="3405" t="s">
        <v>3344</v>
      </c>
      <c r="AI35" s="3405">
        <v>8017.51</v>
      </c>
      <c r="AJ35" s="3405">
        <v>1600</v>
      </c>
      <c r="AK35" s="3420">
        <v>44760.625</v>
      </c>
      <c r="AL35" s="3405">
        <v>8017.51</v>
      </c>
      <c r="AM35" s="3405">
        <v>82.2</v>
      </c>
      <c r="AN35" s="3405">
        <v>82.2</v>
      </c>
      <c r="AO35" s="3405">
        <v>822</v>
      </c>
      <c r="AP35" s="3405">
        <v>822</v>
      </c>
      <c r="AQ35" s="3405" t="s">
        <v>3344</v>
      </c>
      <c r="AR35" s="3405" t="s">
        <v>3344</v>
      </c>
      <c r="AS35" s="3405">
        <v>0</v>
      </c>
      <c r="AT35" s="3405" t="s">
        <v>3357</v>
      </c>
      <c r="AU35" s="3405" t="s">
        <v>3342</v>
      </c>
      <c r="AV35" s="3405" t="s">
        <v>3344</v>
      </c>
      <c r="AW35" s="3405" t="s">
        <v>3342</v>
      </c>
      <c r="AX35" s="3405" t="s">
        <v>3344</v>
      </c>
      <c r="AY35" s="3405" t="s">
        <v>3344</v>
      </c>
      <c r="AZ35" s="3405" t="s">
        <v>3344</v>
      </c>
      <c r="BB35" s="3405">
        <f t="shared" si="0"/>
        <v>1233</v>
      </c>
      <c r="BC35" s="3407">
        <v>6975.2</v>
      </c>
      <c r="BD35" s="3408">
        <f t="shared" si="1"/>
        <v>1073</v>
      </c>
      <c r="BE35" s="3407">
        <f t="shared" si="2"/>
        <v>751</v>
      </c>
      <c r="BF35" s="3409">
        <f t="shared" si="4"/>
        <v>0.13</v>
      </c>
      <c r="BG35" s="3409">
        <f>ROUND(BF35/'[5]剩余（增值收益扣减）法'!$C$31,4)</f>
        <v>0.32500000000000001</v>
      </c>
    </row>
    <row r="36" spans="1:64">
      <c r="A36" s="3405" t="s">
        <v>3537</v>
      </c>
      <c r="B36" s="3405" t="s">
        <v>1465</v>
      </c>
      <c r="C36" s="3405" t="s">
        <v>3538</v>
      </c>
      <c r="D36" s="3405" t="s">
        <v>3334</v>
      </c>
      <c r="E36" s="3405" t="s">
        <v>3502</v>
      </c>
      <c r="F36" s="3405" t="s">
        <v>3539</v>
      </c>
      <c r="G36" s="3405" t="s">
        <v>3540</v>
      </c>
      <c r="H36" s="3405" t="s">
        <v>3338</v>
      </c>
      <c r="I36" s="3405">
        <v>13991.5</v>
      </c>
      <c r="J36" s="3405">
        <v>22386</v>
      </c>
      <c r="K36" s="3405" t="s">
        <v>3541</v>
      </c>
      <c r="L36" s="3405" t="s">
        <v>3339</v>
      </c>
      <c r="M36" s="3405" t="s">
        <v>3463</v>
      </c>
      <c r="N36" s="3405" t="s">
        <v>3341</v>
      </c>
      <c r="O36" s="3405" t="s">
        <v>3342</v>
      </c>
      <c r="P36" s="3405">
        <v>0.4</v>
      </c>
      <c r="Q36" s="3405" t="s">
        <v>3456</v>
      </c>
      <c r="R36" s="3405" t="s">
        <v>3344</v>
      </c>
      <c r="S36" s="3405" t="s">
        <v>3344</v>
      </c>
      <c r="T36" s="3405" t="s">
        <v>3344</v>
      </c>
      <c r="U36" s="3405" t="s">
        <v>3344</v>
      </c>
      <c r="V36" s="3405" t="s">
        <v>3344</v>
      </c>
      <c r="W36" s="3405" t="s">
        <v>3344</v>
      </c>
      <c r="X36" s="3405">
        <v>0</v>
      </c>
      <c r="Y36" s="3405">
        <v>0</v>
      </c>
      <c r="Z36" s="3406">
        <v>44412</v>
      </c>
      <c r="AA36" s="3406">
        <v>44412</v>
      </c>
      <c r="AB36" s="3406">
        <v>44446</v>
      </c>
      <c r="AC36" s="3406">
        <v>44446</v>
      </c>
      <c r="AD36" s="3405" t="s">
        <v>3542</v>
      </c>
      <c r="AE36" s="3405" t="s">
        <v>3346</v>
      </c>
      <c r="AF36" s="3405" t="s">
        <v>3543</v>
      </c>
      <c r="AG36" s="3405" t="s">
        <v>3344</v>
      </c>
      <c r="AH36" s="3405" t="s">
        <v>3344</v>
      </c>
      <c r="AI36" s="3405">
        <v>1811.03</v>
      </c>
      <c r="AJ36" s="3405">
        <v>360</v>
      </c>
      <c r="AK36" s="3405" t="s">
        <v>2092</v>
      </c>
      <c r="AL36" s="3405">
        <v>1811.03</v>
      </c>
      <c r="AM36" s="3405">
        <v>86.29</v>
      </c>
      <c r="AN36" s="3405">
        <v>86.29</v>
      </c>
      <c r="AO36" s="3405">
        <v>809</v>
      </c>
      <c r="AP36" s="3405">
        <v>809</v>
      </c>
      <c r="AQ36" s="3405" t="s">
        <v>3344</v>
      </c>
      <c r="AR36" s="3405" t="s">
        <v>3344</v>
      </c>
      <c r="AS36" s="3405">
        <v>0</v>
      </c>
      <c r="AT36" s="3405" t="s">
        <v>3357</v>
      </c>
      <c r="AU36" s="3405" t="s">
        <v>3342</v>
      </c>
      <c r="AV36" s="3405" t="s">
        <v>3344</v>
      </c>
      <c r="AW36" s="3405" t="s">
        <v>3342</v>
      </c>
      <c r="AX36" s="3405" t="s">
        <v>3344</v>
      </c>
      <c r="AY36" s="3405" t="s">
        <v>3344</v>
      </c>
      <c r="AZ36" s="3405" t="s">
        <v>3344</v>
      </c>
      <c r="BB36" s="3405">
        <f t="shared" si="0"/>
        <v>1294</v>
      </c>
      <c r="BC36" s="3407">
        <v>672.64</v>
      </c>
      <c r="BD36" s="3408">
        <f t="shared" si="1"/>
        <v>481</v>
      </c>
      <c r="BE36" s="3407">
        <f t="shared" si="2"/>
        <v>337</v>
      </c>
    </row>
    <row r="37" spans="1:64">
      <c r="A37" s="3405" t="s">
        <v>3544</v>
      </c>
      <c r="B37" s="3405" t="s">
        <v>1465</v>
      </c>
      <c r="C37" s="3405" t="s">
        <v>3545</v>
      </c>
      <c r="D37" s="3405" t="s">
        <v>3334</v>
      </c>
      <c r="E37" s="3405" t="s">
        <v>3502</v>
      </c>
      <c r="F37" s="3405" t="s">
        <v>3546</v>
      </c>
      <c r="G37" s="3405" t="s">
        <v>3547</v>
      </c>
      <c r="H37" s="3405" t="s">
        <v>3338</v>
      </c>
      <c r="I37" s="3405">
        <v>16627.21</v>
      </c>
      <c r="J37" s="3405">
        <v>29928.97</v>
      </c>
      <c r="K37" s="3405" t="s">
        <v>3548</v>
      </c>
      <c r="L37" s="3405" t="s">
        <v>3339</v>
      </c>
      <c r="M37" s="3405" t="s">
        <v>3463</v>
      </c>
      <c r="N37" s="3405" t="s">
        <v>3341</v>
      </c>
      <c r="O37" s="3405" t="s">
        <v>3342</v>
      </c>
      <c r="P37" s="3405">
        <v>0.3</v>
      </c>
      <c r="Q37" s="3405" t="s">
        <v>3549</v>
      </c>
      <c r="R37" s="3405" t="s">
        <v>3344</v>
      </c>
      <c r="S37" s="3405" t="s">
        <v>3344</v>
      </c>
      <c r="T37" s="3405" t="s">
        <v>3344</v>
      </c>
      <c r="U37" s="3405" t="s">
        <v>3344</v>
      </c>
      <c r="V37" s="3405" t="s">
        <v>3344</v>
      </c>
      <c r="W37" s="3405" t="s">
        <v>3344</v>
      </c>
      <c r="X37" s="3405">
        <v>0</v>
      </c>
      <c r="Y37" s="3405">
        <v>0</v>
      </c>
      <c r="Z37" s="3406">
        <v>44412</v>
      </c>
      <c r="AA37" s="3406">
        <v>44412</v>
      </c>
      <c r="AB37" s="3406">
        <v>44446</v>
      </c>
      <c r="AC37" s="3406">
        <v>44446</v>
      </c>
      <c r="AD37" s="3405" t="s">
        <v>3550</v>
      </c>
      <c r="AE37" s="3405" t="s">
        <v>3346</v>
      </c>
      <c r="AF37" s="3405" t="s">
        <v>3551</v>
      </c>
      <c r="AG37" s="3405" t="s">
        <v>3344</v>
      </c>
      <c r="AH37" s="3405" t="s">
        <v>3344</v>
      </c>
      <c r="AI37" s="3405">
        <v>5111.87</v>
      </c>
      <c r="AJ37" s="3405">
        <v>1020</v>
      </c>
      <c r="AK37" s="3405" t="s">
        <v>2092</v>
      </c>
      <c r="AL37" s="3405">
        <v>5111.87</v>
      </c>
      <c r="AM37" s="3405">
        <v>204.96</v>
      </c>
      <c r="AN37" s="3405">
        <v>204.96</v>
      </c>
      <c r="AO37" s="3405">
        <v>1708</v>
      </c>
      <c r="AP37" s="3405">
        <v>1708</v>
      </c>
      <c r="AQ37" s="3405" t="s">
        <v>3344</v>
      </c>
      <c r="AR37" s="3405" t="s">
        <v>3344</v>
      </c>
      <c r="AS37" s="3405">
        <v>0</v>
      </c>
      <c r="AT37" s="3405" t="s">
        <v>3357</v>
      </c>
      <c r="AU37" s="3405" t="s">
        <v>3342</v>
      </c>
      <c r="AV37" s="3405" t="s">
        <v>3344</v>
      </c>
      <c r="AW37" s="3405" t="s">
        <v>3342</v>
      </c>
      <c r="AX37" s="3405" t="s">
        <v>3344</v>
      </c>
      <c r="AY37" s="3405" t="s">
        <v>3344</v>
      </c>
      <c r="AZ37" s="3405" t="s">
        <v>3344</v>
      </c>
      <c r="BB37" s="3405">
        <f t="shared" si="0"/>
        <v>3074</v>
      </c>
      <c r="BC37" s="3407">
        <v>2022.6610000000001</v>
      </c>
      <c r="BD37" s="3408">
        <f t="shared" si="1"/>
        <v>1216</v>
      </c>
      <c r="BE37" s="3407">
        <f t="shared" si="2"/>
        <v>851</v>
      </c>
    </row>
    <row r="38" spans="1:64" s="3412" customFormat="1" ht="15.75" thickBot="1">
      <c r="A38" s="3412" t="s">
        <v>3552</v>
      </c>
      <c r="B38" s="3412" t="s">
        <v>1465</v>
      </c>
      <c r="C38" s="3412" t="s">
        <v>3553</v>
      </c>
      <c r="D38" s="3412" t="s">
        <v>3334</v>
      </c>
      <c r="E38" s="3412" t="s">
        <v>3502</v>
      </c>
      <c r="F38" s="3412" t="s">
        <v>3344</v>
      </c>
      <c r="G38" s="3412" t="s">
        <v>3554</v>
      </c>
      <c r="H38" s="3412" t="s">
        <v>3338</v>
      </c>
      <c r="I38" s="3412">
        <v>100000</v>
      </c>
      <c r="J38" s="3412">
        <v>200000</v>
      </c>
      <c r="K38" s="3412" t="s">
        <v>3555</v>
      </c>
      <c r="L38" s="3412" t="s">
        <v>3339</v>
      </c>
      <c r="M38" s="3412" t="s">
        <v>3556</v>
      </c>
      <c r="N38" s="3412" t="s">
        <v>3341</v>
      </c>
      <c r="O38" s="3412" t="s">
        <v>3342</v>
      </c>
      <c r="P38" s="3412" t="s">
        <v>3557</v>
      </c>
      <c r="Q38" s="3412" t="s">
        <v>3456</v>
      </c>
      <c r="R38" s="3412" t="s">
        <v>3344</v>
      </c>
      <c r="S38" s="3412" t="s">
        <v>3344</v>
      </c>
      <c r="T38" s="3412" t="s">
        <v>3344</v>
      </c>
      <c r="U38" s="3412" t="s">
        <v>3344</v>
      </c>
      <c r="V38" s="3412">
        <v>0</v>
      </c>
      <c r="W38" s="3412">
        <v>0</v>
      </c>
      <c r="X38" s="3412">
        <v>0</v>
      </c>
      <c r="Y38" s="3412">
        <v>0</v>
      </c>
      <c r="Z38" s="3413">
        <v>44188</v>
      </c>
      <c r="AA38" s="3413">
        <v>44208</v>
      </c>
      <c r="AB38" s="3413">
        <v>44307</v>
      </c>
      <c r="AC38" s="3413">
        <v>44307</v>
      </c>
      <c r="AD38" s="3412" t="s">
        <v>3558</v>
      </c>
      <c r="AE38" s="3412" t="s">
        <v>3346</v>
      </c>
      <c r="AF38" s="3412" t="s">
        <v>3559</v>
      </c>
      <c r="AG38" s="3412" t="s">
        <v>3344</v>
      </c>
      <c r="AH38" s="3412" t="s">
        <v>3344</v>
      </c>
      <c r="AI38" s="3412">
        <v>13020</v>
      </c>
      <c r="AJ38" s="3412">
        <v>2600</v>
      </c>
      <c r="AK38" s="3412" t="s">
        <v>2092</v>
      </c>
      <c r="AL38" s="3412">
        <v>13020</v>
      </c>
      <c r="AM38" s="3412">
        <v>86.8</v>
      </c>
      <c r="AN38" s="3412">
        <v>86.8</v>
      </c>
      <c r="AO38" s="3412">
        <v>651</v>
      </c>
      <c r="AP38" s="3412">
        <v>651</v>
      </c>
      <c r="AQ38" s="3412" t="s">
        <v>3344</v>
      </c>
      <c r="AR38" s="3412" t="s">
        <v>3344</v>
      </c>
      <c r="AS38" s="3412">
        <v>0</v>
      </c>
      <c r="AT38" s="3412" t="s">
        <v>3357</v>
      </c>
      <c r="AU38" s="3412" t="s">
        <v>3342</v>
      </c>
      <c r="AV38" s="3412" t="s">
        <v>3344</v>
      </c>
      <c r="AW38" s="3412" t="s">
        <v>3342</v>
      </c>
      <c r="AX38" s="3412" t="s">
        <v>3344</v>
      </c>
      <c r="AY38" s="3412" t="s">
        <v>3344</v>
      </c>
      <c r="AZ38" s="3412" t="s">
        <v>3344</v>
      </c>
      <c r="BB38" s="3412">
        <f t="shared" si="0"/>
        <v>1302</v>
      </c>
      <c r="BC38" s="3414">
        <v>10476.870000000001</v>
      </c>
      <c r="BD38" s="3415">
        <f t="shared" si="1"/>
        <v>1048</v>
      </c>
      <c r="BE38" s="3414">
        <f t="shared" si="2"/>
        <v>734</v>
      </c>
      <c r="BF38" s="3416"/>
      <c r="BG38" s="3416"/>
      <c r="BI38" s="3417"/>
      <c r="BJ38" s="3417"/>
      <c r="BL38" s="3418"/>
    </row>
    <row r="39" spans="1:64">
      <c r="A39" s="3405" t="s">
        <v>3653</v>
      </c>
      <c r="B39" s="3405" t="s">
        <v>1465</v>
      </c>
      <c r="C39" s="3405" t="s">
        <v>3654</v>
      </c>
      <c r="D39" s="3405" t="s">
        <v>3334</v>
      </c>
      <c r="E39" s="3405" t="s">
        <v>3562</v>
      </c>
      <c r="F39" s="3405" t="s">
        <v>3576</v>
      </c>
      <c r="G39" s="3405" t="s">
        <v>3577</v>
      </c>
      <c r="H39" s="3405" t="s">
        <v>3338</v>
      </c>
      <c r="I39" s="3405">
        <v>37407.46</v>
      </c>
      <c r="J39" s="3405">
        <v>74814.92</v>
      </c>
      <c r="K39" s="3405" t="s">
        <v>3494</v>
      </c>
      <c r="L39" s="3405" t="s">
        <v>3339</v>
      </c>
      <c r="M39" s="3405" t="s">
        <v>3371</v>
      </c>
      <c r="N39" s="3405" t="s">
        <v>3341</v>
      </c>
      <c r="O39" s="3405" t="s">
        <v>3342</v>
      </c>
      <c r="P39" s="3405" t="s">
        <v>3344</v>
      </c>
      <c r="Q39" s="3405" t="s">
        <v>3344</v>
      </c>
      <c r="R39" s="3405" t="s">
        <v>3344</v>
      </c>
      <c r="S39" s="3405" t="s">
        <v>3344</v>
      </c>
      <c r="T39" s="3405" t="s">
        <v>3344</v>
      </c>
      <c r="U39" s="3405" t="s">
        <v>3344</v>
      </c>
      <c r="V39" s="3405" t="s">
        <v>3344</v>
      </c>
      <c r="W39" s="3405" t="s">
        <v>3344</v>
      </c>
      <c r="X39" s="3405">
        <v>0</v>
      </c>
      <c r="Y39" s="3405">
        <v>0</v>
      </c>
      <c r="Z39" s="3406">
        <v>45138.000497685185</v>
      </c>
      <c r="AA39" s="3406">
        <v>45159.000497685185</v>
      </c>
      <c r="AB39" s="3406">
        <v>45173.000497685185</v>
      </c>
      <c r="AC39" s="3406">
        <v>45173.000497685185</v>
      </c>
      <c r="AD39" s="3405" t="s">
        <v>3655</v>
      </c>
      <c r="AE39" s="3405" t="s">
        <v>3346</v>
      </c>
      <c r="AF39" s="3405" t="s">
        <v>3656</v>
      </c>
      <c r="AG39" s="3405" t="s">
        <v>3657</v>
      </c>
      <c r="AH39" s="3405" t="s">
        <v>3344</v>
      </c>
      <c r="AI39" s="3405">
        <v>10765.87</v>
      </c>
      <c r="AJ39" s="3405">
        <v>2200</v>
      </c>
      <c r="AK39" s="3405" t="s">
        <v>2092</v>
      </c>
      <c r="AL39" s="3405">
        <v>10765.87</v>
      </c>
      <c r="AM39" s="3405">
        <v>191.87</v>
      </c>
      <c r="AN39" s="3405">
        <v>191.87</v>
      </c>
      <c r="AO39" s="3405">
        <v>1439</v>
      </c>
      <c r="AP39" s="3405">
        <v>1439</v>
      </c>
      <c r="AQ39" s="3405" t="s">
        <v>3344</v>
      </c>
      <c r="AR39" s="3405" t="s">
        <v>3344</v>
      </c>
      <c r="AS39" s="3405">
        <v>0</v>
      </c>
      <c r="AT39" s="3405" t="s">
        <v>3357</v>
      </c>
      <c r="AU39" s="3405" t="s">
        <v>3342</v>
      </c>
      <c r="AV39" s="3405" t="s">
        <v>3344</v>
      </c>
      <c r="AW39" s="3405" t="s">
        <v>3342</v>
      </c>
      <c r="AX39" s="3405" t="s">
        <v>3344</v>
      </c>
      <c r="AY39" s="3405" t="s">
        <v>3344</v>
      </c>
      <c r="AZ39" s="3405" t="s">
        <v>3344</v>
      </c>
      <c r="BB39" s="3405">
        <f t="shared" si="0"/>
        <v>2878</v>
      </c>
      <c r="BC39" s="3407">
        <v>9875.5694000000003</v>
      </c>
      <c r="BD39" s="3408">
        <f t="shared" si="1"/>
        <v>2640</v>
      </c>
      <c r="BE39" s="3407">
        <f t="shared" si="2"/>
        <v>1848</v>
      </c>
      <c r="BF39" s="3409">
        <f t="shared" si="4"/>
        <v>8.2699999999999996E-2</v>
      </c>
      <c r="BG39" s="3409">
        <f>ROUND(BF39/'[5]剩余（增值收益扣减）法'!$C$31,4)</f>
        <v>0.20680000000000001</v>
      </c>
    </row>
    <row r="40" spans="1:64">
      <c r="A40" s="3405" t="s">
        <v>3658</v>
      </c>
      <c r="B40" s="3405" t="s">
        <v>1465</v>
      </c>
      <c r="C40" s="3405" t="s">
        <v>3659</v>
      </c>
      <c r="D40" s="3405" t="s">
        <v>3334</v>
      </c>
      <c r="E40" s="3405" t="s">
        <v>3562</v>
      </c>
      <c r="F40" s="3405" t="s">
        <v>3576</v>
      </c>
      <c r="G40" s="3405" t="s">
        <v>3577</v>
      </c>
      <c r="H40" s="3405" t="s">
        <v>3338</v>
      </c>
      <c r="I40" s="3405">
        <v>16000</v>
      </c>
      <c r="J40" s="3405">
        <v>32000</v>
      </c>
      <c r="K40" s="3405" t="s">
        <v>3494</v>
      </c>
      <c r="L40" s="3405" t="s">
        <v>3339</v>
      </c>
      <c r="M40" s="3405" t="s">
        <v>3371</v>
      </c>
      <c r="N40" s="3405" t="s">
        <v>3341</v>
      </c>
      <c r="O40" s="3405" t="s">
        <v>3342</v>
      </c>
      <c r="P40" s="3405" t="s">
        <v>3344</v>
      </c>
      <c r="Q40" s="3405" t="s">
        <v>3344</v>
      </c>
      <c r="R40" s="3405" t="s">
        <v>3344</v>
      </c>
      <c r="S40" s="3405" t="s">
        <v>3344</v>
      </c>
      <c r="T40" s="3405" t="s">
        <v>3344</v>
      </c>
      <c r="U40" s="3405" t="s">
        <v>3344</v>
      </c>
      <c r="V40" s="3405" t="s">
        <v>3344</v>
      </c>
      <c r="W40" s="3405" t="s">
        <v>3344</v>
      </c>
      <c r="X40" s="3405">
        <v>0</v>
      </c>
      <c r="Y40" s="3405">
        <v>0</v>
      </c>
      <c r="Z40" s="3406">
        <v>45138.000497685185</v>
      </c>
      <c r="AA40" s="3406">
        <v>45159.000497685185</v>
      </c>
      <c r="AB40" s="3406">
        <v>45173.000497685185</v>
      </c>
      <c r="AC40" s="3406">
        <v>45173.000497685185</v>
      </c>
      <c r="AD40" s="3405" t="s">
        <v>3660</v>
      </c>
      <c r="AE40" s="3405" t="s">
        <v>3346</v>
      </c>
      <c r="AF40" s="3405" t="s">
        <v>3656</v>
      </c>
      <c r="AG40" s="3405" t="s">
        <v>3344</v>
      </c>
      <c r="AH40" s="3405" t="s">
        <v>3344</v>
      </c>
      <c r="AI40" s="3405">
        <v>4598.3999999999996</v>
      </c>
      <c r="AJ40" s="3405">
        <v>1000</v>
      </c>
      <c r="AK40" s="3405" t="s">
        <v>2092</v>
      </c>
      <c r="AL40" s="3405">
        <v>4598.3999999999996</v>
      </c>
      <c r="AM40" s="3405">
        <v>191.6</v>
      </c>
      <c r="AN40" s="3405">
        <v>191.6</v>
      </c>
      <c r="AO40" s="3405">
        <v>1437</v>
      </c>
      <c r="AP40" s="3405">
        <v>1437</v>
      </c>
      <c r="AQ40" s="3405" t="s">
        <v>3344</v>
      </c>
      <c r="AR40" s="3405" t="s">
        <v>3344</v>
      </c>
      <c r="AS40" s="3405">
        <v>0</v>
      </c>
      <c r="AT40" s="3405" t="s">
        <v>3357</v>
      </c>
      <c r="AU40" s="3405" t="s">
        <v>3342</v>
      </c>
      <c r="AV40" s="3405" t="s">
        <v>3344</v>
      </c>
      <c r="AW40" s="3405" t="s">
        <v>3342</v>
      </c>
      <c r="AX40" s="3405" t="s">
        <v>3344</v>
      </c>
      <c r="AY40" s="3405" t="s">
        <v>3344</v>
      </c>
      <c r="AZ40" s="3405" t="s">
        <v>3344</v>
      </c>
      <c r="BB40" s="3405">
        <f t="shared" si="0"/>
        <v>2874</v>
      </c>
      <c r="BC40" s="3407">
        <v>4224</v>
      </c>
      <c r="BD40" s="3408">
        <f t="shared" si="1"/>
        <v>2640</v>
      </c>
      <c r="BE40" s="3407">
        <f t="shared" si="2"/>
        <v>1848</v>
      </c>
      <c r="BF40" s="3409">
        <f t="shared" si="4"/>
        <v>8.14E-2</v>
      </c>
      <c r="BG40" s="3409">
        <f>ROUND(BF40/'[5]剩余（增值收益扣减）法'!$C$31,4)</f>
        <v>0.20349999999999999</v>
      </c>
    </row>
    <row r="41" spans="1:64">
      <c r="A41" s="3405" t="s">
        <v>3560</v>
      </c>
      <c r="B41" s="3405" t="s">
        <v>1465</v>
      </c>
      <c r="C41" s="3405" t="s">
        <v>3561</v>
      </c>
      <c r="D41" s="3405" t="s">
        <v>3334</v>
      </c>
      <c r="E41" s="3405" t="s">
        <v>3562</v>
      </c>
      <c r="F41" s="3405" t="s">
        <v>3563</v>
      </c>
      <c r="G41" s="3405" t="s">
        <v>3564</v>
      </c>
      <c r="H41" s="3405" t="s">
        <v>3338</v>
      </c>
      <c r="I41" s="3405">
        <v>54179.97</v>
      </c>
      <c r="J41" s="3405">
        <v>81269.960000000006</v>
      </c>
      <c r="K41" s="3405">
        <v>1.5</v>
      </c>
      <c r="L41" s="3405" t="s">
        <v>3339</v>
      </c>
      <c r="M41" s="3405" t="s">
        <v>3371</v>
      </c>
      <c r="N41" s="3405" t="s">
        <v>3341</v>
      </c>
      <c r="O41" s="3405" t="s">
        <v>3342</v>
      </c>
      <c r="P41" s="3405" t="s">
        <v>3344</v>
      </c>
      <c r="Q41" s="3405">
        <v>24</v>
      </c>
      <c r="R41" s="3405" t="s">
        <v>3344</v>
      </c>
      <c r="S41" s="3405" t="s">
        <v>3344</v>
      </c>
      <c r="T41" s="3405" t="s">
        <v>3344</v>
      </c>
      <c r="U41" s="3405" t="s">
        <v>3344</v>
      </c>
      <c r="V41" s="3405" t="s">
        <v>3344</v>
      </c>
      <c r="W41" s="3405" t="s">
        <v>3344</v>
      </c>
      <c r="X41" s="3405">
        <v>0</v>
      </c>
      <c r="Y41" s="3405">
        <v>0</v>
      </c>
      <c r="Z41" s="3406">
        <v>45030</v>
      </c>
      <c r="AA41" s="3406">
        <v>45050</v>
      </c>
      <c r="AB41" s="3406">
        <v>45060</v>
      </c>
      <c r="AC41" s="3406">
        <v>45060</v>
      </c>
      <c r="AD41" s="3405" t="s">
        <v>3565</v>
      </c>
      <c r="AE41" s="3405" t="s">
        <v>3346</v>
      </c>
      <c r="AF41" s="3405" t="s">
        <v>3566</v>
      </c>
      <c r="AG41" s="3405" t="s">
        <v>3344</v>
      </c>
      <c r="AH41" s="3405" t="s">
        <v>3344</v>
      </c>
      <c r="AI41" s="3405">
        <v>11987.32</v>
      </c>
      <c r="AJ41" s="3405">
        <v>2400</v>
      </c>
      <c r="AK41" s="3405" t="s">
        <v>2092</v>
      </c>
      <c r="AL41" s="3405">
        <v>11987.32</v>
      </c>
      <c r="AM41" s="3405">
        <v>147.5</v>
      </c>
      <c r="AN41" s="3405">
        <v>147.5</v>
      </c>
      <c r="AO41" s="3405">
        <v>1475</v>
      </c>
      <c r="AP41" s="3405">
        <v>1475</v>
      </c>
      <c r="AQ41" s="3405" t="s">
        <v>3344</v>
      </c>
      <c r="AR41" s="3405" t="s">
        <v>3344</v>
      </c>
      <c r="AS41" s="3405">
        <v>0</v>
      </c>
      <c r="AT41" s="3405" t="s">
        <v>3357</v>
      </c>
      <c r="AU41" s="3405" t="s">
        <v>3342</v>
      </c>
      <c r="AV41" s="3405" t="s">
        <v>3344</v>
      </c>
      <c r="AW41" s="3405" t="s">
        <v>3342</v>
      </c>
      <c r="AX41" s="3405" t="s">
        <v>3344</v>
      </c>
      <c r="AY41" s="3405" t="s">
        <v>3344</v>
      </c>
      <c r="AZ41" s="3405" t="s">
        <v>3344</v>
      </c>
      <c r="BB41" s="3405">
        <f t="shared" si="0"/>
        <v>2213</v>
      </c>
      <c r="BC41" s="3407">
        <v>10971.45</v>
      </c>
      <c r="BD41" s="3408">
        <f t="shared" si="1"/>
        <v>2025</v>
      </c>
      <c r="BE41" s="3407">
        <f t="shared" si="2"/>
        <v>1418</v>
      </c>
      <c r="BF41" s="3409">
        <f t="shared" si="4"/>
        <v>8.4699999999999998E-2</v>
      </c>
      <c r="BG41" s="3409">
        <f>ROUND(BF41/'[5]剩余（增值收益扣减）法'!$C$31,4)</f>
        <v>0.21179999999999999</v>
      </c>
    </row>
    <row r="42" spans="1:64">
      <c r="A42" s="3405" t="s">
        <v>3567</v>
      </c>
      <c r="B42" s="3405" t="s">
        <v>1465</v>
      </c>
      <c r="C42" s="3405" t="s">
        <v>3568</v>
      </c>
      <c r="D42" s="3405" t="s">
        <v>3334</v>
      </c>
      <c r="E42" s="3405" t="s">
        <v>3562</v>
      </c>
      <c r="F42" s="3405" t="s">
        <v>3569</v>
      </c>
      <c r="G42" s="3405" t="s">
        <v>3570</v>
      </c>
      <c r="H42" s="3405" t="s">
        <v>3338</v>
      </c>
      <c r="I42" s="3405">
        <v>30864.31</v>
      </c>
      <c r="J42" s="3405">
        <v>61728.62</v>
      </c>
      <c r="K42" s="3405" t="s">
        <v>3494</v>
      </c>
      <c r="L42" s="3405" t="s">
        <v>3339</v>
      </c>
      <c r="M42" s="3405" t="s">
        <v>3371</v>
      </c>
      <c r="N42" s="3405" t="s">
        <v>3341</v>
      </c>
      <c r="O42" s="3405" t="s">
        <v>3342</v>
      </c>
      <c r="P42" s="3405" t="s">
        <v>3344</v>
      </c>
      <c r="Q42" s="3405" t="s">
        <v>3344</v>
      </c>
      <c r="R42" s="3405" t="s">
        <v>3344</v>
      </c>
      <c r="S42" s="3405" t="s">
        <v>3344</v>
      </c>
      <c r="T42" s="3405" t="s">
        <v>3344</v>
      </c>
      <c r="U42" s="3405" t="s">
        <v>3344</v>
      </c>
      <c r="V42" s="3405" t="s">
        <v>3344</v>
      </c>
      <c r="W42" s="3405" t="s">
        <v>3344</v>
      </c>
      <c r="X42" s="3405">
        <v>0</v>
      </c>
      <c r="Y42" s="3405">
        <v>0</v>
      </c>
      <c r="Z42" s="3406">
        <v>44946</v>
      </c>
      <c r="AA42" s="3406">
        <v>44966</v>
      </c>
      <c r="AB42" s="3406">
        <v>44980</v>
      </c>
      <c r="AC42" s="3406">
        <v>44980</v>
      </c>
      <c r="AD42" s="3405" t="s">
        <v>3571</v>
      </c>
      <c r="AE42" s="3405" t="s">
        <v>3346</v>
      </c>
      <c r="AF42" s="3405" t="s">
        <v>3572</v>
      </c>
      <c r="AG42" s="3405" t="s">
        <v>3344</v>
      </c>
      <c r="AH42" s="3405" t="s">
        <v>3344</v>
      </c>
      <c r="AI42" s="3405">
        <v>11413.62</v>
      </c>
      <c r="AJ42" s="3405">
        <v>2300</v>
      </c>
      <c r="AK42" s="3405" t="s">
        <v>2092</v>
      </c>
      <c r="AL42" s="3405">
        <v>11413.62</v>
      </c>
      <c r="AM42" s="3405">
        <v>246.53</v>
      </c>
      <c r="AN42" s="3405">
        <v>246.53</v>
      </c>
      <c r="AO42" s="3405">
        <v>1849</v>
      </c>
      <c r="AP42" s="3405">
        <v>1849</v>
      </c>
      <c r="AQ42" s="3405" t="s">
        <v>3344</v>
      </c>
      <c r="AR42" s="3405" t="s">
        <v>3344</v>
      </c>
      <c r="AS42" s="3405">
        <v>0</v>
      </c>
      <c r="AT42" s="3419" t="s">
        <v>3573</v>
      </c>
      <c r="AU42" s="3405" t="s">
        <v>3342</v>
      </c>
      <c r="AV42" s="3405" t="s">
        <v>3344</v>
      </c>
      <c r="AW42" s="3405" t="s">
        <v>3342</v>
      </c>
      <c r="AX42" s="3405" t="s">
        <v>3344</v>
      </c>
      <c r="AY42" s="3405" t="s">
        <v>3344</v>
      </c>
      <c r="AZ42" s="3405" t="s">
        <v>3344</v>
      </c>
      <c r="BB42" s="3405">
        <f t="shared" si="0"/>
        <v>3698</v>
      </c>
      <c r="BC42" s="3407">
        <v>9876.5797999999995</v>
      </c>
      <c r="BD42" s="3408">
        <f t="shared" si="1"/>
        <v>3200</v>
      </c>
      <c r="BE42" s="3407">
        <f t="shared" si="2"/>
        <v>2240</v>
      </c>
      <c r="BF42" s="3409">
        <f t="shared" si="4"/>
        <v>0.13469999999999999</v>
      </c>
      <c r="BG42" s="3409">
        <f>ROUND(BF42/'[5]剩余（增值收益扣减）法'!$C$31,4)</f>
        <v>0.33679999999999999</v>
      </c>
    </row>
    <row r="43" spans="1:64" s="3506" customFormat="1">
      <c r="A43" s="3506" t="s">
        <v>3789</v>
      </c>
      <c r="I43" s="3506">
        <v>104769.595</v>
      </c>
      <c r="K43" s="3506">
        <f>157154.394/I44</f>
        <v>2.935451095145742</v>
      </c>
      <c r="M43" s="3506" t="s">
        <v>3790</v>
      </c>
      <c r="Z43" s="3508"/>
      <c r="AA43" s="3508"/>
      <c r="AB43" s="3508"/>
      <c r="AC43" s="3508">
        <v>44910</v>
      </c>
      <c r="AL43" s="3506">
        <v>22001.618299999998</v>
      </c>
      <c r="AT43" s="3506" t="s">
        <v>3357</v>
      </c>
      <c r="BB43" s="3506">
        <f t="shared" si="0"/>
        <v>2100</v>
      </c>
      <c r="BC43" s="3509">
        <v>20272.919999999998</v>
      </c>
      <c r="BD43" s="3510">
        <f t="shared" si="1"/>
        <v>1935</v>
      </c>
      <c r="BE43" s="3509">
        <f t="shared" si="2"/>
        <v>1355</v>
      </c>
      <c r="BF43" s="3511">
        <f t="shared" si="4"/>
        <v>7.8600000000000003E-2</v>
      </c>
      <c r="BG43" s="3511">
        <f>ROUND(BF43/'[5]剩余（增值收益扣减）法'!$C$31,4)</f>
        <v>0.19650000000000001</v>
      </c>
      <c r="BI43" s="3512"/>
      <c r="BJ43" s="3512"/>
      <c r="BL43" s="3513"/>
    </row>
    <row r="44" spans="1:64">
      <c r="A44" s="3405" t="s">
        <v>3574</v>
      </c>
      <c r="B44" s="3405" t="s">
        <v>1465</v>
      </c>
      <c r="C44" s="3405" t="s">
        <v>3575</v>
      </c>
      <c r="D44" s="3405" t="s">
        <v>3334</v>
      </c>
      <c r="E44" s="3405" t="s">
        <v>3562</v>
      </c>
      <c r="F44" s="3405" t="s">
        <v>3576</v>
      </c>
      <c r="G44" s="3405" t="s">
        <v>3577</v>
      </c>
      <c r="H44" s="3405" t="s">
        <v>3338</v>
      </c>
      <c r="I44" s="3405">
        <v>53536.71</v>
      </c>
      <c r="J44" s="3405">
        <v>64244.05</v>
      </c>
      <c r="K44" s="3405" t="s">
        <v>3370</v>
      </c>
      <c r="L44" s="3405" t="s">
        <v>3339</v>
      </c>
      <c r="M44" s="3405" t="s">
        <v>3371</v>
      </c>
      <c r="N44" s="3405" t="s">
        <v>3341</v>
      </c>
      <c r="O44" s="3405" t="s">
        <v>3342</v>
      </c>
      <c r="P44" s="3405" t="s">
        <v>3344</v>
      </c>
      <c r="Q44" s="3405" t="s">
        <v>3344</v>
      </c>
      <c r="R44" s="3405" t="s">
        <v>3344</v>
      </c>
      <c r="S44" s="3405" t="s">
        <v>3344</v>
      </c>
      <c r="T44" s="3405" t="s">
        <v>3344</v>
      </c>
      <c r="U44" s="3405" t="s">
        <v>3344</v>
      </c>
      <c r="V44" s="3405" t="s">
        <v>3344</v>
      </c>
      <c r="W44" s="3405" t="s">
        <v>3344</v>
      </c>
      <c r="X44" s="3405">
        <v>0</v>
      </c>
      <c r="Y44" s="3405">
        <v>0</v>
      </c>
      <c r="Z44" s="3406">
        <v>44834</v>
      </c>
      <c r="AA44" s="3406">
        <v>44854</v>
      </c>
      <c r="AB44" s="3406">
        <v>44868</v>
      </c>
      <c r="AC44" s="3406">
        <v>44868</v>
      </c>
      <c r="AD44" s="3405" t="s">
        <v>3578</v>
      </c>
      <c r="AE44" s="3405" t="s">
        <v>3346</v>
      </c>
      <c r="AF44" s="3405" t="s">
        <v>3579</v>
      </c>
      <c r="AG44" s="3405" t="s">
        <v>3344</v>
      </c>
      <c r="AH44" s="3405" t="s">
        <v>3344</v>
      </c>
      <c r="AI44" s="3405">
        <v>8178.27</v>
      </c>
      <c r="AJ44" s="3405">
        <v>1700</v>
      </c>
      <c r="AK44" s="3420">
        <v>44868.625</v>
      </c>
      <c r="AL44" s="3405">
        <v>8178.27</v>
      </c>
      <c r="AM44" s="3405">
        <v>101.84</v>
      </c>
      <c r="AN44" s="3405">
        <v>101.84</v>
      </c>
      <c r="AO44" s="3405">
        <v>1273</v>
      </c>
      <c r="AP44" s="3405">
        <v>1273</v>
      </c>
      <c r="AQ44" s="3405" t="s">
        <v>3344</v>
      </c>
      <c r="AR44" s="3405" t="s">
        <v>3344</v>
      </c>
      <c r="AS44" s="3405">
        <v>0</v>
      </c>
      <c r="AT44" s="3405" t="s">
        <v>3357</v>
      </c>
      <c r="AU44" s="3405" t="s">
        <v>3342</v>
      </c>
      <c r="AV44" s="3405" t="s">
        <v>3344</v>
      </c>
      <c r="AW44" s="3405" t="s">
        <v>3342</v>
      </c>
      <c r="AX44" s="3405" t="s">
        <v>3344</v>
      </c>
      <c r="AY44" s="3405" t="s">
        <v>3344</v>
      </c>
      <c r="AZ44" s="3405" t="s">
        <v>3344</v>
      </c>
      <c r="BB44" s="3405">
        <f t="shared" si="0"/>
        <v>1528</v>
      </c>
      <c r="BC44" s="3407">
        <v>7227.4557000000004</v>
      </c>
      <c r="BD44" s="3408">
        <f t="shared" si="1"/>
        <v>1350</v>
      </c>
      <c r="BE44" s="3407">
        <f t="shared" si="2"/>
        <v>945</v>
      </c>
      <c r="BF44" s="3409">
        <f t="shared" si="4"/>
        <v>0.1163</v>
      </c>
      <c r="BG44" s="3409">
        <f>ROUND(BF44/'[5]剩余（增值收益扣减）法'!$C$31,4)</f>
        <v>0.2908</v>
      </c>
    </row>
    <row r="45" spans="1:64">
      <c r="A45" s="3405" t="s">
        <v>3580</v>
      </c>
      <c r="B45" s="3405" t="s">
        <v>1465</v>
      </c>
      <c r="C45" s="3405" t="s">
        <v>3581</v>
      </c>
      <c r="D45" s="3405" t="s">
        <v>3334</v>
      </c>
      <c r="E45" s="3405" t="s">
        <v>3562</v>
      </c>
      <c r="F45" s="3405" t="s">
        <v>3569</v>
      </c>
      <c r="G45" s="3405" t="s">
        <v>3570</v>
      </c>
      <c r="H45" s="3405" t="s">
        <v>3338</v>
      </c>
      <c r="I45" s="3405">
        <v>59880.32</v>
      </c>
      <c r="J45" s="3405">
        <v>89820.49</v>
      </c>
      <c r="K45" s="3405" t="s">
        <v>3386</v>
      </c>
      <c r="L45" s="3405" t="s">
        <v>3339</v>
      </c>
      <c r="M45" s="3405" t="s">
        <v>3371</v>
      </c>
      <c r="N45" s="3405" t="s">
        <v>3341</v>
      </c>
      <c r="O45" s="3405" t="s">
        <v>3342</v>
      </c>
      <c r="P45" s="3405" t="s">
        <v>3344</v>
      </c>
      <c r="Q45" s="3405" t="s">
        <v>3344</v>
      </c>
      <c r="R45" s="3405" t="s">
        <v>3344</v>
      </c>
      <c r="S45" s="3405" t="s">
        <v>3344</v>
      </c>
      <c r="T45" s="3405" t="s">
        <v>3344</v>
      </c>
      <c r="U45" s="3405" t="s">
        <v>3344</v>
      </c>
      <c r="V45" s="3405" t="s">
        <v>3344</v>
      </c>
      <c r="W45" s="3405" t="s">
        <v>3344</v>
      </c>
      <c r="X45" s="3405">
        <v>0</v>
      </c>
      <c r="Y45" s="3405">
        <v>0</v>
      </c>
      <c r="Z45" s="3406">
        <v>44712</v>
      </c>
      <c r="AA45" s="3406">
        <v>44732</v>
      </c>
      <c r="AB45" s="3406">
        <v>44746</v>
      </c>
      <c r="AC45" s="3406">
        <v>44746</v>
      </c>
      <c r="AD45" s="3405" t="s">
        <v>3582</v>
      </c>
      <c r="AE45" s="3405" t="s">
        <v>3346</v>
      </c>
      <c r="AF45" s="3405" t="s">
        <v>3583</v>
      </c>
      <c r="AG45" s="3405" t="s">
        <v>3344</v>
      </c>
      <c r="AH45" s="3405" t="s">
        <v>3344</v>
      </c>
      <c r="AI45" s="3405">
        <v>15107.81</v>
      </c>
      <c r="AJ45" s="3405">
        <v>3100</v>
      </c>
      <c r="AK45" s="3420">
        <v>44746.625</v>
      </c>
      <c r="AL45" s="3405">
        <v>15107.81</v>
      </c>
      <c r="AM45" s="3405">
        <v>168.2</v>
      </c>
      <c r="AN45" s="3405">
        <v>168.2</v>
      </c>
      <c r="AO45" s="3405">
        <v>1682</v>
      </c>
      <c r="AP45" s="3405">
        <v>1682</v>
      </c>
      <c r="AQ45" s="3405" t="s">
        <v>3344</v>
      </c>
      <c r="AR45" s="3405" t="s">
        <v>3344</v>
      </c>
      <c r="AS45" s="3405">
        <v>0</v>
      </c>
      <c r="AT45" s="3405" t="s">
        <v>3357</v>
      </c>
      <c r="AU45" s="3405" t="s">
        <v>3342</v>
      </c>
      <c r="AV45" s="3405" t="s">
        <v>3344</v>
      </c>
      <c r="AW45" s="3405" t="s">
        <v>3342</v>
      </c>
      <c r="AX45" s="3405" t="s">
        <v>3344</v>
      </c>
      <c r="AY45" s="3405" t="s">
        <v>3344</v>
      </c>
      <c r="AZ45" s="3405" t="s">
        <v>3344</v>
      </c>
      <c r="BB45" s="3405">
        <f t="shared" si="0"/>
        <v>2523</v>
      </c>
      <c r="BC45" s="3407">
        <v>13922.1756</v>
      </c>
      <c r="BD45" s="3408">
        <f t="shared" si="1"/>
        <v>2325</v>
      </c>
      <c r="BE45" s="3407">
        <f t="shared" si="2"/>
        <v>1628</v>
      </c>
      <c r="BF45" s="3409">
        <f t="shared" si="4"/>
        <v>7.85E-2</v>
      </c>
      <c r="BG45" s="3409">
        <f>ROUND(BF45/'[5]剩余（增值收益扣减）法'!$C$31,4)</f>
        <v>0.1963</v>
      </c>
    </row>
    <row r="46" spans="1:64">
      <c r="A46" s="3405" t="s">
        <v>3584</v>
      </c>
      <c r="B46" s="3405" t="s">
        <v>1465</v>
      </c>
      <c r="C46" s="3405" t="s">
        <v>3585</v>
      </c>
      <c r="D46" s="3405" t="s">
        <v>3334</v>
      </c>
      <c r="E46" s="3405" t="s">
        <v>3562</v>
      </c>
      <c r="F46" s="3405" t="s">
        <v>3576</v>
      </c>
      <c r="G46" s="3405" t="s">
        <v>3577</v>
      </c>
      <c r="H46" s="3405" t="s">
        <v>3338</v>
      </c>
      <c r="I46" s="3405">
        <v>33079.29</v>
      </c>
      <c r="J46" s="3405">
        <v>39695.15</v>
      </c>
      <c r="K46" s="3405" t="s">
        <v>3370</v>
      </c>
      <c r="L46" s="3405" t="s">
        <v>3339</v>
      </c>
      <c r="M46" s="3405" t="s">
        <v>3371</v>
      </c>
      <c r="N46" s="3405" t="s">
        <v>3341</v>
      </c>
      <c r="O46" s="3405" t="s">
        <v>3342</v>
      </c>
      <c r="P46" s="3405" t="s">
        <v>3344</v>
      </c>
      <c r="Q46" s="3405" t="s">
        <v>3344</v>
      </c>
      <c r="R46" s="3405" t="s">
        <v>3344</v>
      </c>
      <c r="S46" s="3405" t="s">
        <v>3344</v>
      </c>
      <c r="T46" s="3405" t="s">
        <v>3344</v>
      </c>
      <c r="U46" s="3405" t="s">
        <v>3344</v>
      </c>
      <c r="V46" s="3405" t="s">
        <v>3344</v>
      </c>
      <c r="W46" s="3405" t="s">
        <v>3344</v>
      </c>
      <c r="X46" s="3405">
        <v>0</v>
      </c>
      <c r="Y46" s="3405">
        <v>0</v>
      </c>
      <c r="Z46" s="3406">
        <v>44651</v>
      </c>
      <c r="AA46" s="3406">
        <v>44671</v>
      </c>
      <c r="AB46" s="3406">
        <v>44687</v>
      </c>
      <c r="AC46" s="3406">
        <v>44687</v>
      </c>
      <c r="AD46" s="3405" t="s">
        <v>3586</v>
      </c>
      <c r="AE46" s="3405" t="s">
        <v>3346</v>
      </c>
      <c r="AF46" s="3405" t="s">
        <v>3587</v>
      </c>
      <c r="AG46" s="3405" t="s">
        <v>3344</v>
      </c>
      <c r="AH46" s="3405" t="s">
        <v>3344</v>
      </c>
      <c r="AI46" s="3405">
        <v>4981.74</v>
      </c>
      <c r="AJ46" s="3405">
        <v>1000</v>
      </c>
      <c r="AK46" s="3420">
        <v>44685.625</v>
      </c>
      <c r="AL46" s="3405">
        <v>4981.74</v>
      </c>
      <c r="AM46" s="3405">
        <v>100.4</v>
      </c>
      <c r="AN46" s="3405">
        <v>100.4</v>
      </c>
      <c r="AO46" s="3405">
        <v>1255</v>
      </c>
      <c r="AP46" s="3405">
        <v>1255</v>
      </c>
      <c r="AQ46" s="3405" t="s">
        <v>3344</v>
      </c>
      <c r="AR46" s="3405" t="s">
        <v>3344</v>
      </c>
      <c r="AS46" s="3405">
        <v>0</v>
      </c>
      <c r="AT46" s="3405" t="s">
        <v>3357</v>
      </c>
      <c r="AU46" s="3405" t="s">
        <v>3342</v>
      </c>
      <c r="AV46" s="3405" t="s">
        <v>3344</v>
      </c>
      <c r="AW46" s="3405" t="s">
        <v>3342</v>
      </c>
      <c r="AX46" s="3405" t="s">
        <v>3344</v>
      </c>
      <c r="AY46" s="3405" t="s">
        <v>3344</v>
      </c>
      <c r="AZ46" s="3405" t="s">
        <v>3344</v>
      </c>
      <c r="BB46" s="3405">
        <f t="shared" si="0"/>
        <v>1506</v>
      </c>
      <c r="BC46" s="3407">
        <v>4465.7</v>
      </c>
      <c r="BD46" s="3408">
        <f t="shared" si="1"/>
        <v>1350</v>
      </c>
      <c r="BE46" s="3407">
        <f t="shared" si="2"/>
        <v>945</v>
      </c>
      <c r="BF46" s="3409">
        <f t="shared" si="4"/>
        <v>0.1036</v>
      </c>
      <c r="BG46" s="3409">
        <f>ROUND(BF46/'[5]剩余（增值收益扣减）法'!$C$31,4)</f>
        <v>0.25900000000000001</v>
      </c>
    </row>
    <row r="47" spans="1:64">
      <c r="A47" s="3405" t="s">
        <v>3588</v>
      </c>
      <c r="B47" s="3405" t="s">
        <v>1465</v>
      </c>
      <c r="C47" s="3405" t="s">
        <v>3589</v>
      </c>
      <c r="D47" s="3405" t="s">
        <v>3334</v>
      </c>
      <c r="E47" s="3405" t="s">
        <v>3562</v>
      </c>
      <c r="F47" s="3405" t="s">
        <v>3576</v>
      </c>
      <c r="G47" s="3405" t="s">
        <v>3577</v>
      </c>
      <c r="H47" s="3405" t="s">
        <v>3338</v>
      </c>
      <c r="I47" s="3405">
        <v>33079.29</v>
      </c>
      <c r="J47" s="3405">
        <v>39695.15</v>
      </c>
      <c r="K47" s="3405">
        <v>1.2</v>
      </c>
      <c r="L47" s="3405" t="s">
        <v>3339</v>
      </c>
      <c r="M47" s="3405" t="s">
        <v>3590</v>
      </c>
      <c r="N47" s="3405" t="s">
        <v>3341</v>
      </c>
      <c r="O47" s="3405" t="s">
        <v>3342</v>
      </c>
      <c r="P47" s="3405" t="s">
        <v>3344</v>
      </c>
      <c r="Q47" s="3405">
        <v>24</v>
      </c>
      <c r="R47" s="3405" t="s">
        <v>3344</v>
      </c>
      <c r="S47" s="3405" t="s">
        <v>3344</v>
      </c>
      <c r="T47" s="3405" t="s">
        <v>3344</v>
      </c>
      <c r="U47" s="3405" t="s">
        <v>3344</v>
      </c>
      <c r="V47" s="3405">
        <v>0</v>
      </c>
      <c r="W47" s="3405">
        <v>0</v>
      </c>
      <c r="X47" s="3405">
        <v>0</v>
      </c>
      <c r="Y47" s="3405">
        <v>0</v>
      </c>
      <c r="Z47" s="3406">
        <v>44532</v>
      </c>
      <c r="AA47" s="3406">
        <v>44552</v>
      </c>
      <c r="AB47" s="3406">
        <v>44567</v>
      </c>
      <c r="AC47" s="3406">
        <v>44567</v>
      </c>
      <c r="AD47" s="3405" t="s">
        <v>3591</v>
      </c>
      <c r="AE47" s="3405" t="s">
        <v>3346</v>
      </c>
      <c r="AF47" s="3405" t="s">
        <v>3592</v>
      </c>
      <c r="AG47" s="3405" t="s">
        <v>3344</v>
      </c>
      <c r="AH47" s="3405" t="s">
        <v>3344</v>
      </c>
      <c r="AI47" s="3405">
        <v>4981.74</v>
      </c>
      <c r="AJ47" s="3405">
        <v>1000</v>
      </c>
      <c r="AK47" s="3405" t="s">
        <v>2092</v>
      </c>
      <c r="AL47" s="3405">
        <v>4981.74</v>
      </c>
      <c r="AM47" s="3405">
        <v>100.4</v>
      </c>
      <c r="AN47" s="3405">
        <v>100.4</v>
      </c>
      <c r="AO47" s="3405">
        <v>1255</v>
      </c>
      <c r="AP47" s="3405">
        <v>1255</v>
      </c>
      <c r="AQ47" s="3405" t="s">
        <v>3344</v>
      </c>
      <c r="AR47" s="3405" t="s">
        <v>3344</v>
      </c>
      <c r="AS47" s="3405">
        <v>0</v>
      </c>
      <c r="AT47" s="3405" t="s">
        <v>3357</v>
      </c>
      <c r="AU47" s="3405" t="s">
        <v>3342</v>
      </c>
      <c r="AV47" s="3405" t="s">
        <v>3344</v>
      </c>
      <c r="AW47" s="3405" t="s">
        <v>3342</v>
      </c>
      <c r="AX47" s="3405" t="s">
        <v>3344</v>
      </c>
      <c r="AY47" s="3405" t="s">
        <v>3344</v>
      </c>
      <c r="AZ47" s="3405" t="s">
        <v>3344</v>
      </c>
      <c r="BB47" s="3405">
        <f t="shared" si="0"/>
        <v>1506</v>
      </c>
      <c r="BC47" s="3407">
        <v>4465.7</v>
      </c>
      <c r="BD47" s="3408">
        <f t="shared" si="1"/>
        <v>1350</v>
      </c>
      <c r="BE47" s="3407">
        <f t="shared" si="2"/>
        <v>945</v>
      </c>
      <c r="BF47" s="3409">
        <f t="shared" si="4"/>
        <v>0.1036</v>
      </c>
      <c r="BG47" s="3409">
        <f>ROUND(BF47/'[5]剩余（增值收益扣减）法'!$C$31,4)</f>
        <v>0.25900000000000001</v>
      </c>
    </row>
    <row r="48" spans="1:64">
      <c r="A48" s="3405" t="s">
        <v>3593</v>
      </c>
      <c r="B48" s="3405" t="s">
        <v>1465</v>
      </c>
      <c r="C48" s="3405" t="s">
        <v>3594</v>
      </c>
      <c r="D48" s="3405" t="s">
        <v>3334</v>
      </c>
      <c r="E48" s="3405" t="s">
        <v>3562</v>
      </c>
      <c r="F48" s="3405" t="s">
        <v>3569</v>
      </c>
      <c r="G48" s="3405" t="s">
        <v>3570</v>
      </c>
      <c r="H48" s="3405" t="s">
        <v>3338</v>
      </c>
      <c r="I48" s="3405">
        <v>70381.62</v>
      </c>
      <c r="J48" s="3405">
        <v>107447.38</v>
      </c>
      <c r="K48" s="3405">
        <v>1.53</v>
      </c>
      <c r="L48" s="3405" t="s">
        <v>3339</v>
      </c>
      <c r="M48" s="3405" t="s">
        <v>3371</v>
      </c>
      <c r="N48" s="3405" t="s">
        <v>3341</v>
      </c>
      <c r="O48" s="3405" t="s">
        <v>3342</v>
      </c>
      <c r="P48" s="3405" t="s">
        <v>3344</v>
      </c>
      <c r="Q48" s="3405" t="s">
        <v>3344</v>
      </c>
      <c r="R48" s="3405" t="s">
        <v>3344</v>
      </c>
      <c r="S48" s="3405" t="s">
        <v>3344</v>
      </c>
      <c r="T48" s="3405" t="s">
        <v>3344</v>
      </c>
      <c r="U48" s="3405" t="s">
        <v>3344</v>
      </c>
      <c r="V48" s="3405">
        <v>0</v>
      </c>
      <c r="W48" s="3405">
        <v>0</v>
      </c>
      <c r="X48" s="3405">
        <v>0</v>
      </c>
      <c r="Y48" s="3405">
        <v>0</v>
      </c>
      <c r="Z48" s="3406">
        <v>44526</v>
      </c>
      <c r="AA48" s="3406">
        <v>44546</v>
      </c>
      <c r="AB48" s="3406">
        <v>44560</v>
      </c>
      <c r="AC48" s="3406">
        <v>44560</v>
      </c>
      <c r="AD48" s="3405" t="s">
        <v>3595</v>
      </c>
      <c r="AE48" s="3405" t="s">
        <v>3346</v>
      </c>
      <c r="AF48" s="3405" t="s">
        <v>3596</v>
      </c>
      <c r="AG48" s="3405" t="s">
        <v>3344</v>
      </c>
      <c r="AH48" s="3405" t="s">
        <v>3344</v>
      </c>
      <c r="AI48" s="3405">
        <v>15861.01</v>
      </c>
      <c r="AJ48" s="3405">
        <v>3200</v>
      </c>
      <c r="AK48" s="3405" t="s">
        <v>2092</v>
      </c>
      <c r="AL48" s="3405">
        <v>15861.01</v>
      </c>
      <c r="AM48" s="3405">
        <v>150.24</v>
      </c>
      <c r="AN48" s="3405">
        <v>150.24</v>
      </c>
      <c r="AO48" s="3405">
        <v>1476</v>
      </c>
      <c r="AP48" s="3405">
        <v>1476</v>
      </c>
      <c r="AQ48" s="3405" t="s">
        <v>3344</v>
      </c>
      <c r="AR48" s="3405" t="s">
        <v>3344</v>
      </c>
      <c r="AS48" s="3405">
        <v>0</v>
      </c>
      <c r="AT48" s="3419">
        <v>50</v>
      </c>
      <c r="AU48" s="3405" t="s">
        <v>3342</v>
      </c>
      <c r="AV48" s="3405" t="s">
        <v>3344</v>
      </c>
      <c r="AW48" s="3405" t="s">
        <v>3342</v>
      </c>
      <c r="AX48" s="3405" t="s">
        <v>3344</v>
      </c>
      <c r="AY48" s="3405" t="s">
        <v>3344</v>
      </c>
      <c r="AZ48" s="3405" t="s">
        <v>3344</v>
      </c>
      <c r="BB48" s="3405">
        <f t="shared" si="0"/>
        <v>2254</v>
      </c>
      <c r="BC48" s="3407">
        <v>10744.73769</v>
      </c>
      <c r="BD48" s="3408">
        <f t="shared" si="1"/>
        <v>1527</v>
      </c>
      <c r="BE48" s="3407">
        <f t="shared" si="2"/>
        <v>1069</v>
      </c>
    </row>
    <row r="49" spans="1:64">
      <c r="A49" s="3405" t="s">
        <v>3597</v>
      </c>
      <c r="B49" s="3405" t="s">
        <v>1465</v>
      </c>
      <c r="C49" s="3405" t="s">
        <v>3598</v>
      </c>
      <c r="D49" s="3405" t="s">
        <v>3334</v>
      </c>
      <c r="E49" s="3405" t="s">
        <v>3562</v>
      </c>
      <c r="F49" s="3405" t="s">
        <v>3599</v>
      </c>
      <c r="G49" s="3405" t="s">
        <v>3600</v>
      </c>
      <c r="H49" s="3405" t="s">
        <v>3338</v>
      </c>
      <c r="I49" s="3405">
        <v>60114.58</v>
      </c>
      <c r="J49" s="3405">
        <v>120229.15</v>
      </c>
      <c r="K49" s="3405">
        <v>2</v>
      </c>
      <c r="L49" s="3405" t="s">
        <v>3339</v>
      </c>
      <c r="M49" s="3405" t="s">
        <v>3371</v>
      </c>
      <c r="N49" s="3405" t="s">
        <v>3341</v>
      </c>
      <c r="O49" s="3405" t="s">
        <v>3342</v>
      </c>
      <c r="P49" s="3405" t="s">
        <v>3344</v>
      </c>
      <c r="Q49" s="3405" t="s">
        <v>3601</v>
      </c>
      <c r="R49" s="3405" t="s">
        <v>3344</v>
      </c>
      <c r="S49" s="3405" t="s">
        <v>3344</v>
      </c>
      <c r="T49" s="3405" t="s">
        <v>3344</v>
      </c>
      <c r="U49" s="3405" t="s">
        <v>3344</v>
      </c>
      <c r="V49" s="3405">
        <v>0</v>
      </c>
      <c r="W49" s="3405">
        <v>0</v>
      </c>
      <c r="X49" s="3405">
        <v>0</v>
      </c>
      <c r="Y49" s="3405">
        <v>0</v>
      </c>
      <c r="Z49" s="3406">
        <v>44377</v>
      </c>
      <c r="AA49" s="3406">
        <v>44397</v>
      </c>
      <c r="AB49" s="3406">
        <v>44413</v>
      </c>
      <c r="AC49" s="3406">
        <v>44413</v>
      </c>
      <c r="AD49" s="3405" t="s">
        <v>3602</v>
      </c>
      <c r="AE49" s="3405" t="s">
        <v>3346</v>
      </c>
      <c r="AF49" s="3405" t="s">
        <v>3603</v>
      </c>
      <c r="AG49" s="3405" t="s">
        <v>3344</v>
      </c>
      <c r="AH49" s="3405" t="s">
        <v>3344</v>
      </c>
      <c r="AI49" s="3405">
        <v>11671.61</v>
      </c>
      <c r="AJ49" s="3405">
        <v>2400</v>
      </c>
      <c r="AK49" s="3405" t="s">
        <v>2092</v>
      </c>
      <c r="AL49" s="3405">
        <v>11671.61</v>
      </c>
      <c r="AM49" s="3405">
        <v>129.44</v>
      </c>
      <c r="AN49" s="3405">
        <v>129.44</v>
      </c>
      <c r="AO49" s="3405">
        <v>971</v>
      </c>
      <c r="AP49" s="3405">
        <v>971</v>
      </c>
      <c r="AQ49" s="3405" t="s">
        <v>3344</v>
      </c>
      <c r="AR49" s="3405" t="s">
        <v>3344</v>
      </c>
      <c r="AS49" s="3405">
        <v>0</v>
      </c>
      <c r="AT49" s="3405" t="s">
        <v>3357</v>
      </c>
      <c r="AU49" s="3405" t="s">
        <v>3342</v>
      </c>
      <c r="AV49" s="3405" t="s">
        <v>3344</v>
      </c>
      <c r="AW49" s="3405" t="s">
        <v>3342</v>
      </c>
      <c r="AX49" s="3405" t="s">
        <v>3344</v>
      </c>
      <c r="AY49" s="3405" t="s">
        <v>3344</v>
      </c>
      <c r="AZ49" s="3405" t="s">
        <v>3344</v>
      </c>
      <c r="BB49" s="3405">
        <f t="shared" si="0"/>
        <v>1942</v>
      </c>
      <c r="BC49" s="3407">
        <v>10661.69</v>
      </c>
      <c r="BD49" s="3408">
        <f t="shared" si="1"/>
        <v>1774</v>
      </c>
      <c r="BE49" s="3407">
        <f t="shared" si="2"/>
        <v>1242</v>
      </c>
      <c r="BF49" s="3409">
        <f t="shared" ref="BF49" si="5">ROUND((AL49-BC49)/AL49,4)</f>
        <v>8.6499999999999994E-2</v>
      </c>
      <c r="BG49" s="3409">
        <f>ROUND(BF49/'[5]剩余（增值收益扣减）法'!$C$31,4)</f>
        <v>0.21629999999999999</v>
      </c>
    </row>
    <row r="50" spans="1:64" s="3412" customFormat="1" ht="15.75" thickBot="1">
      <c r="A50" s="3412" t="s">
        <v>3604</v>
      </c>
      <c r="B50" s="3412" t="s">
        <v>1465</v>
      </c>
      <c r="C50" s="3412" t="s">
        <v>3605</v>
      </c>
      <c r="D50" s="3412" t="s">
        <v>3334</v>
      </c>
      <c r="E50" s="3412" t="s">
        <v>3562</v>
      </c>
      <c r="F50" s="3412" t="s">
        <v>3569</v>
      </c>
      <c r="G50" s="3412" t="s">
        <v>3570</v>
      </c>
      <c r="H50" s="3412" t="s">
        <v>3338</v>
      </c>
      <c r="I50" s="3412">
        <v>58379.44</v>
      </c>
      <c r="J50" s="3412">
        <v>116758.88</v>
      </c>
      <c r="K50" s="3412" t="s">
        <v>3360</v>
      </c>
      <c r="L50" s="3412" t="s">
        <v>3339</v>
      </c>
      <c r="M50" s="3412" t="s">
        <v>3371</v>
      </c>
      <c r="N50" s="3412" t="s">
        <v>3341</v>
      </c>
      <c r="O50" s="3412" t="s">
        <v>3342</v>
      </c>
      <c r="P50" s="3412" t="s">
        <v>3344</v>
      </c>
      <c r="Q50" s="3412" t="s">
        <v>3343</v>
      </c>
      <c r="R50" s="3412" t="s">
        <v>3344</v>
      </c>
      <c r="S50" s="3412" t="s">
        <v>3344</v>
      </c>
      <c r="T50" s="3412" t="s">
        <v>3344</v>
      </c>
      <c r="U50" s="3412" t="s">
        <v>3344</v>
      </c>
      <c r="V50" s="3412">
        <v>0</v>
      </c>
      <c r="W50" s="3412">
        <v>0</v>
      </c>
      <c r="X50" s="3412">
        <v>0</v>
      </c>
      <c r="Y50" s="3412">
        <v>0</v>
      </c>
      <c r="Z50" s="3413">
        <v>44342</v>
      </c>
      <c r="AA50" s="3413">
        <v>44362</v>
      </c>
      <c r="AB50" s="3413">
        <v>44376</v>
      </c>
      <c r="AC50" s="3413">
        <v>44376</v>
      </c>
      <c r="AD50" s="3412" t="s">
        <v>3606</v>
      </c>
      <c r="AE50" s="3412" t="s">
        <v>3346</v>
      </c>
      <c r="AF50" s="3412" t="s">
        <v>3607</v>
      </c>
      <c r="AG50" s="3412" t="s">
        <v>3344</v>
      </c>
      <c r="AH50" s="3412" t="s">
        <v>3344</v>
      </c>
      <c r="AI50" s="3412">
        <v>16276.19</v>
      </c>
      <c r="AJ50" s="3412">
        <v>3300</v>
      </c>
      <c r="AK50" s="3412" t="s">
        <v>2092</v>
      </c>
      <c r="AL50" s="3412">
        <v>16276.19</v>
      </c>
      <c r="AM50" s="3412">
        <v>185.87</v>
      </c>
      <c r="AN50" s="3412">
        <v>185.87</v>
      </c>
      <c r="AO50" s="3412">
        <v>1394</v>
      </c>
      <c r="AP50" s="3412">
        <v>1394</v>
      </c>
      <c r="AQ50" s="3412" t="s">
        <v>3344</v>
      </c>
      <c r="AR50" s="3412" t="s">
        <v>3344</v>
      </c>
      <c r="AS50" s="3412">
        <v>0</v>
      </c>
      <c r="AT50" s="3421" t="s">
        <v>3573</v>
      </c>
      <c r="AU50" s="3412" t="s">
        <v>3342</v>
      </c>
      <c r="AV50" s="3412" t="s">
        <v>3344</v>
      </c>
      <c r="AW50" s="3412" t="s">
        <v>3342</v>
      </c>
      <c r="AX50" s="3412" t="s">
        <v>3344</v>
      </c>
      <c r="AY50" s="3412" t="s">
        <v>3344</v>
      </c>
      <c r="AZ50" s="3412" t="s">
        <v>3344</v>
      </c>
      <c r="BB50" s="3412">
        <f t="shared" si="0"/>
        <v>2788</v>
      </c>
      <c r="BC50" s="3414">
        <v>11675.8876</v>
      </c>
      <c r="BD50" s="3415">
        <f t="shared" si="1"/>
        <v>2000</v>
      </c>
      <c r="BE50" s="3414">
        <f t="shared" si="2"/>
        <v>1400</v>
      </c>
      <c r="BF50" s="3416"/>
      <c r="BG50" s="3416"/>
      <c r="BI50" s="3417"/>
      <c r="BJ50" s="3417"/>
      <c r="BL50" s="3418"/>
    </row>
    <row r="51" spans="1:64">
      <c r="A51" s="3405" t="s">
        <v>3608</v>
      </c>
      <c r="B51" s="3405" t="s">
        <v>1465</v>
      </c>
      <c r="C51" s="3405" t="s">
        <v>3609</v>
      </c>
      <c r="D51" s="3405" t="s">
        <v>3334</v>
      </c>
      <c r="E51" s="3405" t="s">
        <v>3610</v>
      </c>
      <c r="F51" s="3405" t="s">
        <v>3344</v>
      </c>
      <c r="G51" s="3405" t="s">
        <v>3611</v>
      </c>
      <c r="H51" s="3405" t="s">
        <v>3338</v>
      </c>
      <c r="I51" s="3405">
        <v>43253.49</v>
      </c>
      <c r="J51" s="3405">
        <v>64880</v>
      </c>
      <c r="K51" s="3405">
        <v>1.5</v>
      </c>
      <c r="L51" s="3405" t="s">
        <v>3339</v>
      </c>
      <c r="M51" s="3405" t="s">
        <v>3353</v>
      </c>
      <c r="N51" s="3405" t="s">
        <v>3341</v>
      </c>
      <c r="O51" s="3405" t="s">
        <v>3342</v>
      </c>
      <c r="P51" s="3405" t="s">
        <v>3344</v>
      </c>
      <c r="Q51" s="3405" t="s">
        <v>3344</v>
      </c>
      <c r="R51" s="3405" t="s">
        <v>3344</v>
      </c>
      <c r="S51" s="3405" t="s">
        <v>3344</v>
      </c>
      <c r="T51" s="3405" t="s">
        <v>3344</v>
      </c>
      <c r="U51" s="3405" t="s">
        <v>3344</v>
      </c>
      <c r="V51" s="3405" t="s">
        <v>3344</v>
      </c>
      <c r="W51" s="3405" t="s">
        <v>3344</v>
      </c>
      <c r="X51" s="3405">
        <v>0</v>
      </c>
      <c r="Y51" s="3405">
        <v>0</v>
      </c>
      <c r="Z51" s="3406">
        <v>45057</v>
      </c>
      <c r="AA51" s="3406">
        <v>45078</v>
      </c>
      <c r="AB51" s="3406">
        <v>45092</v>
      </c>
      <c r="AC51" s="3406">
        <v>45092</v>
      </c>
      <c r="AD51" s="3405" t="s">
        <v>3612</v>
      </c>
      <c r="AE51" s="3405" t="s">
        <v>3346</v>
      </c>
      <c r="AF51" s="3405" t="s">
        <v>3613</v>
      </c>
      <c r="AG51" s="3405" t="s">
        <v>3344</v>
      </c>
      <c r="AH51" s="3405" t="s">
        <v>3344</v>
      </c>
      <c r="AI51" s="3405">
        <v>8609.58</v>
      </c>
      <c r="AJ51" s="3405">
        <v>1722</v>
      </c>
      <c r="AK51" s="3420">
        <v>45092.625</v>
      </c>
      <c r="AL51" s="3405">
        <v>8609.58</v>
      </c>
      <c r="AM51" s="3405">
        <v>132.69999999999999</v>
      </c>
      <c r="AN51" s="3405">
        <v>132.69999999999999</v>
      </c>
      <c r="AO51" s="3405">
        <v>1327</v>
      </c>
      <c r="AP51" s="3405">
        <v>1327</v>
      </c>
      <c r="AQ51" s="3405" t="s">
        <v>3344</v>
      </c>
      <c r="AR51" s="3405" t="s">
        <v>3344</v>
      </c>
      <c r="AS51" s="3405">
        <v>0</v>
      </c>
      <c r="AT51" s="3405" t="s">
        <v>3357</v>
      </c>
      <c r="AU51" s="3405" t="s">
        <v>3342</v>
      </c>
      <c r="AV51" s="3405" t="s">
        <v>3344</v>
      </c>
      <c r="AW51" s="3405" t="s">
        <v>3342</v>
      </c>
      <c r="AX51" s="3405" t="s">
        <v>3344</v>
      </c>
      <c r="AY51" s="3405" t="s">
        <v>3344</v>
      </c>
      <c r="AZ51" s="3405" t="s">
        <v>3344</v>
      </c>
      <c r="BB51" s="3405">
        <f t="shared" si="0"/>
        <v>1990</v>
      </c>
      <c r="BC51" s="3407">
        <f>71598952/10000</f>
        <v>7159.8951999999999</v>
      </c>
      <c r="BD51" s="3408">
        <f t="shared" si="1"/>
        <v>1655</v>
      </c>
      <c r="BE51" s="3407">
        <f t="shared" si="2"/>
        <v>1159</v>
      </c>
    </row>
    <row r="52" spans="1:64" s="3514" customFormat="1">
      <c r="A52" s="3514" t="s">
        <v>3614</v>
      </c>
      <c r="B52" s="3514" t="s">
        <v>1465</v>
      </c>
      <c r="C52" s="3514" t="s">
        <v>3615</v>
      </c>
      <c r="D52" s="3514" t="s">
        <v>3334</v>
      </c>
      <c r="E52" s="3514" t="s">
        <v>3610</v>
      </c>
      <c r="F52" s="3514" t="s">
        <v>3616</v>
      </c>
      <c r="G52" s="3514" t="s">
        <v>3617</v>
      </c>
      <c r="H52" s="3514" t="s">
        <v>3338</v>
      </c>
      <c r="I52" s="3514">
        <v>66934.31</v>
      </c>
      <c r="J52" s="3514">
        <v>80321</v>
      </c>
      <c r="K52" s="3514" t="s">
        <v>3618</v>
      </c>
      <c r="L52" s="3514" t="s">
        <v>3339</v>
      </c>
      <c r="M52" s="3514" t="s">
        <v>3402</v>
      </c>
      <c r="N52" s="3514" t="s">
        <v>3341</v>
      </c>
      <c r="O52" s="3514" t="s">
        <v>3342</v>
      </c>
      <c r="P52" s="3514" t="s">
        <v>3344</v>
      </c>
      <c r="Q52" s="3514" t="s">
        <v>3344</v>
      </c>
      <c r="R52" s="3514" t="s">
        <v>3344</v>
      </c>
      <c r="S52" s="3514" t="s">
        <v>3344</v>
      </c>
      <c r="T52" s="3514" t="s">
        <v>3344</v>
      </c>
      <c r="U52" s="3514" t="s">
        <v>3344</v>
      </c>
      <c r="V52" s="3514" t="s">
        <v>3344</v>
      </c>
      <c r="W52" s="3514" t="s">
        <v>3344</v>
      </c>
      <c r="X52" s="3514">
        <v>0</v>
      </c>
      <c r="Y52" s="3514">
        <v>0</v>
      </c>
      <c r="Z52" s="3518">
        <v>44998</v>
      </c>
      <c r="AA52" s="3518">
        <v>45019</v>
      </c>
      <c r="AB52" s="3518">
        <v>45033</v>
      </c>
      <c r="AC52" s="3518">
        <v>45033</v>
      </c>
      <c r="AD52" s="3514" t="s">
        <v>3619</v>
      </c>
      <c r="AE52" s="3514" t="s">
        <v>3346</v>
      </c>
      <c r="AF52" s="3514" t="s">
        <v>3620</v>
      </c>
      <c r="AG52" s="3514" t="s">
        <v>3344</v>
      </c>
      <c r="AH52" s="3514" t="s">
        <v>3344</v>
      </c>
      <c r="AI52" s="3514">
        <v>15060.05</v>
      </c>
      <c r="AJ52" s="3514">
        <v>3012</v>
      </c>
      <c r="AK52" s="3519">
        <v>45033.625</v>
      </c>
      <c r="AL52" s="3514">
        <v>15060.05</v>
      </c>
      <c r="AM52" s="3514">
        <v>150</v>
      </c>
      <c r="AN52" s="3514">
        <v>150</v>
      </c>
      <c r="AO52" s="3514">
        <v>1875</v>
      </c>
      <c r="AP52" s="3514">
        <v>1875</v>
      </c>
      <c r="AQ52" s="3514" t="s">
        <v>3344</v>
      </c>
      <c r="AR52" s="3514" t="s">
        <v>3344</v>
      </c>
      <c r="AS52" s="3514">
        <v>0</v>
      </c>
      <c r="AT52" s="3514" t="s">
        <v>3357</v>
      </c>
      <c r="AU52" s="3514" t="s">
        <v>3342</v>
      </c>
      <c r="AV52" s="3514" t="s">
        <v>3344</v>
      </c>
      <c r="AW52" s="3514" t="s">
        <v>3342</v>
      </c>
      <c r="AX52" s="3514" t="s">
        <v>3344</v>
      </c>
      <c r="AY52" s="3514" t="s">
        <v>3344</v>
      </c>
      <c r="AZ52" s="3514" t="s">
        <v>3344</v>
      </c>
      <c r="BB52" s="3514">
        <f t="shared" si="0"/>
        <v>2250</v>
      </c>
      <c r="BC52" s="3516">
        <f>143291268/10000</f>
        <v>14329.1268</v>
      </c>
      <c r="BD52" s="3515">
        <f t="shared" si="1"/>
        <v>2141</v>
      </c>
      <c r="BE52" s="3516">
        <f t="shared" si="2"/>
        <v>1499</v>
      </c>
      <c r="BF52" s="3517">
        <f t="shared" ref="BF52:BF57" si="6">ROUND((AL52-BC52)/AL52,4)</f>
        <v>4.8500000000000001E-2</v>
      </c>
      <c r="BG52" s="3517">
        <f>ROUND(BF52/'[5]剩余（增值收益扣减）法'!$C$31,4)</f>
        <v>0.12130000000000001</v>
      </c>
      <c r="BI52" s="3520" t="s">
        <v>3791</v>
      </c>
      <c r="BJ52" s="3427">
        <f>ROUND(BB52*[5]土地一级开发案例!$B$26/[5]土地一级开发案例!B32,0)</f>
        <v>15134</v>
      </c>
      <c r="BL52" s="3521">
        <f>ROUND(BJ52*'[1]剩余（增值收益扣减）法'!$C$34/'[1]剩余（增值收益扣减）法'!$C$33,0)</f>
        <v>22170</v>
      </c>
    </row>
    <row r="53" spans="1:64">
      <c r="A53" s="3405" t="s">
        <v>3621</v>
      </c>
      <c r="B53" s="3405" t="s">
        <v>1465</v>
      </c>
      <c r="C53" s="3405" t="s">
        <v>3622</v>
      </c>
      <c r="D53" s="3405" t="s">
        <v>3334</v>
      </c>
      <c r="E53" s="3405" t="s">
        <v>3610</v>
      </c>
      <c r="F53" s="3405" t="s">
        <v>3616</v>
      </c>
      <c r="G53" s="3405" t="s">
        <v>3623</v>
      </c>
      <c r="H53" s="3405" t="s">
        <v>3338</v>
      </c>
      <c r="I53" s="3405">
        <v>101126.72</v>
      </c>
      <c r="J53" s="3405">
        <v>151690</v>
      </c>
      <c r="K53" s="3405">
        <v>1.5</v>
      </c>
      <c r="L53" s="3405" t="s">
        <v>3339</v>
      </c>
      <c r="M53" s="3405" t="s">
        <v>3371</v>
      </c>
      <c r="N53" s="3405" t="s">
        <v>3341</v>
      </c>
      <c r="O53" s="3405" t="s">
        <v>3342</v>
      </c>
      <c r="P53" s="3405" t="s">
        <v>3344</v>
      </c>
      <c r="Q53" s="3405" t="s">
        <v>3344</v>
      </c>
      <c r="R53" s="3405" t="s">
        <v>3344</v>
      </c>
      <c r="S53" s="3405" t="s">
        <v>3344</v>
      </c>
      <c r="T53" s="3405" t="s">
        <v>3344</v>
      </c>
      <c r="U53" s="3405" t="s">
        <v>3344</v>
      </c>
      <c r="V53" s="3405" t="s">
        <v>3344</v>
      </c>
      <c r="W53" s="3405" t="s">
        <v>3344</v>
      </c>
      <c r="X53" s="3405">
        <v>0</v>
      </c>
      <c r="Y53" s="3405">
        <v>0</v>
      </c>
      <c r="Z53" s="3406">
        <v>44925</v>
      </c>
      <c r="AA53" s="3406">
        <v>44945</v>
      </c>
      <c r="AB53" s="3406">
        <v>44963</v>
      </c>
      <c r="AC53" s="3406">
        <v>44963</v>
      </c>
      <c r="AD53" s="3405" t="s">
        <v>3624</v>
      </c>
      <c r="AE53" s="3405" t="s">
        <v>3346</v>
      </c>
      <c r="AF53" s="3405" t="s">
        <v>3620</v>
      </c>
      <c r="AG53" s="3405" t="s">
        <v>3344</v>
      </c>
      <c r="AH53" s="3405" t="s">
        <v>3344</v>
      </c>
      <c r="AI53" s="3405">
        <v>22186.85</v>
      </c>
      <c r="AJ53" s="3405">
        <v>4400</v>
      </c>
      <c r="AK53" s="3420">
        <v>44959.625</v>
      </c>
      <c r="AL53" s="3405">
        <v>22186.85</v>
      </c>
      <c r="AM53" s="3405">
        <v>146.26</v>
      </c>
      <c r="AN53" s="3405">
        <v>146.26</v>
      </c>
      <c r="AO53" s="3405">
        <v>1463</v>
      </c>
      <c r="AP53" s="3405">
        <v>1463</v>
      </c>
      <c r="AQ53" s="3405" t="s">
        <v>3344</v>
      </c>
      <c r="AR53" s="3405" t="s">
        <v>3344</v>
      </c>
      <c r="AS53" s="3405">
        <v>0</v>
      </c>
      <c r="AT53" s="3405" t="s">
        <v>3357</v>
      </c>
      <c r="AU53" s="3405" t="s">
        <v>3342</v>
      </c>
      <c r="AV53" s="3405" t="s">
        <v>3344</v>
      </c>
      <c r="AW53" s="3405" t="s">
        <v>3342</v>
      </c>
      <c r="AX53" s="3405" t="s">
        <v>3344</v>
      </c>
      <c r="AY53" s="3405" t="s">
        <v>3344</v>
      </c>
      <c r="AZ53" s="3405" t="s">
        <v>3344</v>
      </c>
      <c r="BB53" s="3405">
        <f t="shared" si="0"/>
        <v>2194</v>
      </c>
      <c r="BC53" s="3407">
        <f>221868470/10000</f>
        <v>22186.847000000002</v>
      </c>
      <c r="BD53" s="3408">
        <f t="shared" si="1"/>
        <v>2194</v>
      </c>
      <c r="BE53" s="3407">
        <f t="shared" si="2"/>
        <v>1536</v>
      </c>
    </row>
    <row r="54" spans="1:64">
      <c r="A54" s="3405" t="s">
        <v>3625</v>
      </c>
      <c r="B54" s="3405" t="s">
        <v>1465</v>
      </c>
      <c r="C54" s="3405" t="s">
        <v>3626</v>
      </c>
      <c r="D54" s="3405" t="s">
        <v>3334</v>
      </c>
      <c r="E54" s="3405" t="s">
        <v>3610</v>
      </c>
      <c r="F54" s="3405" t="s">
        <v>3627</v>
      </c>
      <c r="G54" s="3405" t="s">
        <v>3628</v>
      </c>
      <c r="H54" s="3405" t="s">
        <v>3338</v>
      </c>
      <c r="I54" s="3405">
        <v>62970.8</v>
      </c>
      <c r="J54" s="3405">
        <v>75565</v>
      </c>
      <c r="K54" s="3405">
        <v>1.2</v>
      </c>
      <c r="L54" s="3405" t="s">
        <v>3339</v>
      </c>
      <c r="M54" s="3405" t="s">
        <v>3353</v>
      </c>
      <c r="N54" s="3405" t="s">
        <v>3341</v>
      </c>
      <c r="O54" s="3405" t="s">
        <v>3342</v>
      </c>
      <c r="P54" s="3405" t="s">
        <v>3344</v>
      </c>
      <c r="Q54" s="3405" t="s">
        <v>3344</v>
      </c>
      <c r="R54" s="3405" t="s">
        <v>3344</v>
      </c>
      <c r="S54" s="3405" t="s">
        <v>3344</v>
      </c>
      <c r="T54" s="3405" t="s">
        <v>3344</v>
      </c>
      <c r="U54" s="3405" t="s">
        <v>3344</v>
      </c>
      <c r="V54" s="3405" t="s">
        <v>3344</v>
      </c>
      <c r="W54" s="3405" t="s">
        <v>3344</v>
      </c>
      <c r="X54" s="3405">
        <v>0</v>
      </c>
      <c r="Y54" s="3405">
        <v>0</v>
      </c>
      <c r="Z54" s="3406">
        <v>44902</v>
      </c>
      <c r="AA54" s="3406">
        <v>44922</v>
      </c>
      <c r="AB54" s="3406">
        <v>44937</v>
      </c>
      <c r="AC54" s="3406">
        <v>44937</v>
      </c>
      <c r="AD54" s="3405" t="s">
        <v>3629</v>
      </c>
      <c r="AE54" s="3405" t="s">
        <v>3346</v>
      </c>
      <c r="AF54" s="3405" t="s">
        <v>3630</v>
      </c>
      <c r="AG54" s="3405" t="s">
        <v>3344</v>
      </c>
      <c r="AH54" s="3405" t="s">
        <v>3344</v>
      </c>
      <c r="AI54" s="3405">
        <v>11607.61</v>
      </c>
      <c r="AJ54" s="3405">
        <v>2267</v>
      </c>
      <c r="AK54" s="3420">
        <v>44936.625</v>
      </c>
      <c r="AL54" s="3405">
        <v>11607.61</v>
      </c>
      <c r="AM54" s="3405">
        <v>122.89</v>
      </c>
      <c r="AN54" s="3405">
        <v>122.89</v>
      </c>
      <c r="AO54" s="3405">
        <v>1536</v>
      </c>
      <c r="AP54" s="3405">
        <v>1536</v>
      </c>
      <c r="AQ54" s="3405" t="s">
        <v>3344</v>
      </c>
      <c r="AR54" s="3405" t="s">
        <v>3344</v>
      </c>
      <c r="AS54" s="3405">
        <v>0</v>
      </c>
      <c r="AT54" s="3405" t="s">
        <v>3357</v>
      </c>
      <c r="AU54" s="3405" t="s">
        <v>3342</v>
      </c>
      <c r="AV54" s="3405" t="s">
        <v>3344</v>
      </c>
      <c r="AW54" s="3405" t="s">
        <v>3342</v>
      </c>
      <c r="AX54" s="3405" t="s">
        <v>3344</v>
      </c>
      <c r="AY54" s="3405" t="s">
        <v>3344</v>
      </c>
      <c r="AZ54" s="3405" t="s">
        <v>3344</v>
      </c>
      <c r="BB54" s="3405">
        <f t="shared" si="0"/>
        <v>1843</v>
      </c>
      <c r="BC54" s="3407">
        <f>107310600/10000</f>
        <v>10731.06</v>
      </c>
      <c r="BD54" s="3408">
        <f t="shared" si="1"/>
        <v>1704</v>
      </c>
      <c r="BE54" s="3407">
        <f t="shared" si="2"/>
        <v>1193</v>
      </c>
      <c r="BF54" s="3409">
        <f t="shared" si="6"/>
        <v>7.5499999999999998E-2</v>
      </c>
      <c r="BG54" s="3409">
        <f>ROUND(BF54/'[5]剩余（增值收益扣减）法'!$C$31,4)</f>
        <v>0.1888</v>
      </c>
    </row>
    <row r="55" spans="1:64">
      <c r="A55" s="3405" t="s">
        <v>3631</v>
      </c>
      <c r="B55" s="3405" t="s">
        <v>1465</v>
      </c>
      <c r="C55" s="3405" t="s">
        <v>3632</v>
      </c>
      <c r="D55" s="3405" t="s">
        <v>3334</v>
      </c>
      <c r="E55" s="3405" t="s">
        <v>3610</v>
      </c>
      <c r="F55" s="3405" t="s">
        <v>3633</v>
      </c>
      <c r="G55" s="3405" t="s">
        <v>3634</v>
      </c>
      <c r="H55" s="3405" t="s">
        <v>3338</v>
      </c>
      <c r="I55" s="3405">
        <v>60631.73</v>
      </c>
      <c r="J55" s="3405">
        <v>60631</v>
      </c>
      <c r="K55" s="3405" t="s">
        <v>3635</v>
      </c>
      <c r="L55" s="3405" t="s">
        <v>3339</v>
      </c>
      <c r="M55" s="3405" t="s">
        <v>3371</v>
      </c>
      <c r="N55" s="3405" t="s">
        <v>3341</v>
      </c>
      <c r="O55" s="3405" t="s">
        <v>3342</v>
      </c>
      <c r="P55" s="3405">
        <v>0.4</v>
      </c>
      <c r="Q55" s="3405" t="s">
        <v>3549</v>
      </c>
      <c r="R55" s="3405" t="s">
        <v>3344</v>
      </c>
      <c r="S55" s="3405" t="s">
        <v>3344</v>
      </c>
      <c r="T55" s="3405" t="s">
        <v>3344</v>
      </c>
      <c r="U55" s="3405" t="s">
        <v>3344</v>
      </c>
      <c r="V55" s="3405" t="s">
        <v>3344</v>
      </c>
      <c r="W55" s="3405" t="s">
        <v>3344</v>
      </c>
      <c r="X55" s="3405">
        <v>0</v>
      </c>
      <c r="Y55" s="3405">
        <v>0</v>
      </c>
      <c r="Z55" s="3406">
        <v>44399</v>
      </c>
      <c r="AA55" s="3406">
        <v>44419</v>
      </c>
      <c r="AB55" s="3406">
        <v>44433</v>
      </c>
      <c r="AC55" s="3406">
        <v>44433</v>
      </c>
      <c r="AD55" s="3405" t="s">
        <v>3636</v>
      </c>
      <c r="AE55" s="3405" t="s">
        <v>3346</v>
      </c>
      <c r="AF55" s="3405" t="s">
        <v>3637</v>
      </c>
      <c r="AG55" s="3405" t="s">
        <v>3344</v>
      </c>
      <c r="AH55" s="3405" t="s">
        <v>3344</v>
      </c>
      <c r="AI55" s="3405">
        <v>9621.02</v>
      </c>
      <c r="AJ55" s="3405">
        <v>1925</v>
      </c>
      <c r="AK55" s="3405" t="s">
        <v>2092</v>
      </c>
      <c r="AL55" s="3405">
        <v>9621.02</v>
      </c>
      <c r="AM55" s="3405">
        <v>105.79</v>
      </c>
      <c r="AN55" s="3405">
        <v>105.79</v>
      </c>
      <c r="AO55" s="3405">
        <v>1587</v>
      </c>
      <c r="AP55" s="3405">
        <v>1587</v>
      </c>
      <c r="AQ55" s="3405" t="s">
        <v>3344</v>
      </c>
      <c r="AR55" s="3405" t="s">
        <v>3344</v>
      </c>
      <c r="AS55" s="3405">
        <v>0</v>
      </c>
      <c r="AT55" s="3405" t="s">
        <v>3357</v>
      </c>
      <c r="AU55" s="3405" t="s">
        <v>3342</v>
      </c>
      <c r="AV55" s="3405" t="s">
        <v>3344</v>
      </c>
      <c r="AW55" s="3405" t="s">
        <v>3342</v>
      </c>
      <c r="AX55" s="3405" t="s">
        <v>3344</v>
      </c>
      <c r="AY55" s="3405" t="s">
        <v>3344</v>
      </c>
      <c r="AZ55" s="3405" t="s">
        <v>3344</v>
      </c>
      <c r="BB55" s="3405">
        <f t="shared" si="0"/>
        <v>1587</v>
      </c>
      <c r="BC55" s="3407">
        <f>88752466/10000</f>
        <v>8875.2466000000004</v>
      </c>
      <c r="BD55" s="3408">
        <f t="shared" si="1"/>
        <v>1464</v>
      </c>
      <c r="BE55" s="3407">
        <f t="shared" si="2"/>
        <v>1025</v>
      </c>
      <c r="BF55" s="3409">
        <f t="shared" si="6"/>
        <v>7.7499999999999999E-2</v>
      </c>
      <c r="BG55" s="3409">
        <f>ROUND(BF55/'[5]剩余（增值收益扣减）法'!$C$31,4)</f>
        <v>0.1938</v>
      </c>
    </row>
    <row r="56" spans="1:64">
      <c r="A56" s="3405" t="s">
        <v>3638</v>
      </c>
      <c r="B56" s="3405" t="s">
        <v>1465</v>
      </c>
      <c r="C56" s="3405" t="s">
        <v>3639</v>
      </c>
      <c r="D56" s="3405" t="s">
        <v>3334</v>
      </c>
      <c r="E56" s="3405" t="s">
        <v>3610</v>
      </c>
      <c r="F56" s="3405" t="s">
        <v>3344</v>
      </c>
      <c r="G56" s="3405" t="s">
        <v>3640</v>
      </c>
      <c r="H56" s="3405" t="s">
        <v>3338</v>
      </c>
      <c r="I56" s="3405">
        <v>63922.57</v>
      </c>
      <c r="J56" s="3405">
        <v>102276</v>
      </c>
      <c r="K56" s="3405" t="s">
        <v>3541</v>
      </c>
      <c r="L56" s="3405" t="s">
        <v>3339</v>
      </c>
      <c r="M56" s="3405" t="s">
        <v>3641</v>
      </c>
      <c r="N56" s="3405" t="s">
        <v>3341</v>
      </c>
      <c r="O56" s="3405" t="s">
        <v>3342</v>
      </c>
      <c r="P56" s="3405" t="s">
        <v>3344</v>
      </c>
      <c r="Q56" s="3405" t="s">
        <v>3344</v>
      </c>
      <c r="R56" s="3405" t="s">
        <v>3344</v>
      </c>
      <c r="S56" s="3405" t="s">
        <v>3344</v>
      </c>
      <c r="T56" s="3405" t="s">
        <v>3344</v>
      </c>
      <c r="U56" s="3405" t="s">
        <v>3344</v>
      </c>
      <c r="V56" s="3405">
        <v>0</v>
      </c>
      <c r="W56" s="3405">
        <v>0</v>
      </c>
      <c r="X56" s="3405">
        <v>0</v>
      </c>
      <c r="Y56" s="3405">
        <v>0</v>
      </c>
      <c r="Z56" s="3406">
        <v>44155</v>
      </c>
      <c r="AA56" s="3406">
        <v>44175</v>
      </c>
      <c r="AB56" s="3406">
        <v>44189</v>
      </c>
      <c r="AC56" s="3406">
        <v>44189</v>
      </c>
      <c r="AD56" s="3405" t="s">
        <v>3642</v>
      </c>
      <c r="AE56" s="3405" t="s">
        <v>3346</v>
      </c>
      <c r="AF56" s="3405" t="s">
        <v>3643</v>
      </c>
      <c r="AG56" s="3405" t="s">
        <v>3344</v>
      </c>
      <c r="AH56" s="3405" t="s">
        <v>3344</v>
      </c>
      <c r="AI56" s="3405">
        <v>13766.35</v>
      </c>
      <c r="AJ56" s="3405">
        <v>2755</v>
      </c>
      <c r="AK56" s="3405" t="s">
        <v>2092</v>
      </c>
      <c r="AL56" s="3405">
        <v>13766.35</v>
      </c>
      <c r="AM56" s="3405">
        <v>143.57</v>
      </c>
      <c r="AN56" s="3405">
        <v>143.57</v>
      </c>
      <c r="AO56" s="3405">
        <v>1346</v>
      </c>
      <c r="AP56" s="3405">
        <v>1346</v>
      </c>
      <c r="AQ56" s="3405" t="s">
        <v>3344</v>
      </c>
      <c r="AR56" s="3405" t="s">
        <v>3344</v>
      </c>
      <c r="AS56" s="3405">
        <v>0</v>
      </c>
      <c r="AT56" s="3405" t="s">
        <v>3357</v>
      </c>
      <c r="AU56" s="3405" t="s">
        <v>3342</v>
      </c>
      <c r="AV56" s="3405" t="s">
        <v>3344</v>
      </c>
      <c r="AW56" s="3405" t="s">
        <v>3342</v>
      </c>
      <c r="AX56" s="3405" t="s">
        <v>3344</v>
      </c>
      <c r="AY56" s="3405" t="s">
        <v>3344</v>
      </c>
      <c r="AZ56" s="3405" t="s">
        <v>3344</v>
      </c>
      <c r="BB56" s="3405">
        <f t="shared" si="0"/>
        <v>2154</v>
      </c>
      <c r="BC56" s="3407">
        <f>88317871/10000</f>
        <v>8831.7870999999996</v>
      </c>
      <c r="BD56" s="3408">
        <f t="shared" si="1"/>
        <v>1382</v>
      </c>
      <c r="BE56" s="3407">
        <f t="shared" si="2"/>
        <v>967</v>
      </c>
    </row>
    <row r="57" spans="1:64" s="3412" customFormat="1" ht="15.75" thickBot="1">
      <c r="A57" s="3412" t="s">
        <v>3644</v>
      </c>
      <c r="B57" s="3412" t="s">
        <v>1465</v>
      </c>
      <c r="C57" s="3412" t="s">
        <v>3645</v>
      </c>
      <c r="D57" s="3412" t="s">
        <v>3334</v>
      </c>
      <c r="E57" s="3412" t="s">
        <v>3610</v>
      </c>
      <c r="F57" s="3412" t="s">
        <v>3344</v>
      </c>
      <c r="G57" s="3412" t="s">
        <v>3646</v>
      </c>
      <c r="H57" s="3412" t="s">
        <v>3338</v>
      </c>
      <c r="I57" s="3412">
        <v>47600.14</v>
      </c>
      <c r="J57" s="3412">
        <v>57120.17</v>
      </c>
      <c r="K57" s="3412" t="s">
        <v>3370</v>
      </c>
      <c r="L57" s="3412" t="s">
        <v>3339</v>
      </c>
      <c r="M57" s="3412" t="s">
        <v>3371</v>
      </c>
      <c r="N57" s="3412" t="s">
        <v>3341</v>
      </c>
      <c r="O57" s="3412" t="s">
        <v>3342</v>
      </c>
      <c r="P57" s="3412" t="s">
        <v>3415</v>
      </c>
      <c r="Q57" s="3412" t="s">
        <v>3343</v>
      </c>
      <c r="R57" s="3412" t="s">
        <v>3344</v>
      </c>
      <c r="S57" s="3412" t="s">
        <v>3344</v>
      </c>
      <c r="T57" s="3412" t="s">
        <v>3344</v>
      </c>
      <c r="U57" s="3412" t="s">
        <v>3344</v>
      </c>
      <c r="V57" s="3412">
        <v>0</v>
      </c>
      <c r="W57" s="3412">
        <v>0</v>
      </c>
      <c r="X57" s="3412">
        <v>0</v>
      </c>
      <c r="Y57" s="3412">
        <v>0</v>
      </c>
      <c r="Z57" s="3413">
        <v>44139</v>
      </c>
      <c r="AA57" s="3413">
        <v>44159</v>
      </c>
      <c r="AB57" s="3413">
        <v>44172</v>
      </c>
      <c r="AC57" s="3413">
        <v>44172</v>
      </c>
      <c r="AD57" s="3412" t="s">
        <v>3647</v>
      </c>
      <c r="AE57" s="3412" t="s">
        <v>3346</v>
      </c>
      <c r="AF57" s="3412" t="s">
        <v>3620</v>
      </c>
      <c r="AG57" s="3412" t="s">
        <v>3344</v>
      </c>
      <c r="AH57" s="3412" t="s">
        <v>3344</v>
      </c>
      <c r="AI57" s="3412">
        <v>11020.35</v>
      </c>
      <c r="AJ57" s="3412">
        <v>2210</v>
      </c>
      <c r="AK57" s="3412" t="s">
        <v>2092</v>
      </c>
      <c r="AL57" s="3412">
        <v>11020.35</v>
      </c>
      <c r="AM57" s="3412">
        <v>154.35</v>
      </c>
      <c r="AN57" s="3412">
        <v>154.35</v>
      </c>
      <c r="AO57" s="3412">
        <v>1929</v>
      </c>
      <c r="AP57" s="3412">
        <v>1929</v>
      </c>
      <c r="AQ57" s="3412" t="s">
        <v>3344</v>
      </c>
      <c r="AR57" s="3412" t="s">
        <v>3344</v>
      </c>
      <c r="AS57" s="3412">
        <v>0</v>
      </c>
      <c r="AT57" s="3412" t="s">
        <v>3357</v>
      </c>
      <c r="AU57" s="3412" t="s">
        <v>3342</v>
      </c>
      <c r="AV57" s="3412" t="s">
        <v>3344</v>
      </c>
      <c r="AW57" s="3412" t="s">
        <v>3342</v>
      </c>
      <c r="AX57" s="3412" t="s">
        <v>3344</v>
      </c>
      <c r="AY57" s="3412" t="s">
        <v>3344</v>
      </c>
      <c r="AZ57" s="3412" t="s">
        <v>3344</v>
      </c>
      <c r="BB57" s="3412">
        <f t="shared" si="0"/>
        <v>2315</v>
      </c>
      <c r="BC57" s="3414">
        <f>101863938/10000</f>
        <v>10186.3938</v>
      </c>
      <c r="BD57" s="3415">
        <f t="shared" si="1"/>
        <v>2140</v>
      </c>
      <c r="BE57" s="3414">
        <f t="shared" si="2"/>
        <v>1498</v>
      </c>
      <c r="BF57" s="3416">
        <f t="shared" si="6"/>
        <v>7.5700000000000003E-2</v>
      </c>
      <c r="BG57" s="3416">
        <f>ROUND(BF57/'[5]剩余（增值收益扣减）法'!$C$31,4)</f>
        <v>0.1893</v>
      </c>
      <c r="BI57" s="3417"/>
      <c r="BJ57" s="3417"/>
      <c r="BL57" s="3418"/>
    </row>
  </sheetData>
  <phoneticPr fontId="223" type="noConversion"/>
  <pageMargins left="0.7" right="0.7" top="0.75" bottom="0.75" header="0.3" footer="0.3"/>
  <pageSetup paperSize="9" scale="31" orientation="portrait" verticalDpi="3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13" zoomScaleNormal="100" workbookViewId="0">
      <selection activeCell="C191" sqref="C191"/>
    </sheetView>
  </sheetViews>
  <sheetFormatPr defaultColWidth="9" defaultRowHeight="13.5"/>
  <cols>
    <col min="1" max="16384" width="9" style="3422"/>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66" t="s">
        <v>2446</v>
      </c>
      <c r="B20" s="3769" t="s">
        <v>2456</v>
      </c>
      <c r="C20" s="3010" t="s">
        <v>2457</v>
      </c>
      <c r="D20" s="3011"/>
      <c r="E20" s="3012">
        <v>1</v>
      </c>
      <c r="F20" s="3013" t="s">
        <v>2458</v>
      </c>
      <c r="G20" s="982"/>
    </row>
    <row r="21" spans="1:13">
      <c r="A21" s="3767"/>
      <c r="B21" s="3765"/>
      <c r="C21" s="3014" t="s">
        <v>2459</v>
      </c>
      <c r="D21" s="3015"/>
      <c r="E21" s="3016">
        <v>1</v>
      </c>
      <c r="F21" s="3013" t="s">
        <v>2460</v>
      </c>
      <c r="G21" s="982"/>
    </row>
    <row r="22" spans="1:13">
      <c r="A22" s="3767"/>
      <c r="B22" s="3765"/>
      <c r="C22" s="3014" t="s">
        <v>2461</v>
      </c>
      <c r="D22" s="3015"/>
      <c r="E22" s="3016">
        <v>0.9</v>
      </c>
      <c r="F22" s="3013" t="s">
        <v>2462</v>
      </c>
      <c r="G22" s="982"/>
    </row>
    <row r="23" spans="1:13">
      <c r="A23" s="3767"/>
      <c r="B23" s="3765"/>
      <c r="C23" s="3014" t="s">
        <v>2463</v>
      </c>
      <c r="D23" s="3015"/>
      <c r="E23" s="3016">
        <v>0.9</v>
      </c>
      <c r="F23" s="3013" t="s">
        <v>2464</v>
      </c>
      <c r="G23" s="982"/>
    </row>
    <row r="24" spans="1:13">
      <c r="A24" s="3767"/>
      <c r="B24" s="3765"/>
      <c r="C24" s="3014" t="s">
        <v>2465</v>
      </c>
      <c r="D24" s="3015"/>
      <c r="E24" s="3016">
        <v>0.8</v>
      </c>
      <c r="F24" s="3013" t="s">
        <v>2466</v>
      </c>
      <c r="G24" s="982"/>
    </row>
    <row r="25" spans="1:13" ht="14.25" thickBot="1">
      <c r="A25" s="3768"/>
      <c r="B25" s="3770"/>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71" t="s">
        <v>2451</v>
      </c>
      <c r="B27" s="3769" t="s">
        <v>2451</v>
      </c>
      <c r="C27" s="3010" t="s">
        <v>2471</v>
      </c>
      <c r="D27" s="3011"/>
      <c r="E27" s="3012">
        <v>1</v>
      </c>
      <c r="F27" s="3013" t="s">
        <v>2472</v>
      </c>
      <c r="G27" s="982"/>
    </row>
    <row r="28" spans="1:13">
      <c r="A28" s="3772"/>
      <c r="B28" s="3765"/>
      <c r="C28" s="3014" t="s">
        <v>2473</v>
      </c>
      <c r="D28" s="3015"/>
      <c r="E28" s="3016">
        <v>1</v>
      </c>
      <c r="F28" s="3013" t="s">
        <v>2474</v>
      </c>
      <c r="G28" s="982"/>
    </row>
    <row r="29" spans="1:13">
      <c r="A29" s="3772"/>
      <c r="B29" s="3765"/>
      <c r="C29" s="3014" t="s">
        <v>2475</v>
      </c>
      <c r="D29" s="3015"/>
      <c r="E29" s="3016">
        <v>0.8</v>
      </c>
      <c r="F29" s="3013" t="s">
        <v>2476</v>
      </c>
      <c r="G29" s="982"/>
    </row>
    <row r="30" spans="1:13">
      <c r="A30" s="3772"/>
      <c r="B30" s="3765"/>
      <c r="C30" s="3014" t="s">
        <v>2477</v>
      </c>
      <c r="D30" s="3015"/>
      <c r="E30" s="3016">
        <v>0.8</v>
      </c>
      <c r="F30" s="3013" t="s">
        <v>2478</v>
      </c>
      <c r="G30" s="982"/>
    </row>
    <row r="31" spans="1:13">
      <c r="A31" s="3772"/>
      <c r="B31" s="3765"/>
      <c r="C31" s="3014" t="s">
        <v>2479</v>
      </c>
      <c r="D31" s="3015"/>
      <c r="E31" s="3016">
        <v>0.8</v>
      </c>
      <c r="F31" s="3013" t="s">
        <v>2480</v>
      </c>
      <c r="G31" s="982"/>
    </row>
    <row r="32" spans="1:13">
      <c r="A32" s="3772"/>
      <c r="B32" s="3765"/>
      <c r="C32" s="3014" t="s">
        <v>2481</v>
      </c>
      <c r="D32" s="3015"/>
      <c r="E32" s="3016">
        <v>0.7</v>
      </c>
      <c r="F32" s="3013" t="s">
        <v>2482</v>
      </c>
      <c r="G32" s="982"/>
    </row>
    <row r="33" spans="1:7">
      <c r="A33" s="3772"/>
      <c r="B33" s="3765"/>
      <c r="C33" s="3014" t="s">
        <v>2483</v>
      </c>
      <c r="D33" s="3015"/>
      <c r="E33" s="3016">
        <v>0.8</v>
      </c>
      <c r="F33" s="3013" t="s">
        <v>2484</v>
      </c>
      <c r="G33" s="982"/>
    </row>
    <row r="34" spans="1:7">
      <c r="A34" s="3772"/>
      <c r="B34" s="3765"/>
      <c r="C34" s="3014" t="s">
        <v>2485</v>
      </c>
      <c r="D34" s="3015"/>
      <c r="E34" s="3016">
        <v>0.6</v>
      </c>
      <c r="F34" s="3013" t="s">
        <v>2486</v>
      </c>
      <c r="G34" s="982"/>
    </row>
    <row r="35" spans="1:7">
      <c r="A35" s="3772"/>
      <c r="B35" s="3765"/>
      <c r="C35" s="3014" t="s">
        <v>2487</v>
      </c>
      <c r="D35" s="3015"/>
      <c r="E35" s="3016">
        <v>0.2</v>
      </c>
      <c r="F35" s="3013" t="s">
        <v>2488</v>
      </c>
      <c r="G35" s="982"/>
    </row>
    <row r="36" spans="1:7">
      <c r="A36" s="3772"/>
      <c r="B36" s="3765"/>
      <c r="C36" s="3014" t="s">
        <v>2489</v>
      </c>
      <c r="D36" s="3015"/>
      <c r="E36" s="3016">
        <v>0.2</v>
      </c>
      <c r="F36" s="3013" t="s">
        <v>2490</v>
      </c>
      <c r="G36" s="982"/>
    </row>
    <row r="37" spans="1:7">
      <c r="A37" s="3772"/>
      <c r="B37" s="3763" t="s">
        <v>2491</v>
      </c>
      <c r="C37" s="3014" t="s">
        <v>2492</v>
      </c>
      <c r="D37" s="3015"/>
      <c r="E37" s="3016">
        <v>0.6</v>
      </c>
      <c r="F37" s="3013" t="s">
        <v>2493</v>
      </c>
      <c r="G37" s="982"/>
    </row>
    <row r="38" spans="1:7">
      <c r="A38" s="3772"/>
      <c r="B38" s="3765"/>
      <c r="C38" s="3014" t="s">
        <v>2494</v>
      </c>
      <c r="D38" s="3015"/>
      <c r="E38" s="3016">
        <v>0.6</v>
      </c>
      <c r="F38" s="3013" t="s">
        <v>2495</v>
      </c>
      <c r="G38" s="982"/>
    </row>
    <row r="39" spans="1:7" ht="14.25" thickBot="1">
      <c r="A39" s="3773"/>
      <c r="B39" s="3770"/>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66" t="s">
        <v>2449</v>
      </c>
      <c r="B41" s="3769" t="s">
        <v>2500</v>
      </c>
      <c r="C41" s="3010" t="s">
        <v>2501</v>
      </c>
      <c r="D41" s="3011"/>
      <c r="E41" s="3012">
        <v>1</v>
      </c>
      <c r="F41" s="3013" t="s">
        <v>2502</v>
      </c>
      <c r="G41" s="982"/>
    </row>
    <row r="42" spans="1:7">
      <c r="A42" s="3767"/>
      <c r="B42" s="3765"/>
      <c r="C42" s="3014" t="s">
        <v>2503</v>
      </c>
      <c r="D42" s="3015"/>
      <c r="E42" s="3016">
        <v>1</v>
      </c>
      <c r="F42" s="3013" t="s">
        <v>2504</v>
      </c>
      <c r="G42" s="982"/>
    </row>
    <row r="43" spans="1:7">
      <c r="A43" s="3767"/>
      <c r="B43" s="3764"/>
      <c r="C43" s="3014" t="s">
        <v>2505</v>
      </c>
      <c r="D43" s="3015"/>
      <c r="E43" s="3016">
        <v>1.5</v>
      </c>
      <c r="F43" s="3013" t="s">
        <v>2506</v>
      </c>
      <c r="G43" s="982"/>
    </row>
    <row r="44" spans="1:7">
      <c r="A44" s="3767"/>
      <c r="B44" s="3025" t="s">
        <v>2451</v>
      </c>
      <c r="C44" s="3014" t="s">
        <v>2450</v>
      </c>
      <c r="D44" s="3015"/>
      <c r="E44" s="3016">
        <v>2</v>
      </c>
      <c r="F44" s="3013" t="s">
        <v>2507</v>
      </c>
      <c r="G44" s="982"/>
    </row>
    <row r="45" spans="1:7">
      <c r="A45" s="3767"/>
      <c r="B45" s="3763" t="s">
        <v>2508</v>
      </c>
      <c r="C45" s="3014" t="s">
        <v>2509</v>
      </c>
      <c r="D45" s="3015"/>
      <c r="E45" s="3016">
        <v>1</v>
      </c>
      <c r="F45" s="3013" t="s">
        <v>2510</v>
      </c>
      <c r="G45" s="982"/>
    </row>
    <row r="46" spans="1:7">
      <c r="A46" s="3767"/>
      <c r="B46" s="3765"/>
      <c r="C46" s="3014" t="s">
        <v>2511</v>
      </c>
      <c r="D46" s="3015"/>
      <c r="E46" s="3016">
        <v>1</v>
      </c>
      <c r="F46" s="3013" t="s">
        <v>2512</v>
      </c>
      <c r="G46" s="982"/>
    </row>
    <row r="47" spans="1:7">
      <c r="A47" s="3767"/>
      <c r="B47" s="3765"/>
      <c r="C47" s="3014" t="s">
        <v>2513</v>
      </c>
      <c r="D47" s="3015"/>
      <c r="E47" s="3016">
        <v>1</v>
      </c>
      <c r="F47" s="3013" t="s">
        <v>2514</v>
      </c>
      <c r="G47" s="982"/>
    </row>
    <row r="48" spans="1:7">
      <c r="A48" s="3767"/>
      <c r="B48" s="3765"/>
      <c r="C48" s="3014" t="s">
        <v>2515</v>
      </c>
      <c r="D48" s="3015"/>
      <c r="E48" s="3016">
        <v>1</v>
      </c>
      <c r="F48" s="3013" t="s">
        <v>2516</v>
      </c>
      <c r="G48" s="982"/>
    </row>
    <row r="49" spans="1:9">
      <c r="A49" s="3767"/>
      <c r="B49" s="3765"/>
      <c r="C49" s="3014" t="s">
        <v>2517</v>
      </c>
      <c r="D49" s="3015"/>
      <c r="E49" s="3016">
        <v>1</v>
      </c>
      <c r="F49" s="3013" t="s">
        <v>2518</v>
      </c>
      <c r="G49" s="982"/>
    </row>
    <row r="50" spans="1:9">
      <c r="A50" s="3767"/>
      <c r="B50" s="3765"/>
      <c r="C50" s="3014" t="s">
        <v>2519</v>
      </c>
      <c r="D50" s="3015"/>
      <c r="E50" s="3016">
        <v>1</v>
      </c>
      <c r="F50" s="3013" t="s">
        <v>2520</v>
      </c>
      <c r="G50" s="982"/>
    </row>
    <row r="51" spans="1:9" ht="14.25" thickBot="1">
      <c r="A51" s="3768"/>
      <c r="B51" s="3770"/>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63" t="s">
        <v>2524</v>
      </c>
      <c r="C73" s="3003" t="s">
        <v>2525</v>
      </c>
      <c r="D73" s="3003" t="s">
        <v>2526</v>
      </c>
      <c r="E73" s="3026">
        <v>0.2</v>
      </c>
      <c r="F73" s="3025">
        <v>25</v>
      </c>
      <c r="H73" s="972">
        <f>SUMIF(C71:C139,基准地价!C8,E71:E139)</f>
        <v>0</v>
      </c>
    </row>
    <row r="74" spans="1:8" s="972" customFormat="1" ht="24">
      <c r="A74" s="3025">
        <v>2</v>
      </c>
      <c r="B74" s="3765"/>
      <c r="C74" s="3003" t="s">
        <v>2527</v>
      </c>
      <c r="D74" s="3003" t="s">
        <v>2528</v>
      </c>
      <c r="E74" s="3026">
        <v>0.2</v>
      </c>
      <c r="F74" s="3025">
        <v>25</v>
      </c>
    </row>
    <row r="75" spans="1:8" s="972" customFormat="1" ht="24">
      <c r="A75" s="3025">
        <v>3</v>
      </c>
      <c r="B75" s="3765"/>
      <c r="C75" s="3003" t="s">
        <v>2529</v>
      </c>
      <c r="D75" s="3003" t="s">
        <v>2530</v>
      </c>
      <c r="E75" s="3026">
        <v>0.2</v>
      </c>
      <c r="F75" s="3025">
        <v>25</v>
      </c>
    </row>
    <row r="76" spans="1:8" s="972" customFormat="1">
      <c r="A76" s="3025">
        <v>4</v>
      </c>
      <c r="B76" s="3765"/>
      <c r="C76" s="3003" t="s">
        <v>2531</v>
      </c>
      <c r="D76" s="3003" t="s">
        <v>2532</v>
      </c>
      <c r="E76" s="3026">
        <v>0.15</v>
      </c>
      <c r="F76" s="3025">
        <v>20</v>
      </c>
    </row>
    <row r="77" spans="1:8" s="972" customFormat="1" ht="24">
      <c r="A77" s="3025">
        <v>5</v>
      </c>
      <c r="B77" s="3765"/>
      <c r="C77" s="3003" t="s">
        <v>2533</v>
      </c>
      <c r="D77" s="3003" t="s">
        <v>2534</v>
      </c>
      <c r="E77" s="3026">
        <v>0.15</v>
      </c>
      <c r="F77" s="3025">
        <v>20</v>
      </c>
    </row>
    <row r="78" spans="1:8" s="972" customFormat="1" ht="24">
      <c r="A78" s="3025">
        <v>6</v>
      </c>
      <c r="B78" s="3765"/>
      <c r="C78" s="3003" t="s">
        <v>2535</v>
      </c>
      <c r="D78" s="3003" t="s">
        <v>2536</v>
      </c>
      <c r="E78" s="3026">
        <v>0.15</v>
      </c>
      <c r="F78" s="3025">
        <v>20</v>
      </c>
    </row>
    <row r="79" spans="1:8" s="972" customFormat="1" ht="24">
      <c r="A79" s="3025">
        <v>7</v>
      </c>
      <c r="B79" s="3765"/>
      <c r="C79" s="3003" t="s">
        <v>2537</v>
      </c>
      <c r="D79" s="3003" t="s">
        <v>2538</v>
      </c>
      <c r="E79" s="3026">
        <v>0.15</v>
      </c>
      <c r="F79" s="3025">
        <v>20</v>
      </c>
    </row>
    <row r="80" spans="1:8" s="972" customFormat="1" ht="24">
      <c r="A80" s="3025">
        <v>8</v>
      </c>
      <c r="B80" s="3765"/>
      <c r="C80" s="3003" t="s">
        <v>2539</v>
      </c>
      <c r="D80" s="3003" t="s">
        <v>2540</v>
      </c>
      <c r="E80" s="3026">
        <v>0.1</v>
      </c>
      <c r="F80" s="3025">
        <v>15</v>
      </c>
    </row>
    <row r="81" spans="1:6" s="972" customFormat="1" ht="24">
      <c r="A81" s="3025">
        <v>9</v>
      </c>
      <c r="B81" s="3765"/>
      <c r="C81" s="3003" t="s">
        <v>2541</v>
      </c>
      <c r="D81" s="3003" t="s">
        <v>2542</v>
      </c>
      <c r="E81" s="3026">
        <v>0.1</v>
      </c>
      <c r="F81" s="3025">
        <v>15</v>
      </c>
    </row>
    <row r="82" spans="1:6" s="972" customFormat="1" ht="24">
      <c r="A82" s="3025">
        <v>10</v>
      </c>
      <c r="B82" s="3765"/>
      <c r="C82" s="3003" t="s">
        <v>2543</v>
      </c>
      <c r="D82" s="3003" t="s">
        <v>2544</v>
      </c>
      <c r="E82" s="3026">
        <v>0.1</v>
      </c>
      <c r="F82" s="3025">
        <v>15</v>
      </c>
    </row>
    <row r="83" spans="1:6" s="972" customFormat="1" ht="24">
      <c r="A83" s="3025">
        <v>11</v>
      </c>
      <c r="B83" s="3765"/>
      <c r="C83" s="3003" t="s">
        <v>2545</v>
      </c>
      <c r="D83" s="3003" t="s">
        <v>2546</v>
      </c>
      <c r="E83" s="3026">
        <v>0.1</v>
      </c>
      <c r="F83" s="3025">
        <v>15</v>
      </c>
    </row>
    <row r="84" spans="1:6" s="972" customFormat="1" ht="24">
      <c r="A84" s="3025">
        <v>12</v>
      </c>
      <c r="B84" s="3765"/>
      <c r="C84" s="3003" t="s">
        <v>2547</v>
      </c>
      <c r="D84" s="3003" t="s">
        <v>2548</v>
      </c>
      <c r="E84" s="3026">
        <v>0.1</v>
      </c>
      <c r="F84" s="3025">
        <v>15</v>
      </c>
    </row>
    <row r="85" spans="1:6" s="972" customFormat="1">
      <c r="A85" s="3025">
        <v>13</v>
      </c>
      <c r="B85" s="3765"/>
      <c r="C85" s="3003" t="s">
        <v>2549</v>
      </c>
      <c r="D85" s="3003" t="s">
        <v>2550</v>
      </c>
      <c r="E85" s="3026">
        <v>0.1</v>
      </c>
      <c r="F85" s="3025">
        <v>15</v>
      </c>
    </row>
    <row r="86" spans="1:6" s="972" customFormat="1">
      <c r="A86" s="3025">
        <v>14</v>
      </c>
      <c r="B86" s="3765"/>
      <c r="C86" s="3003" t="s">
        <v>2551</v>
      </c>
      <c r="D86" s="3003" t="s">
        <v>2552</v>
      </c>
      <c r="E86" s="3026">
        <v>0.1</v>
      </c>
      <c r="F86" s="3025">
        <v>15</v>
      </c>
    </row>
    <row r="87" spans="1:6" s="972" customFormat="1">
      <c r="A87" s="3025">
        <v>15</v>
      </c>
      <c r="B87" s="3765"/>
      <c r="C87" s="3003" t="s">
        <v>2553</v>
      </c>
      <c r="D87" s="3003" t="s">
        <v>2554</v>
      </c>
      <c r="E87" s="3026">
        <v>0.1</v>
      </c>
      <c r="F87" s="3025">
        <v>15</v>
      </c>
    </row>
    <row r="88" spans="1:6" s="972" customFormat="1" ht="24">
      <c r="A88" s="3025">
        <v>16</v>
      </c>
      <c r="B88" s="3765"/>
      <c r="C88" s="3003" t="s">
        <v>2555</v>
      </c>
      <c r="D88" s="3003" t="s">
        <v>2556</v>
      </c>
      <c r="E88" s="3026">
        <v>0.1</v>
      </c>
      <c r="F88" s="3025">
        <v>15</v>
      </c>
    </row>
    <row r="89" spans="1:6" s="972" customFormat="1" ht="24">
      <c r="A89" s="3025">
        <v>17</v>
      </c>
      <c r="B89" s="3764"/>
      <c r="C89" s="3003" t="s">
        <v>2557</v>
      </c>
      <c r="D89" s="3003" t="s">
        <v>2558</v>
      </c>
      <c r="E89" s="3026">
        <v>0.1</v>
      </c>
      <c r="F89" s="3025">
        <v>15</v>
      </c>
    </row>
    <row r="90" spans="1:6" s="972" customFormat="1">
      <c r="A90" s="3025">
        <v>18</v>
      </c>
      <c r="B90" s="3763" t="s">
        <v>2559</v>
      </c>
      <c r="C90" s="3003" t="s">
        <v>2560</v>
      </c>
      <c r="D90" s="3003" t="s">
        <v>2561</v>
      </c>
      <c r="E90" s="3026">
        <v>0.2</v>
      </c>
      <c r="F90" s="3025">
        <v>25</v>
      </c>
    </row>
    <row r="91" spans="1:6" s="972" customFormat="1" ht="24">
      <c r="A91" s="3025">
        <v>19</v>
      </c>
      <c r="B91" s="3765"/>
      <c r="C91" s="3003" t="s">
        <v>2562</v>
      </c>
      <c r="D91" s="3003" t="s">
        <v>2563</v>
      </c>
      <c r="E91" s="3026">
        <v>0.2</v>
      </c>
      <c r="F91" s="3025">
        <v>25</v>
      </c>
    </row>
    <row r="92" spans="1:6" s="972" customFormat="1">
      <c r="A92" s="3025">
        <v>20</v>
      </c>
      <c r="B92" s="3765"/>
      <c r="C92" s="3003" t="s">
        <v>2564</v>
      </c>
      <c r="D92" s="3003" t="s">
        <v>2565</v>
      </c>
      <c r="E92" s="3026">
        <v>0.15</v>
      </c>
      <c r="F92" s="3025">
        <v>20</v>
      </c>
    </row>
    <row r="93" spans="1:6" s="972" customFormat="1" ht="24">
      <c r="A93" s="3025">
        <v>21</v>
      </c>
      <c r="B93" s="3765"/>
      <c r="C93" s="3003" t="s">
        <v>2566</v>
      </c>
      <c r="D93" s="3003" t="s">
        <v>2567</v>
      </c>
      <c r="E93" s="3026">
        <v>0.15</v>
      </c>
      <c r="F93" s="3025">
        <v>20</v>
      </c>
    </row>
    <row r="94" spans="1:6" s="972" customFormat="1" ht="24">
      <c r="A94" s="3025">
        <v>22</v>
      </c>
      <c r="B94" s="3765"/>
      <c r="C94" s="3003" t="s">
        <v>2568</v>
      </c>
      <c r="D94" s="3003" t="s">
        <v>2569</v>
      </c>
      <c r="E94" s="3026">
        <v>0.15</v>
      </c>
      <c r="F94" s="3025">
        <v>20</v>
      </c>
    </row>
    <row r="95" spans="1:6" s="972" customFormat="1" ht="36">
      <c r="A95" s="3025">
        <v>23</v>
      </c>
      <c r="B95" s="3765"/>
      <c r="C95" s="3003" t="s">
        <v>2570</v>
      </c>
      <c r="D95" s="3003" t="s">
        <v>2571</v>
      </c>
      <c r="E95" s="3026">
        <v>0.15</v>
      </c>
      <c r="F95" s="3025">
        <v>20</v>
      </c>
    </row>
    <row r="96" spans="1:6" s="972" customFormat="1">
      <c r="A96" s="3025">
        <v>24</v>
      </c>
      <c r="B96" s="3765"/>
      <c r="C96" s="3003" t="s">
        <v>2572</v>
      </c>
      <c r="D96" s="3003" t="s">
        <v>2573</v>
      </c>
      <c r="E96" s="3026">
        <v>0.1</v>
      </c>
      <c r="F96" s="3025">
        <v>15</v>
      </c>
    </row>
    <row r="97" spans="1:6" s="972" customFormat="1" ht="24">
      <c r="A97" s="3025">
        <v>25</v>
      </c>
      <c r="B97" s="3765"/>
      <c r="C97" s="3003" t="s">
        <v>2574</v>
      </c>
      <c r="D97" s="3003" t="s">
        <v>2575</v>
      </c>
      <c r="E97" s="3026">
        <v>0.1</v>
      </c>
      <c r="F97" s="3025">
        <v>15</v>
      </c>
    </row>
    <row r="98" spans="1:6" s="972" customFormat="1" ht="24">
      <c r="A98" s="3025">
        <v>26</v>
      </c>
      <c r="B98" s="3765"/>
      <c r="C98" s="3003" t="s">
        <v>2576</v>
      </c>
      <c r="D98" s="3003" t="s">
        <v>2577</v>
      </c>
      <c r="E98" s="3026">
        <v>0.1</v>
      </c>
      <c r="F98" s="3025">
        <v>15</v>
      </c>
    </row>
    <row r="99" spans="1:6" s="972" customFormat="1" ht="24">
      <c r="A99" s="3025">
        <v>27</v>
      </c>
      <c r="B99" s="3765"/>
      <c r="C99" s="3003" t="s">
        <v>2578</v>
      </c>
      <c r="D99" s="3003" t="s">
        <v>2579</v>
      </c>
      <c r="E99" s="3026">
        <v>0.1</v>
      </c>
      <c r="F99" s="3025">
        <v>15</v>
      </c>
    </row>
    <row r="100" spans="1:6" s="972" customFormat="1" ht="24">
      <c r="A100" s="3025">
        <v>28</v>
      </c>
      <c r="B100" s="3765"/>
      <c r="C100" s="3003" t="s">
        <v>2580</v>
      </c>
      <c r="D100" s="3003" t="s">
        <v>2581</v>
      </c>
      <c r="E100" s="3026">
        <v>0.1</v>
      </c>
      <c r="F100" s="3025">
        <v>15</v>
      </c>
    </row>
    <row r="101" spans="1:6" s="972" customFormat="1" ht="24">
      <c r="A101" s="3025">
        <v>29</v>
      </c>
      <c r="B101" s="3765"/>
      <c r="C101" s="3003" t="s">
        <v>2582</v>
      </c>
      <c r="D101" s="3003" t="s">
        <v>2583</v>
      </c>
      <c r="E101" s="3026">
        <v>0.1</v>
      </c>
      <c r="F101" s="3025">
        <v>15</v>
      </c>
    </row>
    <row r="102" spans="1:6" s="972" customFormat="1" ht="24">
      <c r="A102" s="3025">
        <v>30</v>
      </c>
      <c r="B102" s="3765"/>
      <c r="C102" s="3003" t="s">
        <v>2584</v>
      </c>
      <c r="D102" s="3003" t="s">
        <v>2585</v>
      </c>
      <c r="E102" s="3026">
        <v>0.1</v>
      </c>
      <c r="F102" s="3025">
        <v>15</v>
      </c>
    </row>
    <row r="103" spans="1:6" s="972" customFormat="1" ht="24">
      <c r="A103" s="3025">
        <v>31</v>
      </c>
      <c r="B103" s="3765"/>
      <c r="C103" s="3003" t="s">
        <v>2586</v>
      </c>
      <c r="D103" s="3003" t="s">
        <v>2587</v>
      </c>
      <c r="E103" s="3026">
        <v>0.1</v>
      </c>
      <c r="F103" s="3025">
        <v>15</v>
      </c>
    </row>
    <row r="104" spans="1:6" s="972" customFormat="1" ht="24">
      <c r="A104" s="3025">
        <v>32</v>
      </c>
      <c r="B104" s="3765"/>
      <c r="C104" s="3003" t="s">
        <v>2588</v>
      </c>
      <c r="D104" s="3003" t="s">
        <v>2589</v>
      </c>
      <c r="E104" s="3026">
        <v>0.1</v>
      </c>
      <c r="F104" s="3025">
        <v>15</v>
      </c>
    </row>
    <row r="105" spans="1:6" s="972" customFormat="1" ht="24">
      <c r="A105" s="3025">
        <v>33</v>
      </c>
      <c r="B105" s="3765"/>
      <c r="C105" s="3003" t="s">
        <v>2590</v>
      </c>
      <c r="D105" s="3003" t="s">
        <v>2591</v>
      </c>
      <c r="E105" s="3026">
        <v>0.1</v>
      </c>
      <c r="F105" s="3025">
        <v>15</v>
      </c>
    </row>
    <row r="106" spans="1:6" s="972" customFormat="1" ht="24">
      <c r="A106" s="3025">
        <v>34</v>
      </c>
      <c r="B106" s="3764"/>
      <c r="C106" s="3003" t="s">
        <v>2592</v>
      </c>
      <c r="D106" s="3003" t="s">
        <v>2593</v>
      </c>
      <c r="E106" s="3026">
        <v>0.1</v>
      </c>
      <c r="F106" s="3025">
        <v>15</v>
      </c>
    </row>
    <row r="107" spans="1:6" s="972" customFormat="1" ht="24">
      <c r="A107" s="3025">
        <v>35</v>
      </c>
      <c r="B107" s="3763" t="s">
        <v>2594</v>
      </c>
      <c r="C107" s="3025" t="s">
        <v>2595</v>
      </c>
      <c r="D107" s="3003" t="s">
        <v>2596</v>
      </c>
      <c r="E107" s="3026">
        <v>0.15</v>
      </c>
      <c r="F107" s="3025">
        <v>20</v>
      </c>
    </row>
    <row r="108" spans="1:6" s="972" customFormat="1" ht="24">
      <c r="A108" s="3025">
        <v>36</v>
      </c>
      <c r="B108" s="3765"/>
      <c r="C108" s="3025" t="s">
        <v>2597</v>
      </c>
      <c r="D108" s="3003" t="s">
        <v>2598</v>
      </c>
      <c r="E108" s="3026">
        <v>0.15</v>
      </c>
      <c r="F108" s="3025">
        <v>20</v>
      </c>
    </row>
    <row r="109" spans="1:6" s="972" customFormat="1" ht="24">
      <c r="A109" s="3025">
        <v>37</v>
      </c>
      <c r="B109" s="3765"/>
      <c r="C109" s="3025" t="s">
        <v>2599</v>
      </c>
      <c r="D109" s="3003" t="s">
        <v>2600</v>
      </c>
      <c r="E109" s="3026">
        <v>0.15</v>
      </c>
      <c r="F109" s="3025">
        <v>20</v>
      </c>
    </row>
    <row r="110" spans="1:6" s="972" customFormat="1">
      <c r="A110" s="3025">
        <v>38</v>
      </c>
      <c r="B110" s="3765"/>
      <c r="C110" s="3025" t="s">
        <v>2601</v>
      </c>
      <c r="D110" s="3003" t="s">
        <v>2602</v>
      </c>
      <c r="E110" s="3026">
        <v>0.1</v>
      </c>
      <c r="F110" s="3025">
        <v>15</v>
      </c>
    </row>
    <row r="111" spans="1:6" s="972" customFormat="1" ht="24">
      <c r="A111" s="3025">
        <v>39</v>
      </c>
      <c r="B111" s="3765"/>
      <c r="C111" s="3025" t="s">
        <v>2603</v>
      </c>
      <c r="D111" s="3003" t="s">
        <v>2604</v>
      </c>
      <c r="E111" s="3026">
        <v>0.1</v>
      </c>
      <c r="F111" s="3025">
        <v>15</v>
      </c>
    </row>
    <row r="112" spans="1:6" s="972" customFormat="1" ht="24">
      <c r="A112" s="3025">
        <v>40</v>
      </c>
      <c r="B112" s="3764"/>
      <c r="C112" s="3025" t="s">
        <v>2605</v>
      </c>
      <c r="D112" s="3003" t="s">
        <v>2606</v>
      </c>
      <c r="E112" s="3026">
        <v>0.1</v>
      </c>
      <c r="F112" s="3025">
        <v>15</v>
      </c>
    </row>
    <row r="113" spans="1:6" s="972" customFormat="1" ht="24">
      <c r="A113" s="3025">
        <v>41</v>
      </c>
      <c r="B113" s="3762" t="s">
        <v>2607</v>
      </c>
      <c r="C113" s="3025" t="s">
        <v>2608</v>
      </c>
      <c r="D113" s="3003" t="s">
        <v>2609</v>
      </c>
      <c r="E113" s="3026">
        <v>0.1</v>
      </c>
      <c r="F113" s="3025">
        <v>15</v>
      </c>
    </row>
    <row r="114" spans="1:6" s="972" customFormat="1">
      <c r="A114" s="3025">
        <v>42</v>
      </c>
      <c r="B114" s="3762"/>
      <c r="C114" s="3025" t="s">
        <v>2610</v>
      </c>
      <c r="D114" s="3003" t="s">
        <v>2611</v>
      </c>
      <c r="E114" s="3026">
        <v>0.1</v>
      </c>
      <c r="F114" s="3025">
        <v>15</v>
      </c>
    </row>
    <row r="115" spans="1:6" s="972" customFormat="1" ht="24">
      <c r="A115" s="3025">
        <v>43</v>
      </c>
      <c r="B115" s="3762"/>
      <c r="C115" s="3025" t="s">
        <v>2612</v>
      </c>
      <c r="D115" s="3003" t="s">
        <v>2613</v>
      </c>
      <c r="E115" s="3026">
        <v>0.1</v>
      </c>
      <c r="F115" s="3025">
        <v>15</v>
      </c>
    </row>
    <row r="116" spans="1:6" s="972" customFormat="1" ht="24">
      <c r="A116" s="3025">
        <v>44</v>
      </c>
      <c r="B116" s="3763" t="s">
        <v>2614</v>
      </c>
      <c r="C116" s="3025" t="s">
        <v>2615</v>
      </c>
      <c r="D116" s="3003" t="s">
        <v>2616</v>
      </c>
      <c r="E116" s="3026">
        <v>0.1</v>
      </c>
      <c r="F116" s="3025">
        <v>15</v>
      </c>
    </row>
    <row r="117" spans="1:6" s="972" customFormat="1" ht="24">
      <c r="A117" s="3025">
        <v>45</v>
      </c>
      <c r="B117" s="3764"/>
      <c r="C117" s="3003" t="s">
        <v>2617</v>
      </c>
      <c r="D117" s="3003" t="s">
        <v>2618</v>
      </c>
      <c r="E117" s="3026">
        <v>0.1</v>
      </c>
      <c r="F117" s="3025">
        <v>15</v>
      </c>
    </row>
    <row r="118" spans="1:6" s="972" customFormat="1" ht="24">
      <c r="A118" s="3025">
        <v>46</v>
      </c>
      <c r="B118" s="3763" t="s">
        <v>2619</v>
      </c>
      <c r="C118" s="3025" t="s">
        <v>2620</v>
      </c>
      <c r="D118" s="3003" t="s">
        <v>2621</v>
      </c>
      <c r="E118" s="3026">
        <v>0.1</v>
      </c>
      <c r="F118" s="3025">
        <v>15</v>
      </c>
    </row>
    <row r="119" spans="1:6" s="972" customFormat="1" ht="24">
      <c r="A119" s="3025">
        <v>47</v>
      </c>
      <c r="B119" s="3764"/>
      <c r="C119" s="3025" t="s">
        <v>2622</v>
      </c>
      <c r="D119" s="3003" t="s">
        <v>2623</v>
      </c>
      <c r="E119" s="3026">
        <v>0.1</v>
      </c>
      <c r="F119" s="3025">
        <v>15</v>
      </c>
    </row>
    <row r="120" spans="1:6" s="972" customFormat="1" ht="24">
      <c r="A120" s="3025">
        <v>48</v>
      </c>
      <c r="B120" s="3763" t="s">
        <v>2624</v>
      </c>
      <c r="C120" s="3025" t="s">
        <v>2625</v>
      </c>
      <c r="D120" s="3003" t="s">
        <v>2626</v>
      </c>
      <c r="E120" s="3026">
        <v>0.1</v>
      </c>
      <c r="F120" s="3025">
        <v>15</v>
      </c>
    </row>
    <row r="121" spans="1:6" s="972" customFormat="1">
      <c r="A121" s="3025">
        <v>49</v>
      </c>
      <c r="B121" s="3764"/>
      <c r="C121" s="3025" t="s">
        <v>2627</v>
      </c>
      <c r="D121" s="3003" t="s">
        <v>2628</v>
      </c>
      <c r="E121" s="3026">
        <v>0.1</v>
      </c>
      <c r="F121" s="3025">
        <v>15</v>
      </c>
    </row>
    <row r="122" spans="1:6" s="972" customFormat="1" ht="24">
      <c r="A122" s="3025">
        <v>50</v>
      </c>
      <c r="B122" s="3762" t="s">
        <v>2629</v>
      </c>
      <c r="C122" s="3025" t="s">
        <v>2630</v>
      </c>
      <c r="D122" s="3003" t="s">
        <v>2631</v>
      </c>
      <c r="E122" s="3026">
        <v>0.1</v>
      </c>
      <c r="F122" s="3025">
        <v>15</v>
      </c>
    </row>
    <row r="123" spans="1:6" s="972" customFormat="1" ht="24">
      <c r="A123" s="3025">
        <v>51</v>
      </c>
      <c r="B123" s="3762"/>
      <c r="C123" s="3025" t="s">
        <v>2632</v>
      </c>
      <c r="D123" s="3003" t="s">
        <v>2633</v>
      </c>
      <c r="E123" s="3026">
        <v>0.1</v>
      </c>
      <c r="F123" s="3025">
        <v>15</v>
      </c>
    </row>
    <row r="124" spans="1:6" s="972" customFormat="1" ht="24">
      <c r="A124" s="3025">
        <v>52</v>
      </c>
      <c r="B124" s="3762" t="s">
        <v>2634</v>
      </c>
      <c r="C124" s="3025" t="s">
        <v>2635</v>
      </c>
      <c r="D124" s="3003" t="s">
        <v>2636</v>
      </c>
      <c r="E124" s="3026">
        <v>0.1</v>
      </c>
      <c r="F124" s="3025">
        <v>15</v>
      </c>
    </row>
    <row r="125" spans="1:6" s="972" customFormat="1" ht="24">
      <c r="A125" s="3025">
        <v>53</v>
      </c>
      <c r="B125" s="3762"/>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62" t="s">
        <v>2642</v>
      </c>
      <c r="C127" s="3025" t="s">
        <v>2643</v>
      </c>
      <c r="D127" s="3003" t="s">
        <v>2644</v>
      </c>
      <c r="E127" s="3026">
        <v>0.1</v>
      </c>
      <c r="F127" s="3025">
        <v>15</v>
      </c>
    </row>
    <row r="128" spans="1:6">
      <c r="A128" s="3025">
        <v>56</v>
      </c>
      <c r="B128" s="3762"/>
      <c r="C128" s="3025" t="s">
        <v>2645</v>
      </c>
      <c r="D128" s="3003" t="s">
        <v>2646</v>
      </c>
      <c r="E128" s="3026">
        <v>0.1</v>
      </c>
      <c r="F128" s="3025">
        <v>15</v>
      </c>
    </row>
    <row r="129" spans="1:14" ht="24">
      <c r="A129" s="3025">
        <v>57</v>
      </c>
      <c r="B129" s="3762"/>
      <c r="C129" s="3025" t="s">
        <v>2647</v>
      </c>
      <c r="D129" s="3003" t="s">
        <v>2648</v>
      </c>
      <c r="E129" s="3026">
        <v>0.1</v>
      </c>
      <c r="F129" s="3025">
        <v>15</v>
      </c>
    </row>
    <row r="130" spans="1:14" ht="24">
      <c r="A130" s="3025">
        <v>58</v>
      </c>
      <c r="B130" s="3762" t="s">
        <v>2649</v>
      </c>
      <c r="C130" s="3025" t="s">
        <v>2650</v>
      </c>
      <c r="D130" s="3003" t="s">
        <v>2651</v>
      </c>
      <c r="E130" s="3026">
        <v>0.1</v>
      </c>
      <c r="F130" s="3025">
        <v>15</v>
      </c>
    </row>
    <row r="131" spans="1:14" ht="24">
      <c r="A131" s="3025">
        <v>59</v>
      </c>
      <c r="B131" s="3762"/>
      <c r="C131" s="3025" t="s">
        <v>2652</v>
      </c>
      <c r="D131" s="3003" t="s">
        <v>2653</v>
      </c>
      <c r="E131" s="3026">
        <v>0.1</v>
      </c>
      <c r="F131" s="3025">
        <v>15</v>
      </c>
    </row>
    <row r="132" spans="1:14" ht="24">
      <c r="A132" s="3025">
        <v>60</v>
      </c>
      <c r="B132" s="3763" t="s">
        <v>2654</v>
      </c>
      <c r="C132" s="3025" t="s">
        <v>2655</v>
      </c>
      <c r="D132" s="3003" t="s">
        <v>2656</v>
      </c>
      <c r="E132" s="3026">
        <v>0.1</v>
      </c>
      <c r="F132" s="3025">
        <v>15</v>
      </c>
    </row>
    <row r="133" spans="1:14" ht="24">
      <c r="A133" s="3025">
        <v>61</v>
      </c>
      <c r="B133" s="3764"/>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62" t="s">
        <v>2662</v>
      </c>
      <c r="C135" s="3025" t="s">
        <v>2663</v>
      </c>
      <c r="D135" s="3003" t="s">
        <v>2664</v>
      </c>
      <c r="E135" s="3026">
        <v>0.1</v>
      </c>
      <c r="F135" s="3025">
        <v>15</v>
      </c>
    </row>
    <row r="136" spans="1:14">
      <c r="A136" s="3025">
        <v>64</v>
      </c>
      <c r="B136" s="3762"/>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74" t="s">
        <v>2809</v>
      </c>
      <c r="B1" s="3774"/>
      <c r="C1" s="3774"/>
      <c r="D1" s="3774"/>
      <c r="E1" s="3774"/>
      <c r="F1" s="3774"/>
      <c r="G1" s="3775"/>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76"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77"/>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4390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78" t="s">
        <v>3184</v>
      </c>
      <c r="B1" s="3778"/>
      <c r="C1" s="3778"/>
      <c r="D1" s="3778"/>
      <c r="E1" s="3778"/>
      <c r="F1" s="3779"/>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受贵公司委托，我公司对北京市划拨国有建设用地使用权市场价格进行了预评估。</v>
      </c>
    </row>
    <row r="5" spans="1:4" ht="18.75">
      <c r="A5" s="1490" t="s">
        <v>1429</v>
      </c>
    </row>
    <row r="6" spans="1:4" ht="56.2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估价对象为使用的、位于北京市划拨国有建设用地使用权。根据，估价对象（分摊）划拨国有建设用地使用权面积为9316.87平方米。根据，估价对象规划建筑面积为1平方米。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18.75">
      <c r="A14" s="1487" t="str">
        <f>"根据"&amp;项目基本情况!F12&amp;"，本次评估估价对象证载（地类）用途为"&amp;项目基本情况!B12&amp;"。"</f>
        <v>根据，本次评估估价对象证载（地类）用途为。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根据，估价对象（分摊）出让国有建设用地使用权面积为9316.87平方米。根据，估价对象规划建筑面积为1平方米。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80" t="s">
        <v>3022</v>
      </c>
      <c r="B1" s="3780"/>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83" t="s">
        <v>1855</v>
      </c>
      <c r="C1" s="3783"/>
      <c r="D1" s="3783"/>
      <c r="E1" s="3783"/>
      <c r="F1" s="3783"/>
      <c r="G1" s="3782" t="s">
        <v>1856</v>
      </c>
      <c r="H1" s="3782"/>
      <c r="I1" s="3782"/>
      <c r="J1" s="3782"/>
      <c r="K1" s="3782"/>
      <c r="L1" s="3782"/>
      <c r="N1" s="3782" t="s">
        <v>1857</v>
      </c>
      <c r="O1" s="3782"/>
      <c r="P1" s="3782"/>
      <c r="Q1" s="3782"/>
      <c r="S1" s="3782" t="s">
        <v>1858</v>
      </c>
      <c r="T1" s="3782"/>
      <c r="U1" s="3782"/>
      <c r="V1" s="3782"/>
      <c r="X1" s="3781" t="s">
        <v>1918</v>
      </c>
      <c r="Y1" s="3782"/>
      <c r="Z1" s="3782"/>
      <c r="AA1" s="3782"/>
      <c r="AB1" s="3782"/>
      <c r="AD1" s="3781" t="s">
        <v>1922</v>
      </c>
      <c r="AE1" s="3782"/>
      <c r="AF1" s="3782"/>
      <c r="AG1" s="3782"/>
      <c r="AH1" s="3782"/>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85">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85"/>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85"/>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791"/>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790">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85"/>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85"/>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791"/>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90">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85"/>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85"/>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86"/>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84">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85"/>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85"/>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86"/>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84">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85"/>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85"/>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86"/>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787">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88"/>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88"/>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789"/>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84">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85"/>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85"/>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86"/>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84">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85">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85">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86">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84">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85">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85">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86">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84">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85">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85">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86">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84">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85">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85">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86">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84">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85">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85">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86">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84">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85">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85">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86">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84">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85">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85">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86">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84">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85">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85">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86">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84">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85">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85">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86">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84">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85">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85">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86">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T48" sqref="T48"/>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792" t="s">
        <v>2795</v>
      </c>
      <c r="S1" s="3793"/>
      <c r="T1" s="3793"/>
      <c r="U1" s="3793"/>
      <c r="V1" s="3793"/>
      <c r="W1" s="3793"/>
      <c r="X1" s="3092"/>
      <c r="Y1" s="3792" t="s">
        <v>2806</v>
      </c>
      <c r="Z1" s="3793"/>
      <c r="AA1" s="3793"/>
      <c r="AB1" s="3793"/>
      <c r="AC1" s="3793"/>
      <c r="AD1" s="3793"/>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8"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8"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8"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7"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792" t="s">
        <v>2802</v>
      </c>
      <c r="S23" s="3793"/>
      <c r="T23" s="3793"/>
      <c r="U23" s="3793"/>
      <c r="V23" s="3793"/>
      <c r="W23" s="3793"/>
      <c r="X23" s="3092"/>
      <c r="Y23" s="3792" t="s">
        <v>1922</v>
      </c>
      <c r="Z23" s="3793"/>
      <c r="AA23" s="3793"/>
      <c r="AB23" s="3793"/>
      <c r="AC23" s="3793"/>
      <c r="AD23" s="3793"/>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8"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8"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8"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7"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795" t="s">
        <v>1804</v>
      </c>
      <c r="C8" s="1515">
        <f ca="1">ROUND(F8*F10*F9*(1-F11)/10000,0)</f>
        <v>0</v>
      </c>
      <c r="D8" s="317" t="s">
        <v>1814</v>
      </c>
      <c r="E8" s="57" t="s">
        <v>585</v>
      </c>
      <c r="F8" s="718">
        <f ca="1">INDIRECT("'数据-取费表'!u"&amp;$G$1)</f>
        <v>0</v>
      </c>
      <c r="G8" s="1143"/>
      <c r="H8" s="2008" t="s">
        <v>1353</v>
      </c>
      <c r="I8" s="3795" t="s">
        <v>1804</v>
      </c>
      <c r="J8" s="716">
        <f ca="1">ROUND(M8*M10*M9*(1-M11)/10000,0)</f>
        <v>0</v>
      </c>
      <c r="K8" s="315" t="s">
        <v>1814</v>
      </c>
      <c r="L8" s="717" t="s">
        <v>1267</v>
      </c>
      <c r="M8" s="718">
        <f ca="1">INDIRECT("'数据-取费表'!z"&amp;$G$1)</f>
        <v>0</v>
      </c>
    </row>
    <row r="9" spans="1:25" ht="18" customHeight="1">
      <c r="A9" s="2004"/>
      <c r="B9" s="3796"/>
      <c r="C9" s="1516"/>
      <c r="D9" s="330"/>
      <c r="E9" s="57" t="s">
        <v>586</v>
      </c>
      <c r="F9" s="718">
        <f ca="1">IF(INDIRECT("'数据-取费表'!ah"&amp;$G$1)="",INDIRECT("'数据-取费表'!k"&amp;$G$1),INDIRECT("'数据-取费表'!ah"&amp;$G$1))</f>
        <v>0</v>
      </c>
      <c r="G9" s="1143"/>
      <c r="H9" s="1993"/>
      <c r="I9" s="3796"/>
      <c r="J9" s="721"/>
      <c r="K9" s="722"/>
      <c r="L9" s="717" t="s">
        <v>1268</v>
      </c>
      <c r="M9" s="718">
        <f ca="1">F9</f>
        <v>0</v>
      </c>
    </row>
    <row r="10" spans="1:25" ht="18" customHeight="1">
      <c r="A10" s="1997"/>
      <c r="B10" s="3797"/>
      <c r="C10" s="1516"/>
      <c r="D10" s="330"/>
      <c r="E10" s="57" t="s">
        <v>587</v>
      </c>
      <c r="F10" s="718">
        <f ca="1">INDIRECT("'数据-取费表'!ai"&amp;$G$1)</f>
        <v>0</v>
      </c>
      <c r="G10" s="1143"/>
      <c r="H10" s="1993"/>
      <c r="I10" s="3797"/>
      <c r="J10" s="721"/>
      <c r="K10" s="722"/>
      <c r="L10" s="717" t="s">
        <v>1269</v>
      </c>
      <c r="M10" s="718">
        <f ca="1">INDIRECT("'数据-取费表'!ai"&amp;$G$1)</f>
        <v>0</v>
      </c>
    </row>
    <row r="11" spans="1:25" ht="18" customHeight="1">
      <c r="A11" s="719"/>
      <c r="B11" s="3798"/>
      <c r="C11" s="1516"/>
      <c r="D11" s="330"/>
      <c r="E11" s="57" t="s">
        <v>588</v>
      </c>
      <c r="F11" s="727">
        <f ca="1">INDIRECT("'数据-取费表'!w"&amp;$G$1)</f>
        <v>0</v>
      </c>
      <c r="G11" s="1143"/>
      <c r="H11" s="2009"/>
      <c r="I11" s="3797"/>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4.3500000000000004E-2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794"/>
      <c r="J36" s="1689"/>
      <c r="K36" s="1690"/>
      <c r="L36" s="1689"/>
      <c r="M36" s="1689"/>
    </row>
    <row r="37" spans="1:18" ht="18" customHeight="1">
      <c r="A37" s="747"/>
      <c r="B37" s="726"/>
      <c r="C37" s="65"/>
      <c r="D37" s="748"/>
      <c r="E37" s="717" t="s">
        <v>621</v>
      </c>
      <c r="F37" s="718">
        <f ca="1">INDIRECT("'数据-取费表'!r"&amp;$G$1)</f>
        <v>0</v>
      </c>
      <c r="G37" s="1667"/>
      <c r="H37" s="1676"/>
      <c r="I37" s="3794"/>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799"/>
      <c r="L54" s="3800"/>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795" t="s">
        <v>1804</v>
      </c>
      <c r="C6" s="716" t="e">
        <f ca="1">ROUND(F6*F8*F7*(1-F9)/10000,0)</f>
        <v>#N/A</v>
      </c>
      <c r="D6" s="2001" t="s">
        <v>1803</v>
      </c>
      <c r="E6" s="717" t="s">
        <v>1267</v>
      </c>
      <c r="F6" s="718" t="e">
        <f ca="1">INDIRECT("'数据-取费表'!u"&amp;$G$1)</f>
        <v>#N/A</v>
      </c>
      <c r="G6" s="1667"/>
      <c r="H6" s="2008" t="s">
        <v>1809</v>
      </c>
      <c r="I6" s="3795" t="s">
        <v>1804</v>
      </c>
      <c r="J6" s="716" t="e">
        <f ca="1">ROUND(M6*M8*M7*(1-M9)/10000,0)</f>
        <v>#N/A</v>
      </c>
      <c r="K6" s="315" t="s">
        <v>1266</v>
      </c>
      <c r="L6" s="717" t="s">
        <v>1267</v>
      </c>
      <c r="M6" s="718" t="e">
        <f ca="1">INDIRECT("'数据-取费表'!z"&amp;$G$1)</f>
        <v>#N/A</v>
      </c>
    </row>
    <row r="7" spans="1:33" ht="18" customHeight="1">
      <c r="A7" s="2004"/>
      <c r="B7" s="3796"/>
      <c r="C7" s="721"/>
      <c r="D7" s="722"/>
      <c r="E7" s="717" t="s">
        <v>1268</v>
      </c>
      <c r="F7" s="718" t="e">
        <f ca="1">IF(INDIRECT("'数据-取费表'!ah"&amp;$G$1)="",INDIRECT("'数据-取费表'!k"&amp;$G$1),INDIRECT("'数据-取费表'!ah"&amp;$G$1))</f>
        <v>#N/A</v>
      </c>
      <c r="G7" s="1667"/>
      <c r="H7" s="1993"/>
      <c r="I7" s="3796"/>
      <c r="J7" s="721"/>
      <c r="K7" s="722"/>
      <c r="L7" s="717" t="s">
        <v>1268</v>
      </c>
      <c r="M7" s="718" t="e">
        <f ca="1">F7</f>
        <v>#N/A</v>
      </c>
    </row>
    <row r="8" spans="1:33" ht="18" customHeight="1">
      <c r="A8" s="1997"/>
      <c r="B8" s="3797"/>
      <c r="C8" s="721"/>
      <c r="D8" s="722"/>
      <c r="E8" s="717" t="s">
        <v>1269</v>
      </c>
      <c r="F8" s="718" t="e">
        <f ca="1">INDIRECT("'数据-取费表'!ai"&amp;$G$1)</f>
        <v>#N/A</v>
      </c>
      <c r="G8" s="1667"/>
      <c r="H8" s="1993"/>
      <c r="I8" s="3797"/>
      <c r="J8" s="721"/>
      <c r="K8" s="722"/>
      <c r="L8" s="717" t="s">
        <v>1269</v>
      </c>
      <c r="M8" s="718" t="e">
        <f ca="1">INDIRECT("'数据-取费表'!ai"&amp;$G$1)</f>
        <v>#N/A</v>
      </c>
    </row>
    <row r="9" spans="1:33" ht="18" customHeight="1">
      <c r="A9" s="719"/>
      <c r="B9" s="3798"/>
      <c r="C9" s="721"/>
      <c r="D9" s="722"/>
      <c r="E9" s="717" t="s">
        <v>1270</v>
      </c>
      <c r="F9" s="727" t="e">
        <f ca="1">INDIRECT("'数据-取费表'!w"&amp;$G$1)</f>
        <v>#N/A</v>
      </c>
      <c r="G9" s="1667"/>
      <c r="H9" s="2009"/>
      <c r="I9" s="3797"/>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4.3500000000000004E-2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0">
        <v>1</v>
      </c>
      <c r="B47" s="3381" t="s">
        <v>583</v>
      </c>
      <c r="C47" s="3382" t="e">
        <f ca="1">C48+C52+C54</f>
        <v>#N/A</v>
      </c>
      <c r="D47" s="3383"/>
      <c r="E47" s="3383"/>
      <c r="F47" s="3384"/>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01" t="s">
        <v>2220</v>
      </c>
      <c r="L53" s="3802"/>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09" t="s">
        <v>2297</v>
      </c>
      <c r="K2" s="3810"/>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11" t="s">
        <v>2307</v>
      </c>
      <c r="K3" s="3812"/>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11" t="s">
        <v>2309</v>
      </c>
      <c r="K4" s="3812"/>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17" t="s">
        <v>2313</v>
      </c>
      <c r="B6" s="3818"/>
      <c r="C6" s="3819"/>
      <c r="D6" s="2855"/>
      <c r="E6" s="2856"/>
      <c r="F6" s="2857"/>
      <c r="G6" s="2858"/>
      <c r="H6" s="2833"/>
      <c r="I6" s="2834"/>
      <c r="J6" s="3803">
        <v>1</v>
      </c>
      <c r="K6" s="3804"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03"/>
      <c r="K7" s="3805"/>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20" t="s">
        <v>2327</v>
      </c>
      <c r="C8" s="3821"/>
      <c r="D8" s="2874" t="s">
        <v>2328</v>
      </c>
      <c r="E8" s="2875" t="s">
        <v>2329</v>
      </c>
      <c r="F8" s="2876" t="s">
        <v>2330</v>
      </c>
      <c r="G8" s="2877"/>
      <c r="H8" s="2833"/>
      <c r="I8" s="2834"/>
      <c r="J8" s="3803"/>
      <c r="K8" s="3805"/>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20" t="s">
        <v>2333</v>
      </c>
      <c r="C9" s="3821"/>
      <c r="D9" s="2874">
        <f>ROUND(D6*E9,0)</f>
        <v>0</v>
      </c>
      <c r="E9" s="2878"/>
      <c r="F9" s="2879" t="s">
        <v>2334</v>
      </c>
      <c r="G9" s="2858"/>
      <c r="H9" s="2833"/>
      <c r="I9" s="2834"/>
      <c r="J9" s="3803"/>
      <c r="K9" s="3805"/>
      <c r="L9" s="2868" t="s">
        <v>2335</v>
      </c>
      <c r="M9" s="2869"/>
      <c r="N9" s="2845"/>
      <c r="O9" s="2870"/>
      <c r="P9" s="2870"/>
      <c r="Q9" s="2871">
        <v>365</v>
      </c>
      <c r="R9" s="2872">
        <f t="shared" si="0"/>
        <v>0</v>
      </c>
      <c r="S9" s="2825"/>
      <c r="T9" s="2825"/>
      <c r="U9" s="2825"/>
      <c r="V9" s="2834"/>
    </row>
    <row r="10" spans="1:22" s="2838" customFormat="1" ht="13.35" customHeight="1">
      <c r="A10" s="2873">
        <v>2</v>
      </c>
      <c r="B10" s="3820" t="s">
        <v>2336</v>
      </c>
      <c r="C10" s="3821"/>
      <c r="D10" s="2874">
        <f>ROUND(D6*E10,0)</f>
        <v>0</v>
      </c>
      <c r="E10" s="2878"/>
      <c r="F10" s="2879" t="s">
        <v>2337</v>
      </c>
      <c r="G10" s="2858"/>
      <c r="H10" s="2833"/>
      <c r="I10" s="2834"/>
      <c r="J10" s="3803"/>
      <c r="K10" s="3805"/>
      <c r="L10" s="2868" t="s">
        <v>2338</v>
      </c>
      <c r="M10" s="2869"/>
      <c r="N10" s="2845"/>
      <c r="O10" s="2870"/>
      <c r="P10" s="2870"/>
      <c r="Q10" s="2871">
        <v>365</v>
      </c>
      <c r="R10" s="2872">
        <f t="shared" si="0"/>
        <v>0</v>
      </c>
      <c r="S10" s="2825"/>
      <c r="T10" s="2825"/>
      <c r="U10" s="2825"/>
      <c r="V10" s="2834"/>
    </row>
    <row r="11" spans="1:22" s="2838" customFormat="1" ht="13.35" customHeight="1">
      <c r="A11" s="2873">
        <v>3</v>
      </c>
      <c r="B11" s="3820" t="s">
        <v>2339</v>
      </c>
      <c r="C11" s="3821"/>
      <c r="D11" s="2874">
        <f>D12+D14+D15+D16</f>
        <v>0</v>
      </c>
      <c r="E11" s="2880" t="e">
        <f>D11/D6</f>
        <v>#DIV/0!</v>
      </c>
      <c r="F11" s="2876"/>
      <c r="G11" s="2877"/>
      <c r="H11" s="2833"/>
      <c r="I11" s="2834"/>
      <c r="J11" s="3803"/>
      <c r="K11" s="3805"/>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13" t="s">
        <v>2342</v>
      </c>
      <c r="C12" s="3814"/>
      <c r="D12" s="2882">
        <f>ROUND(D13*1.2%*(1-30%),0)</f>
        <v>0</v>
      </c>
      <c r="E12" s="2883">
        <v>1.2E-2</v>
      </c>
      <c r="F12" s="2876" t="s">
        <v>2343</v>
      </c>
      <c r="G12" s="2877"/>
      <c r="H12" s="2833"/>
      <c r="I12" s="2834"/>
      <c r="J12" s="3803"/>
      <c r="K12" s="3805"/>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03"/>
      <c r="K13" s="3805"/>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13" t="s">
        <v>2348</v>
      </c>
      <c r="C14" s="3814"/>
      <c r="D14" s="2882">
        <f>ROUND(E14*B5/10000,0)</f>
        <v>0</v>
      </c>
      <c r="E14" s="2871"/>
      <c r="F14" s="2876" t="s">
        <v>2349</v>
      </c>
      <c r="G14" s="2877"/>
      <c r="H14" s="2833"/>
      <c r="I14" s="2834"/>
      <c r="J14" s="3803"/>
      <c r="K14" s="3806"/>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13" t="s">
        <v>2352</v>
      </c>
      <c r="C15" s="3814"/>
      <c r="D15" s="2882">
        <f>ROUND(D6*E15,0)</f>
        <v>0</v>
      </c>
      <c r="E15" s="2883">
        <v>5.5E-2</v>
      </c>
      <c r="F15" s="2876" t="s">
        <v>2353</v>
      </c>
      <c r="G15" s="2858"/>
      <c r="H15" s="2833"/>
      <c r="I15" s="2834"/>
      <c r="J15" s="3803">
        <v>2</v>
      </c>
      <c r="K15" s="3804"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13" t="s">
        <v>2363</v>
      </c>
      <c r="C16" s="3814"/>
      <c r="D16" s="2893">
        <f>D6*E16</f>
        <v>0</v>
      </c>
      <c r="E16" s="2894"/>
      <c r="F16" s="2879" t="s">
        <v>2364</v>
      </c>
      <c r="G16" s="2858"/>
      <c r="H16" s="2833"/>
      <c r="I16" s="2834"/>
      <c r="J16" s="3803"/>
      <c r="K16" s="3805"/>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15" t="s">
        <v>2366</v>
      </c>
      <c r="C17" s="3816"/>
      <c r="D17" s="2896">
        <f>ROUND(D6*E17,0)</f>
        <v>0</v>
      </c>
      <c r="E17" s="2897"/>
      <c r="F17" s="2898" t="s">
        <v>2367</v>
      </c>
      <c r="G17" s="2858"/>
      <c r="H17" s="2833"/>
      <c r="I17" s="2834"/>
      <c r="J17" s="3803"/>
      <c r="K17" s="3805"/>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03"/>
      <c r="K18" s="3805"/>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03"/>
      <c r="K19" s="3806"/>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03">
        <v>3</v>
      </c>
      <c r="K20" s="3804"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03"/>
      <c r="K21" s="3805"/>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03"/>
      <c r="K22" s="3805"/>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03"/>
      <c r="K23" s="3805"/>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03"/>
      <c r="K24" s="3806"/>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07">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08"/>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09" t="s">
        <v>2409</v>
      </c>
      <c r="K32" s="3810"/>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11" t="s">
        <v>2413</v>
      </c>
      <c r="K33" s="3812"/>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11" t="s">
        <v>2415</v>
      </c>
      <c r="K34" s="3812"/>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03">
        <v>1</v>
      </c>
      <c r="K36" s="3804"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03"/>
      <c r="K37" s="3805"/>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03"/>
      <c r="K38" s="3805"/>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03"/>
      <c r="K39" s="3805"/>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03"/>
      <c r="K40" s="3806"/>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07">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08"/>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tabSelected="1" view="pageBreakPreview" topLeftCell="A7" zoomScale="130" zoomScaleNormal="80" zoomScaleSheetLayoutView="130" workbookViewId="0">
      <selection activeCell="E14" sqref="E14"/>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9503</v>
      </c>
      <c r="C2" s="2767"/>
      <c r="D2" s="2767"/>
      <c r="E2" s="2767"/>
      <c r="F2" s="2767"/>
      <c r="G2" s="2767"/>
    </row>
    <row r="3" spans="1:25" s="1671" customFormat="1" ht="18" customHeight="1">
      <c r="A3" s="1169" t="s">
        <v>1218</v>
      </c>
      <c r="B3" s="395">
        <f ca="1">ROUND(B2*10000/'数据-汇总表'!E3,0)</f>
        <v>95030000</v>
      </c>
      <c r="C3" s="2767"/>
      <c r="D3" s="2767"/>
      <c r="E3" s="2767"/>
      <c r="F3" s="2767"/>
      <c r="G3" s="2767"/>
    </row>
    <row r="4" spans="1:25" s="1671" customFormat="1" ht="18" customHeight="1">
      <c r="A4" s="396" t="s">
        <v>428</v>
      </c>
      <c r="B4" s="397">
        <f ca="1">ROUND(B2*10000/'数据-汇总表'!D3,0)</f>
        <v>10200</v>
      </c>
      <c r="C4" s="2727"/>
      <c r="D4" s="2767"/>
      <c r="E4" s="2767"/>
      <c r="F4" s="2767"/>
      <c r="G4" s="2767"/>
    </row>
    <row r="5" spans="1:25" s="1671" customFormat="1" ht="18" customHeight="1" thickBot="1">
      <c r="A5" s="399"/>
      <c r="B5" s="400">
        <f ca="1">ROUND(B2/('数据-汇总表'!D3/666.67),0)</f>
        <v>680</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3730</v>
      </c>
    </row>
    <row r="8" spans="1:25" s="1782" customFormat="1" ht="13.5" customHeight="1">
      <c r="A8" s="1980" t="s">
        <v>1783</v>
      </c>
      <c r="B8" s="1983" t="s">
        <v>1785</v>
      </c>
      <c r="C8" s="2770">
        <f>ROUND(D8*E8,0)</f>
        <v>8921</v>
      </c>
      <c r="D8" s="2771">
        <v>1</v>
      </c>
      <c r="E8" s="2771">
        <f>'比较法-工业（一级开发）'!C45</f>
        <v>8921</v>
      </c>
      <c r="F8" s="686"/>
      <c r="G8" s="687"/>
    </row>
    <row r="9" spans="1:25" s="1782" customFormat="1" ht="13.5" customHeight="1">
      <c r="A9" s="1980" t="s">
        <v>1784</v>
      </c>
      <c r="B9" s="1983" t="s">
        <v>1786</v>
      </c>
      <c r="C9" s="2770">
        <f>ROUND(D9*E9/10000,0)</f>
        <v>0</v>
      </c>
      <c r="D9" s="2771">
        <v>0</v>
      </c>
      <c r="E9" s="2771">
        <v>0</v>
      </c>
      <c r="F9" s="686"/>
      <c r="G9" s="687"/>
    </row>
    <row r="10" spans="1:25" s="1782" customFormat="1" ht="36">
      <c r="A10" s="1980">
        <v>2</v>
      </c>
      <c r="B10" s="684" t="s">
        <v>561</v>
      </c>
      <c r="C10" s="685">
        <f>C11+C14+C15</f>
        <v>105</v>
      </c>
      <c r="D10" s="686"/>
      <c r="E10" s="685"/>
      <c r="F10" s="695"/>
      <c r="G10" s="693" t="s">
        <v>562</v>
      </c>
    </row>
    <row r="11" spans="1:25" s="1782" customFormat="1" ht="13.5" customHeight="1">
      <c r="A11" s="1980" t="s">
        <v>1783</v>
      </c>
      <c r="B11" s="688" t="s">
        <v>558</v>
      </c>
      <c r="C11" s="689">
        <f>'数据-取费表'!B29</f>
        <v>0</v>
      </c>
      <c r="D11" s="3474"/>
      <c r="E11" s="689"/>
      <c r="F11" s="690"/>
      <c r="G11" s="1988" t="s">
        <v>1794</v>
      </c>
    </row>
    <row r="12" spans="1:25" s="1782" customFormat="1" ht="13.5" customHeight="1">
      <c r="A12" s="1986" t="s">
        <v>1791</v>
      </c>
      <c r="B12" s="691" t="s">
        <v>559</v>
      </c>
      <c r="C12" s="692">
        <f>ROUND(D12*E12/10000,0)</f>
        <v>0</v>
      </c>
      <c r="D12" s="2771">
        <f>'数据-汇总表'!E5</f>
        <v>0</v>
      </c>
      <c r="E12" s="2770">
        <f>'数据-取费表'!B27</f>
        <v>0</v>
      </c>
      <c r="F12" s="690"/>
      <c r="G12" s="693"/>
    </row>
    <row r="13" spans="1:25" s="1782" customFormat="1" ht="13.5" customHeight="1">
      <c r="A13" s="1986" t="s">
        <v>1790</v>
      </c>
      <c r="B13" s="691" t="s">
        <v>560</v>
      </c>
      <c r="C13" s="692">
        <f>ROUND(D13*E13/10000,0)</f>
        <v>0</v>
      </c>
      <c r="D13" s="2771">
        <f>'数据-汇总表'!E6</f>
        <v>1</v>
      </c>
      <c r="E13" s="2770">
        <f>'数据-取费表'!B28</f>
        <v>0</v>
      </c>
      <c r="F13" s="690"/>
      <c r="G13" s="693"/>
    </row>
    <row r="14" spans="1:25" s="1782" customFormat="1" ht="13.5" customHeight="1">
      <c r="A14" s="1980" t="s">
        <v>1784</v>
      </c>
      <c r="B14" s="1985" t="s">
        <v>1787</v>
      </c>
      <c r="C14" s="2772">
        <f>ROUND(D14*E14,0)</f>
        <v>105</v>
      </c>
      <c r="D14" s="2771">
        <f>D8</f>
        <v>1</v>
      </c>
      <c r="E14" s="3836">
        <f>ROUND((J15-J14),0)</f>
        <v>105</v>
      </c>
      <c r="F14" s="1984"/>
      <c r="G14" s="1987" t="s">
        <v>1792</v>
      </c>
      <c r="H14" s="3473" t="s">
        <v>3732</v>
      </c>
      <c r="I14" s="3473" t="s">
        <v>3733</v>
      </c>
      <c r="J14" s="1782">
        <f>基准地价!H21+基准地价!I21+基准地价!K21+基准地价!L21+基准地价!O21</f>
        <v>210</v>
      </c>
      <c r="L14" s="3473" t="s">
        <v>3736</v>
      </c>
      <c r="M14" s="1782">
        <f>基准地价!C21</f>
        <v>1.5</v>
      </c>
    </row>
    <row r="15" spans="1:25" s="1782" customFormat="1" ht="13.5" customHeight="1">
      <c r="A15" s="1980" t="s">
        <v>1789</v>
      </c>
      <c r="B15" s="1985" t="s">
        <v>1788</v>
      </c>
      <c r="C15" s="2772">
        <f>ROUND(D15*E15/10000,0)</f>
        <v>0</v>
      </c>
      <c r="D15" s="2771">
        <v>0</v>
      </c>
      <c r="E15" s="2771">
        <v>0</v>
      </c>
      <c r="F15" s="1984"/>
      <c r="G15" s="1987" t="s">
        <v>1793</v>
      </c>
      <c r="H15" s="3473" t="s">
        <v>3734</v>
      </c>
      <c r="I15" s="3473" t="s">
        <v>3735</v>
      </c>
      <c r="J15" s="1782">
        <f>基准地价!G21</f>
        <v>315</v>
      </c>
    </row>
    <row r="16" spans="1:25" s="1783" customFormat="1" ht="48">
      <c r="A16" s="1980">
        <v>3</v>
      </c>
      <c r="B16" s="684" t="s">
        <v>563</v>
      </c>
      <c r="C16" s="2772">
        <f>ROUND(D16*E16/10000,0)</f>
        <v>0</v>
      </c>
      <c r="D16" s="2771">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390</v>
      </c>
      <c r="D17" s="696"/>
      <c r="E17" s="697"/>
      <c r="F17" s="3834">
        <f ca="1">'数据-取费表'!B40</f>
        <v>4.3500000000000004E-2</v>
      </c>
      <c r="G17" s="698"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993</v>
      </c>
      <c r="D18" s="696"/>
      <c r="E18" s="697"/>
      <c r="F18" s="3835">
        <v>0.11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10409</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10409</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9503</v>
      </c>
      <c r="D22" s="694"/>
      <c r="E22" s="685"/>
      <c r="F22" s="699">
        <f>'数据-取费表'!AP16</f>
        <v>0.91300000000000003</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9503</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75" t="s">
        <v>3737</v>
      </c>
      <c r="C25" s="3476">
        <f>基准地价!C28</f>
        <v>1.0329999999999999</v>
      </c>
      <c r="D25" s="3477"/>
      <c r="E25" s="3477"/>
      <c r="F25" s="3476"/>
      <c r="G25" s="3476"/>
    </row>
    <row r="26" spans="1:25" s="2769" customFormat="1">
      <c r="A26" s="1677">
        <v>8</v>
      </c>
      <c r="B26" s="3475" t="s">
        <v>3276</v>
      </c>
      <c r="C26" s="3476">
        <f ca="1">ROUND(C19*C25,0)</f>
        <v>10752</v>
      </c>
      <c r="D26" s="3477">
        <f>'数据-汇总表'!D3</f>
        <v>9316.8700000000008</v>
      </c>
      <c r="E26" s="3477">
        <f ca="1">ROUND(C26*D26,0)</f>
        <v>100174986</v>
      </c>
      <c r="F26" s="3476"/>
      <c r="G26" s="3476"/>
    </row>
    <row r="27" spans="1:25" s="2769" customFormat="1">
      <c r="A27" s="1697"/>
      <c r="B27" s="1787"/>
      <c r="C27" s="1787"/>
      <c r="D27" s="1830"/>
      <c r="E27" s="1830"/>
      <c r="F27" s="1787"/>
      <c r="G27" s="1787"/>
    </row>
    <row r="28" spans="1:25" s="2769" customFormat="1">
      <c r="A28" s="3478" t="s">
        <v>3738</v>
      </c>
      <c r="B28" s="3476"/>
      <c r="C28" s="3476"/>
      <c r="D28" s="3477"/>
      <c r="E28" s="3477"/>
      <c r="F28" s="3476"/>
      <c r="G28" s="3476"/>
    </row>
    <row r="29" spans="1:25" s="2769" customFormat="1">
      <c r="A29" s="3479" t="s">
        <v>3739</v>
      </c>
      <c r="B29" s="3480" t="s">
        <v>3740</v>
      </c>
      <c r="C29" s="3480" t="s">
        <v>3741</v>
      </c>
      <c r="D29" s="3481"/>
      <c r="E29" s="3481"/>
      <c r="F29" s="3480"/>
      <c r="G29" s="3480"/>
    </row>
    <row r="30" spans="1:25" s="2769" customFormat="1">
      <c r="A30" s="3479" t="s">
        <v>2064</v>
      </c>
      <c r="B30" s="3482">
        <v>4.3499999999999997E-2</v>
      </c>
      <c r="C30" s="3482">
        <v>4.7500000000000001E-2</v>
      </c>
      <c r="D30" s="3481"/>
      <c r="E30" s="3481"/>
      <c r="F30" s="3480"/>
      <c r="G30" s="3480"/>
    </row>
    <row r="31" spans="1:25" s="2769" customFormat="1">
      <c r="A31" s="1697"/>
      <c r="B31" s="1787"/>
      <c r="C31" s="1787"/>
      <c r="D31" s="1830"/>
      <c r="E31" s="1830"/>
      <c r="F31" s="1787"/>
      <c r="G31" s="1787"/>
    </row>
    <row r="32" spans="1:25" s="2769" customFormat="1">
      <c r="A32" s="3478" t="s">
        <v>3742</v>
      </c>
      <c r="B32" s="3476"/>
      <c r="C32" s="3476"/>
      <c r="D32" s="3477"/>
      <c r="E32" s="3477"/>
      <c r="F32" s="3476"/>
      <c r="G32" s="3476"/>
    </row>
    <row r="33" spans="1:7" s="2769" customFormat="1">
      <c r="A33" s="3479" t="s">
        <v>3739</v>
      </c>
      <c r="B33" s="3480" t="s">
        <v>3740</v>
      </c>
      <c r="C33" s="3480" t="s">
        <v>3743</v>
      </c>
      <c r="D33" s="3480" t="s">
        <v>3744</v>
      </c>
      <c r="E33" s="3481"/>
      <c r="F33" s="3480"/>
      <c r="G33" s="3480"/>
    </row>
    <row r="34" spans="1:7" s="2769" customFormat="1">
      <c r="A34" s="3479" t="s">
        <v>3745</v>
      </c>
      <c r="B34" s="3480" t="s">
        <v>3746</v>
      </c>
      <c r="C34" s="3480" t="s">
        <v>3747</v>
      </c>
      <c r="D34" s="3481" t="s">
        <v>3748</v>
      </c>
      <c r="E34" s="3481"/>
      <c r="F34" s="3480"/>
      <c r="G34" s="3480"/>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zoomScaleNormal="50" zoomScaleSheetLayoutView="100" workbookViewId="0">
      <selection activeCell="C48" sqref="C48"/>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8312</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83120000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19" t="s">
        <v>471</v>
      </c>
      <c r="D6" s="3720"/>
      <c r="E6" s="3756" t="s">
        <v>472</v>
      </c>
      <c r="F6" s="3757"/>
      <c r="G6" s="3719" t="s">
        <v>473</v>
      </c>
      <c r="H6" s="3720"/>
      <c r="I6" s="3719" t="s">
        <v>474</v>
      </c>
      <c r="J6" s="3720"/>
      <c r="K6" s="465" t="s">
        <v>475</v>
      </c>
      <c r="L6" s="1740"/>
      <c r="M6" s="1741"/>
      <c r="N6" s="1741"/>
      <c r="O6" s="1741"/>
      <c r="P6" s="3721" t="s">
        <v>476</v>
      </c>
      <c r="Q6" s="3722"/>
      <c r="R6" s="3705" t="s">
        <v>472</v>
      </c>
      <c r="S6" s="3706"/>
      <c r="T6" s="3705" t="s">
        <v>473</v>
      </c>
      <c r="U6" s="3706"/>
      <c r="V6" s="3727" t="s">
        <v>474</v>
      </c>
      <c r="W6" s="3727"/>
      <c r="X6" s="1301"/>
      <c r="Y6" s="3705" t="s">
        <v>476</v>
      </c>
      <c r="Z6" s="3706"/>
      <c r="AA6" s="3700" t="s">
        <v>472</v>
      </c>
      <c r="AB6" s="3701" t="s">
        <v>473</v>
      </c>
      <c r="AC6" s="3700" t="s">
        <v>474</v>
      </c>
    </row>
    <row r="7" spans="1:29" ht="15">
      <c r="A7" s="466"/>
      <c r="B7" s="467"/>
      <c r="C7" s="3730" t="s">
        <v>2186</v>
      </c>
      <c r="D7" s="3731"/>
      <c r="E7" s="3758" t="str">
        <f>土地一级开发案例!E4</f>
        <v>丰台区城乡一体化周庄子村旧村改造项目二期ZZZ-06等地块</v>
      </c>
      <c r="F7" s="3759"/>
      <c r="G7" s="3730" t="str">
        <f>土地一级开发案例!E3</f>
        <v>丰台区万泉寺住宅小区一级开发项目A地块</v>
      </c>
      <c r="H7" s="3731"/>
      <c r="I7" s="3730" t="str">
        <f>土地一级开发案例!E8</f>
        <v>丰台区张家坟棚户区改造土地开发项目</v>
      </c>
      <c r="J7" s="3731"/>
      <c r="K7" s="465"/>
      <c r="L7" s="1740"/>
      <c r="M7" s="1741"/>
      <c r="N7" s="1741"/>
      <c r="O7" s="1741"/>
      <c r="P7" s="3723"/>
      <c r="Q7" s="3724"/>
      <c r="R7" s="3707"/>
      <c r="S7" s="3708"/>
      <c r="T7" s="3707"/>
      <c r="U7" s="3708"/>
      <c r="V7" s="3727"/>
      <c r="W7" s="3727"/>
      <c r="X7" s="1301"/>
      <c r="Y7" s="3707"/>
      <c r="Z7" s="3708"/>
      <c r="AA7" s="3701"/>
      <c r="AB7" s="3701"/>
      <c r="AC7" s="3701"/>
    </row>
    <row r="8" spans="1:29" ht="15.75" thickBot="1">
      <c r="A8" s="468"/>
      <c r="B8" s="469"/>
      <c r="C8" s="3728" t="s">
        <v>2190</v>
      </c>
      <c r="D8" s="3729"/>
      <c r="E8" s="3760" t="s">
        <v>2190</v>
      </c>
      <c r="F8" s="3761"/>
      <c r="G8" s="3728" t="s">
        <v>2190</v>
      </c>
      <c r="H8" s="3729"/>
      <c r="I8" s="3728" t="s">
        <v>2190</v>
      </c>
      <c r="J8" s="3729"/>
      <c r="K8" s="465" t="s">
        <v>477</v>
      </c>
      <c r="L8" s="1740"/>
      <c r="M8" s="1741"/>
      <c r="N8" s="1741"/>
      <c r="O8" s="1741"/>
      <c r="P8" s="3725"/>
      <c r="Q8" s="3726"/>
      <c r="R8" s="3707"/>
      <c r="S8" s="3708"/>
      <c r="T8" s="3709"/>
      <c r="U8" s="3710"/>
      <c r="V8" s="3727"/>
      <c r="W8" s="3727"/>
      <c r="X8" s="1301"/>
      <c r="Y8" s="3709"/>
      <c r="Z8" s="3710"/>
      <c r="AA8" s="3702"/>
      <c r="AB8" s="3702"/>
      <c r="AC8" s="3702"/>
    </row>
    <row r="9" spans="1:29" s="1058" customFormat="1" ht="15.75" thickBot="1">
      <c r="A9" s="2208"/>
      <c r="B9" s="2215" t="s">
        <v>478</v>
      </c>
      <c r="C9" s="470">
        <f>'数据-取费表'!B2</f>
        <v>45196</v>
      </c>
      <c r="D9" s="471">
        <v>100</v>
      </c>
      <c r="E9" s="472">
        <v>44378</v>
      </c>
      <c r="F9" s="473">
        <f>SUMIF(66:66,YEAR(E9)&amp;"-"&amp;INT((MONTH(E9)+2)/3),67:67)</f>
        <v>100</v>
      </c>
      <c r="G9" s="474">
        <v>44256</v>
      </c>
      <c r="H9" s="471">
        <f>SUMIF(66:66,YEAR(G9)&amp;"-"&amp;INT((MONTH(G9)+2)/3),67:67)</f>
        <v>100</v>
      </c>
      <c r="I9" s="474">
        <v>44075</v>
      </c>
      <c r="J9" s="471">
        <f>SUMIF(66:66,YEAR(I9)&amp;"-"&amp;INT((MONTH(I9)+2)/3),67:67)</f>
        <v>100</v>
      </c>
      <c r="K9" s="88"/>
      <c r="L9" s="1742"/>
      <c r="M9" s="1639"/>
      <c r="N9" s="1639"/>
      <c r="O9" s="1639"/>
      <c r="P9" s="3703" t="s">
        <v>479</v>
      </c>
      <c r="Q9" s="3712"/>
      <c r="R9" s="1302" t="s">
        <v>5</v>
      </c>
      <c r="S9" s="1303">
        <f t="shared" ref="S9:S17" si="0">F9</f>
        <v>100</v>
      </c>
      <c r="T9" s="1302" t="s">
        <v>5</v>
      </c>
      <c r="U9" s="1303">
        <f t="shared" ref="U9:U17" si="1">H9</f>
        <v>100</v>
      </c>
      <c r="V9" s="1302" t="s">
        <v>5</v>
      </c>
      <c r="W9" s="1303">
        <f t="shared" ref="W9:W17" si="2">J9</f>
        <v>100</v>
      </c>
      <c r="X9" s="1304"/>
      <c r="Y9" s="3703" t="s">
        <v>479</v>
      </c>
      <c r="Z9" s="3704"/>
      <c r="AA9" s="995">
        <f>D9/F9</f>
        <v>1</v>
      </c>
      <c r="AB9" s="995">
        <f>D9/H9</f>
        <v>1</v>
      </c>
      <c r="AC9" s="995">
        <f>D9/J9</f>
        <v>1</v>
      </c>
    </row>
    <row r="10" spans="1:29" s="1058" customFormat="1" ht="15.75" thickBot="1">
      <c r="A10" s="2209"/>
      <c r="B10" s="2216" t="s">
        <v>480</v>
      </c>
      <c r="C10" s="475" t="s">
        <v>481</v>
      </c>
      <c r="D10" s="471">
        <v>100</v>
      </c>
      <c r="E10" s="475" t="s">
        <v>3728</v>
      </c>
      <c r="F10" s="473">
        <f>SUMIF(69:69,E10,70:70)-SUMIF(69:69,C10,70:70)+100</f>
        <v>100</v>
      </c>
      <c r="G10" s="475" t="s">
        <v>3728</v>
      </c>
      <c r="H10" s="471">
        <f>SUMIF(69:69,G10,70:70)-SUMIF(69:69,C10,70:70)+100</f>
        <v>100</v>
      </c>
      <c r="I10" s="475" t="s">
        <v>3728</v>
      </c>
      <c r="J10" s="471">
        <f>SUMIF(69:69,I10,70:70)-SUMIF(69:69,C10,70:70)+100</f>
        <v>100</v>
      </c>
      <c r="K10" s="88"/>
      <c r="L10" s="1742"/>
      <c r="M10" s="1639"/>
      <c r="N10" s="1639"/>
      <c r="O10" s="1639"/>
      <c r="P10" s="3703" t="s">
        <v>482</v>
      </c>
      <c r="Q10" s="3704"/>
      <c r="R10" s="1302" t="s">
        <v>5</v>
      </c>
      <c r="S10" s="1303">
        <f t="shared" si="0"/>
        <v>100</v>
      </c>
      <c r="T10" s="1302" t="s">
        <v>5</v>
      </c>
      <c r="U10" s="1303">
        <f t="shared" si="1"/>
        <v>100</v>
      </c>
      <c r="V10" s="1302" t="s">
        <v>5</v>
      </c>
      <c r="W10" s="1303">
        <f t="shared" si="2"/>
        <v>100</v>
      </c>
      <c r="X10" s="1304"/>
      <c r="Y10" s="3703" t="s">
        <v>482</v>
      </c>
      <c r="Z10" s="3704"/>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11" t="s">
        <v>484</v>
      </c>
      <c r="Q11" s="816" t="str">
        <f t="shared" ref="Q11:Q17" si="6">B11</f>
        <v>用途</v>
      </c>
      <c r="R11" s="1302" t="s">
        <v>5</v>
      </c>
      <c r="S11" s="1303">
        <f t="shared" si="0"/>
        <v>100</v>
      </c>
      <c r="T11" s="1302" t="s">
        <v>5</v>
      </c>
      <c r="U11" s="1303">
        <f t="shared" si="1"/>
        <v>100</v>
      </c>
      <c r="V11" s="1302" t="s">
        <v>5</v>
      </c>
      <c r="W11" s="1303">
        <f t="shared" si="2"/>
        <v>100</v>
      </c>
      <c r="X11" s="1304"/>
      <c r="Y11" s="3660"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1"/>
      <c r="Q12" s="816" t="str">
        <f t="shared" si="6"/>
        <v>土地使用年限（年）</v>
      </c>
      <c r="R12" s="1302" t="s">
        <v>5</v>
      </c>
      <c r="S12" s="1303">
        <f t="shared" si="0"/>
        <v>100</v>
      </c>
      <c r="T12" s="1302" t="s">
        <v>5</v>
      </c>
      <c r="U12" s="1303">
        <f t="shared" si="1"/>
        <v>100</v>
      </c>
      <c r="V12" s="1302" t="s">
        <v>5</v>
      </c>
      <c r="W12" s="1303">
        <f t="shared" si="2"/>
        <v>100</v>
      </c>
      <c r="X12" s="1304"/>
      <c r="Y12" s="3660"/>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1"/>
      <c r="Q13" s="816" t="str">
        <f t="shared" si="6"/>
        <v>容积率</v>
      </c>
      <c r="R13" s="1302" t="s">
        <v>5</v>
      </c>
      <c r="S13" s="1303">
        <f t="shared" si="0"/>
        <v>100</v>
      </c>
      <c r="T13" s="1302" t="s">
        <v>5</v>
      </c>
      <c r="U13" s="1303">
        <f t="shared" si="1"/>
        <v>100</v>
      </c>
      <c r="V13" s="1302" t="s">
        <v>5</v>
      </c>
      <c r="W13" s="1303">
        <f t="shared" si="2"/>
        <v>100</v>
      </c>
      <c r="X13" s="1304"/>
      <c r="Y13" s="3660"/>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1"/>
      <c r="Q14" s="816">
        <f t="shared" si="6"/>
        <v>0</v>
      </c>
      <c r="R14" s="1302" t="s">
        <v>5</v>
      </c>
      <c r="S14" s="1303">
        <f t="shared" si="0"/>
        <v>100</v>
      </c>
      <c r="T14" s="1302" t="s">
        <v>5</v>
      </c>
      <c r="U14" s="1303">
        <f t="shared" si="1"/>
        <v>100</v>
      </c>
      <c r="V14" s="1302" t="s">
        <v>5</v>
      </c>
      <c r="W14" s="1303">
        <f t="shared" si="2"/>
        <v>100</v>
      </c>
      <c r="X14" s="1304"/>
      <c r="Y14" s="3660"/>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1"/>
      <c r="Q15" s="816">
        <f t="shared" si="6"/>
        <v>0</v>
      </c>
      <c r="R15" s="1302" t="s">
        <v>5</v>
      </c>
      <c r="S15" s="1303">
        <f t="shared" si="0"/>
        <v>100</v>
      </c>
      <c r="T15" s="1302" t="s">
        <v>5</v>
      </c>
      <c r="U15" s="1303">
        <f t="shared" si="1"/>
        <v>100</v>
      </c>
      <c r="V15" s="1302" t="s">
        <v>5</v>
      </c>
      <c r="W15" s="1303">
        <f t="shared" si="2"/>
        <v>100</v>
      </c>
      <c r="X15" s="1304"/>
      <c r="Y15" s="3660"/>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1"/>
      <c r="Q16" s="816">
        <f t="shared" si="6"/>
        <v>0</v>
      </c>
      <c r="R16" s="1302" t="s">
        <v>5</v>
      </c>
      <c r="S16" s="1303">
        <f t="shared" si="0"/>
        <v>100</v>
      </c>
      <c r="T16" s="1302" t="s">
        <v>5</v>
      </c>
      <c r="U16" s="1303">
        <f t="shared" si="1"/>
        <v>100</v>
      </c>
      <c r="V16" s="1302" t="s">
        <v>5</v>
      </c>
      <c r="W16" s="1303">
        <f t="shared" si="2"/>
        <v>100</v>
      </c>
      <c r="X16" s="1304"/>
      <c r="Y16" s="3660"/>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3" t="s">
        <v>489</v>
      </c>
      <c r="Q17" s="1305" t="str">
        <f t="shared" si="6"/>
        <v>产业集聚程度</v>
      </c>
      <c r="R17" s="1306" t="s">
        <v>5</v>
      </c>
      <c r="S17" s="1307">
        <f t="shared" si="0"/>
        <v>100</v>
      </c>
      <c r="T17" s="1306" t="s">
        <v>5</v>
      </c>
      <c r="U17" s="1307">
        <f t="shared" si="1"/>
        <v>100</v>
      </c>
      <c r="V17" s="1306" t="s">
        <v>5</v>
      </c>
      <c r="W17" s="1307">
        <f t="shared" si="2"/>
        <v>100</v>
      </c>
      <c r="X17" s="1301"/>
      <c r="Y17" s="3713"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14"/>
      <c r="Q18" s="1305"/>
      <c r="R18" s="1306"/>
      <c r="S18" s="1307"/>
      <c r="T18" s="1306"/>
      <c r="U18" s="1307"/>
      <c r="V18" s="1306"/>
      <c r="W18" s="1307"/>
      <c r="X18" s="1301"/>
      <c r="Y18" s="3714"/>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14"/>
      <c r="Q19" s="1305" t="str">
        <f>B19</f>
        <v>交通便捷度</v>
      </c>
      <c r="R19" s="1306" t="s">
        <v>5</v>
      </c>
      <c r="S19" s="1307">
        <f>F19</f>
        <v>100</v>
      </c>
      <c r="T19" s="1306" t="s">
        <v>5</v>
      </c>
      <c r="U19" s="1307">
        <f>H19</f>
        <v>100</v>
      </c>
      <c r="V19" s="1306" t="s">
        <v>5</v>
      </c>
      <c r="W19" s="1307">
        <f>J19</f>
        <v>100</v>
      </c>
      <c r="X19" s="1301"/>
      <c r="Y19" s="3714"/>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14"/>
      <c r="Q20" s="1305"/>
      <c r="R20" s="1306"/>
      <c r="S20" s="1307"/>
      <c r="T20" s="1306"/>
      <c r="U20" s="1307"/>
      <c r="V20" s="1306"/>
      <c r="W20" s="1307"/>
      <c r="X20" s="1301"/>
      <c r="Y20" s="3714"/>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14"/>
      <c r="Q21" s="1305" t="str">
        <f t="shared" ref="Q21:Q35" si="8">B21</f>
        <v>区域土地利用方向</v>
      </c>
      <c r="R21" s="1306" t="s">
        <v>5</v>
      </c>
      <c r="S21" s="1307">
        <f>F21</f>
        <v>100</v>
      </c>
      <c r="T21" s="1306" t="s">
        <v>5</v>
      </c>
      <c r="U21" s="1307">
        <f>H21</f>
        <v>100</v>
      </c>
      <c r="V21" s="1306" t="s">
        <v>5</v>
      </c>
      <c r="W21" s="1307">
        <f>J21</f>
        <v>100</v>
      </c>
      <c r="X21" s="1301"/>
      <c r="Y21" s="3714"/>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14"/>
      <c r="Q22" s="1305"/>
      <c r="R22" s="1306"/>
      <c r="S22" s="1307"/>
      <c r="T22" s="1306"/>
      <c r="U22" s="1307"/>
      <c r="V22" s="1306"/>
      <c r="W22" s="1307"/>
      <c r="X22" s="1301"/>
      <c r="Y22" s="3714"/>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14"/>
      <c r="Q23" s="1305" t="str">
        <f t="shared" si="8"/>
        <v>环境状况</v>
      </c>
      <c r="R23" s="1306" t="s">
        <v>5</v>
      </c>
      <c r="S23" s="1307">
        <f>F23</f>
        <v>100</v>
      </c>
      <c r="T23" s="1306" t="s">
        <v>5</v>
      </c>
      <c r="U23" s="1307">
        <f>H23</f>
        <v>100</v>
      </c>
      <c r="V23" s="1306" t="s">
        <v>5</v>
      </c>
      <c r="W23" s="1307">
        <f>J23</f>
        <v>100</v>
      </c>
      <c r="X23" s="1301"/>
      <c r="Y23" s="3714"/>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14"/>
      <c r="Q24" s="1305"/>
      <c r="R24" s="1306"/>
      <c r="S24" s="1307"/>
      <c r="T24" s="1306"/>
      <c r="U24" s="1307"/>
      <c r="V24" s="1306"/>
      <c r="W24" s="1307"/>
      <c r="X24" s="1301"/>
      <c r="Y24" s="3714"/>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14"/>
      <c r="Q25" s="816" t="str">
        <f t="shared" si="8"/>
        <v>公共配套设施</v>
      </c>
      <c r="R25" s="1302" t="s">
        <v>5</v>
      </c>
      <c r="S25" s="1303">
        <f>F25</f>
        <v>100</v>
      </c>
      <c r="T25" s="1302" t="s">
        <v>5</v>
      </c>
      <c r="U25" s="1303">
        <f>H25</f>
        <v>100</v>
      </c>
      <c r="V25" s="1302" t="s">
        <v>5</v>
      </c>
      <c r="W25" s="1303">
        <f>J25</f>
        <v>100</v>
      </c>
      <c r="X25" s="1304"/>
      <c r="Y25" s="3714"/>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14"/>
      <c r="Q26" s="816"/>
      <c r="R26" s="1302"/>
      <c r="S26" s="1303"/>
      <c r="T26" s="1302"/>
      <c r="U26" s="1303"/>
      <c r="V26" s="1302"/>
      <c r="W26" s="1303"/>
      <c r="X26" s="1304"/>
      <c r="Y26" s="3714"/>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14"/>
      <c r="Q27" s="816" t="str">
        <f>B27</f>
        <v>基础设施水平</v>
      </c>
      <c r="R27" s="1302" t="s">
        <v>5</v>
      </c>
      <c r="S27" s="1303">
        <f>F27</f>
        <v>100</v>
      </c>
      <c r="T27" s="1302" t="s">
        <v>5</v>
      </c>
      <c r="U27" s="1303">
        <f>H27</f>
        <v>100</v>
      </c>
      <c r="V27" s="1302" t="s">
        <v>5</v>
      </c>
      <c r="W27" s="1303">
        <f>J27</f>
        <v>100</v>
      </c>
      <c r="X27" s="1304"/>
      <c r="Y27" s="3714"/>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14"/>
      <c r="Q28" s="816"/>
      <c r="R28" s="1302"/>
      <c r="S28" s="1303"/>
      <c r="T28" s="1302"/>
      <c r="U28" s="1303"/>
      <c r="V28" s="1302"/>
      <c r="W28" s="1303"/>
      <c r="X28" s="1304"/>
      <c r="Y28" s="3714"/>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14"/>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14"/>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14"/>
      <c r="Q30" s="1305" t="str">
        <f t="shared" si="8"/>
        <v>毗邻道路的类型与等级</v>
      </c>
      <c r="R30" s="1306" t="s">
        <v>5</v>
      </c>
      <c r="S30" s="1307">
        <f t="shared" si="9"/>
        <v>100</v>
      </c>
      <c r="T30" s="1306" t="s">
        <v>5</v>
      </c>
      <c r="U30" s="1307">
        <f t="shared" si="10"/>
        <v>100</v>
      </c>
      <c r="V30" s="1306" t="s">
        <v>5</v>
      </c>
      <c r="W30" s="1307">
        <f t="shared" si="11"/>
        <v>100</v>
      </c>
      <c r="X30" s="1301"/>
      <c r="Y30" s="3714"/>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14"/>
      <c r="Q31" s="1305"/>
      <c r="R31" s="1306"/>
      <c r="S31" s="1307"/>
      <c r="T31" s="1306"/>
      <c r="U31" s="1307"/>
      <c r="V31" s="1306"/>
      <c r="W31" s="1307"/>
      <c r="X31" s="1301"/>
      <c r="Y31" s="3714"/>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14"/>
      <c r="Q32" s="1305" t="str">
        <f t="shared" si="8"/>
        <v>土地级别</v>
      </c>
      <c r="R32" s="1306" t="s">
        <v>5</v>
      </c>
      <c r="S32" s="1307">
        <f t="shared" si="9"/>
        <v>100</v>
      </c>
      <c r="T32" s="1306" t="s">
        <v>5</v>
      </c>
      <c r="U32" s="1307">
        <f t="shared" si="10"/>
        <v>100</v>
      </c>
      <c r="V32" s="1306" t="s">
        <v>5</v>
      </c>
      <c r="W32" s="1307">
        <f t="shared" si="11"/>
        <v>100</v>
      </c>
      <c r="X32" s="1301"/>
      <c r="Y32" s="3714"/>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14"/>
      <c r="Q33" s="1305">
        <f t="shared" si="8"/>
        <v>0</v>
      </c>
      <c r="R33" s="1306" t="s">
        <v>5</v>
      </c>
      <c r="S33" s="1307">
        <f t="shared" si="9"/>
        <v>100</v>
      </c>
      <c r="T33" s="1306" t="s">
        <v>5</v>
      </c>
      <c r="U33" s="1307">
        <f t="shared" si="10"/>
        <v>100</v>
      </c>
      <c r="V33" s="1306" t="s">
        <v>5</v>
      </c>
      <c r="W33" s="1307">
        <f t="shared" si="11"/>
        <v>100</v>
      </c>
      <c r="X33" s="1301"/>
      <c r="Y33" s="3714"/>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15" t="s">
        <v>499</v>
      </c>
      <c r="Q34" s="1305">
        <f t="shared" si="8"/>
        <v>0</v>
      </c>
      <c r="R34" s="1306" t="s">
        <v>5</v>
      </c>
      <c r="S34" s="1307">
        <f t="shared" si="9"/>
        <v>100</v>
      </c>
      <c r="T34" s="1306" t="s">
        <v>5</v>
      </c>
      <c r="U34" s="1307">
        <f t="shared" si="10"/>
        <v>100</v>
      </c>
      <c r="V34" s="1306" t="s">
        <v>5</v>
      </c>
      <c r="W34" s="1307">
        <f t="shared" si="11"/>
        <v>100</v>
      </c>
      <c r="X34" s="1301"/>
      <c r="Y34" s="3716"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16"/>
      <c r="Q35" s="1305">
        <f t="shared" si="8"/>
        <v>0</v>
      </c>
      <c r="R35" s="1309" t="s">
        <v>5</v>
      </c>
      <c r="S35" s="1310">
        <f t="shared" si="9"/>
        <v>100</v>
      </c>
      <c r="T35" s="1309" t="s">
        <v>5</v>
      </c>
      <c r="U35" s="1310">
        <f t="shared" si="10"/>
        <v>100</v>
      </c>
      <c r="V35" s="1309" t="s">
        <v>5</v>
      </c>
      <c r="W35" s="1310">
        <f t="shared" si="11"/>
        <v>100</v>
      </c>
      <c r="X35" s="1311"/>
      <c r="Y35" s="3716"/>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16"/>
      <c r="Q36" s="1305" t="str">
        <f>B36</f>
        <v>宗地面积</v>
      </c>
      <c r="R36" s="1306" t="s">
        <v>5</v>
      </c>
      <c r="S36" s="1307">
        <f t="shared" si="9"/>
        <v>100</v>
      </c>
      <c r="T36" s="1306" t="s">
        <v>5</v>
      </c>
      <c r="U36" s="1307">
        <f t="shared" si="10"/>
        <v>100</v>
      </c>
      <c r="V36" s="1306" t="s">
        <v>5</v>
      </c>
      <c r="W36" s="1307">
        <f t="shared" si="11"/>
        <v>100</v>
      </c>
      <c r="X36" s="1301"/>
      <c r="Y36" s="3716"/>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16"/>
      <c r="Q37" s="1305" t="str">
        <f t="shared" ref="Q37:Q42" si="13">B37</f>
        <v>宗地形状</v>
      </c>
      <c r="R37" s="1306" t="s">
        <v>5</v>
      </c>
      <c r="S37" s="1307">
        <f t="shared" si="9"/>
        <v>100</v>
      </c>
      <c r="T37" s="1306" t="s">
        <v>5</v>
      </c>
      <c r="U37" s="1307">
        <f t="shared" si="10"/>
        <v>100</v>
      </c>
      <c r="V37" s="1306" t="s">
        <v>5</v>
      </c>
      <c r="W37" s="1307">
        <f t="shared" si="11"/>
        <v>100</v>
      </c>
      <c r="X37" s="1301"/>
      <c r="Y37" s="3716"/>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16"/>
      <c r="Q38" s="1305" t="str">
        <f t="shared" si="13"/>
        <v>宗地开发程度</v>
      </c>
      <c r="R38" s="1302" t="s">
        <v>5</v>
      </c>
      <c r="S38" s="1303">
        <f t="shared" si="9"/>
        <v>100</v>
      </c>
      <c r="T38" s="1302" t="s">
        <v>5</v>
      </c>
      <c r="U38" s="1303">
        <f t="shared" si="10"/>
        <v>100</v>
      </c>
      <c r="V38" s="1302" t="s">
        <v>5</v>
      </c>
      <c r="W38" s="1303">
        <f t="shared" si="11"/>
        <v>100</v>
      </c>
      <c r="X38" s="1304"/>
      <c r="Y38" s="3716"/>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16" t="s">
        <v>499</v>
      </c>
      <c r="Q39" s="1305" t="str">
        <f t="shared" si="13"/>
        <v>工程地质条件</v>
      </c>
      <c r="R39" s="1306" t="s">
        <v>5</v>
      </c>
      <c r="S39" s="1307">
        <f t="shared" si="9"/>
        <v>100</v>
      </c>
      <c r="T39" s="1306" t="s">
        <v>5</v>
      </c>
      <c r="U39" s="1307">
        <f t="shared" si="10"/>
        <v>100</v>
      </c>
      <c r="V39" s="1306" t="s">
        <v>5</v>
      </c>
      <c r="W39" s="1307">
        <f t="shared" si="11"/>
        <v>100</v>
      </c>
      <c r="X39" s="1301"/>
      <c r="Y39" s="3716"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16"/>
      <c r="Q40" s="1305">
        <f t="shared" si="13"/>
        <v>0</v>
      </c>
      <c r="R40" s="1306" t="s">
        <v>5</v>
      </c>
      <c r="S40" s="1307">
        <f t="shared" si="9"/>
        <v>100</v>
      </c>
      <c r="T40" s="1306" t="s">
        <v>5</v>
      </c>
      <c r="U40" s="1307">
        <f t="shared" si="10"/>
        <v>100</v>
      </c>
      <c r="V40" s="1306" t="s">
        <v>5</v>
      </c>
      <c r="W40" s="1307">
        <f t="shared" si="11"/>
        <v>100</v>
      </c>
      <c r="X40" s="1301"/>
      <c r="Y40" s="3716"/>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16"/>
      <c r="Q41" s="1305">
        <f t="shared" si="13"/>
        <v>0</v>
      </c>
      <c r="R41" s="1306" t="s">
        <v>5</v>
      </c>
      <c r="S41" s="1307">
        <f t="shared" si="9"/>
        <v>100</v>
      </c>
      <c r="T41" s="1306" t="s">
        <v>5</v>
      </c>
      <c r="U41" s="1307">
        <f t="shared" si="10"/>
        <v>100</v>
      </c>
      <c r="V41" s="1306" t="s">
        <v>5</v>
      </c>
      <c r="W41" s="1307">
        <f t="shared" si="11"/>
        <v>100</v>
      </c>
      <c r="X41" s="1301"/>
      <c r="Y41" s="3716"/>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16"/>
      <c r="Q42" s="1305">
        <f t="shared" si="13"/>
        <v>0</v>
      </c>
      <c r="R42" s="1309" t="s">
        <v>5</v>
      </c>
      <c r="S42" s="1310">
        <f t="shared" si="9"/>
        <v>100</v>
      </c>
      <c r="T42" s="1309" t="s">
        <v>5</v>
      </c>
      <c r="U42" s="1310">
        <f t="shared" si="10"/>
        <v>100</v>
      </c>
      <c r="V42" s="1309" t="s">
        <v>5</v>
      </c>
      <c r="W42" s="1310">
        <f t="shared" si="11"/>
        <v>100</v>
      </c>
      <c r="X42" s="1311"/>
      <c r="Y42" s="3716"/>
      <c r="Z42" s="1312">
        <f t="shared" si="12"/>
        <v>0</v>
      </c>
      <c r="AA42" s="1308">
        <f t="shared" si="3"/>
        <v>1</v>
      </c>
      <c r="AB42" s="1308">
        <f t="shared" si="4"/>
        <v>1</v>
      </c>
      <c r="AC42" s="1308">
        <f t="shared" si="5"/>
        <v>1</v>
      </c>
    </row>
    <row r="43" spans="1:29" ht="15">
      <c r="A43" s="556" t="s">
        <v>505</v>
      </c>
      <c r="B43" s="557" t="s">
        <v>3280</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11" t="str">
        <f>A43</f>
        <v>成交单价</v>
      </c>
      <c r="Q43" s="3711"/>
      <c r="R43" s="3727">
        <f>E43</f>
        <v>8398</v>
      </c>
      <c r="S43" s="3727"/>
      <c r="T43" s="3727">
        <f>G43</f>
        <v>8276</v>
      </c>
      <c r="U43" s="3727"/>
      <c r="V43" s="3727">
        <f>I43</f>
        <v>10089</v>
      </c>
      <c r="W43" s="3727"/>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11" t="str">
        <f>A44</f>
        <v>比较价格（元/平方米）</v>
      </c>
      <c r="Q44" s="3711"/>
      <c r="R44" s="3735">
        <f>ROUND(PRODUCT(R43,AA9:AA42),0)</f>
        <v>8398</v>
      </c>
      <c r="S44" s="3735"/>
      <c r="T44" s="3735">
        <f>ROUND(PRODUCT(T43,AB9:AB42),0)</f>
        <v>8276</v>
      </c>
      <c r="U44" s="3735"/>
      <c r="V44" s="3735">
        <f>ROUND(PRODUCT(V43,AC9:AC42),0)</f>
        <v>10089</v>
      </c>
      <c r="W44" s="3735"/>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17" t="str">
        <f>A45</f>
        <v>估价对象XX用房的比较价格（楼面单价，元/平方米）</v>
      </c>
      <c r="Q45" s="3718"/>
      <c r="R45" s="3755">
        <f>ROUND(IF(D44="简单平均",AVERAGE(R44:W44),R44*F44+T44*H44+V44*J44),0)</f>
        <v>8921</v>
      </c>
      <c r="S45" s="3755"/>
      <c r="T45" s="3755"/>
      <c r="U45" s="3755"/>
      <c r="V45" s="3755"/>
      <c r="W45" s="3755"/>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1" t="s">
        <v>1640</v>
      </c>
      <c r="H52" s="3752"/>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1</v>
      </c>
      <c r="F53" s="1608">
        <f t="shared" ref="F53:F61" si="14">ROUND(B53*E53/10000,0)</f>
        <v>1</v>
      </c>
      <c r="G53" s="3753"/>
      <c r="H53" s="3754"/>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9316.8700000000008</v>
      </c>
      <c r="F62" s="591">
        <f>IF(B43="楼面地价",SUM(F53:F61),ROUND(C45*E62/10000,0))</f>
        <v>8312</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2" t="str">
        <f t="shared" ref="O66:Q66" si="22">YEAR(O64)&amp;"-"&amp;ROUNDUP(MONTH(O64)/3,0)</f>
        <v>2020-3</v>
      </c>
      <c r="P66" s="3472" t="str">
        <f t="shared" si="22"/>
        <v>2020-2</v>
      </c>
      <c r="Q66" s="3472"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f>项目基本情况!B13</f>
        <v>0</v>
      </c>
      <c r="D71" s="547" t="e">
        <f>#REF!</f>
        <v>#REF!</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workbookViewId="0">
      <pane ySplit="8" topLeftCell="A23" activePane="bottomLeft" state="frozen"/>
      <selection pane="bottomLeft" activeCell="B26" sqref="B26"/>
    </sheetView>
  </sheetViews>
  <sheetFormatPr defaultColWidth="9" defaultRowHeight="35.1" customHeight="1"/>
  <cols>
    <col min="1" max="1" width="10.125" style="3436" customWidth="1"/>
    <col min="2" max="2" width="7.125" style="3440" customWidth="1"/>
    <col min="3" max="4" width="8.375" style="3440" customWidth="1"/>
    <col min="5" max="5" width="30.625" style="3467" customWidth="1"/>
    <col min="6" max="6" width="12.625" style="3440" customWidth="1"/>
    <col min="7" max="7" width="18.875" style="3440" customWidth="1"/>
    <col min="8" max="8" width="9.125" style="3440" hidden="1" customWidth="1"/>
    <col min="9" max="11" width="14.625" style="3440" customWidth="1"/>
    <col min="12" max="12" width="12.5" style="3440" customWidth="1"/>
    <col min="13" max="13" width="12.5" style="3468" customWidth="1"/>
    <col min="14" max="14" width="36.125" style="3440" customWidth="1"/>
    <col min="15" max="16384" width="9" style="3440"/>
  </cols>
  <sheetData>
    <row r="1" spans="1:15" ht="35.1" customHeight="1">
      <c r="B1" s="3437" t="s">
        <v>1726</v>
      </c>
      <c r="C1" s="3437" t="s">
        <v>3662</v>
      </c>
      <c r="D1" s="3437" t="s">
        <v>3663</v>
      </c>
      <c r="E1" s="3438" t="s">
        <v>3664</v>
      </c>
      <c r="F1" s="3438" t="s">
        <v>3665</v>
      </c>
      <c r="G1" s="3438" t="s">
        <v>3666</v>
      </c>
      <c r="H1" s="3438" t="s">
        <v>3667</v>
      </c>
      <c r="I1" s="3438" t="s">
        <v>3668</v>
      </c>
      <c r="J1" s="3438" t="s">
        <v>3669</v>
      </c>
      <c r="K1" s="3438" t="s">
        <v>3670</v>
      </c>
      <c r="L1" s="3438" t="s">
        <v>3671</v>
      </c>
      <c r="M1" s="3439" t="s">
        <v>3672</v>
      </c>
      <c r="N1" s="3438" t="s">
        <v>3673</v>
      </c>
    </row>
    <row r="2" spans="1:15" ht="35.1" customHeight="1">
      <c r="A2" s="3436" t="s">
        <v>3674</v>
      </c>
      <c r="B2" s="3437">
        <v>1</v>
      </c>
      <c r="C2" s="3437">
        <v>2021</v>
      </c>
      <c r="D2" s="3437">
        <v>11</v>
      </c>
      <c r="E2" s="3438" t="s">
        <v>3675</v>
      </c>
      <c r="F2" s="3503" t="s">
        <v>3731</v>
      </c>
      <c r="G2" s="3438">
        <v>468.28</v>
      </c>
      <c r="H2" s="3438"/>
      <c r="I2" s="3441">
        <f>819904368.58/10000</f>
        <v>81990.436858000001</v>
      </c>
      <c r="J2" s="3438">
        <f>7515400349.64/10000</f>
        <v>751540.03496399999</v>
      </c>
      <c r="K2" s="3442">
        <f>SUM(I2:J2)</f>
        <v>833530.47182199999</v>
      </c>
      <c r="L2" s="3442">
        <f>K2/G2</f>
        <v>1779.9830695780304</v>
      </c>
      <c r="M2" s="3443">
        <f>ROUND(L2*$B$26/B28,0)</f>
        <v>3642</v>
      </c>
      <c r="N2" s="3438" t="s">
        <v>3677</v>
      </c>
    </row>
    <row r="3" spans="1:15" s="3449" customFormat="1" ht="34.5" customHeight="1">
      <c r="A3" s="3444"/>
      <c r="B3" s="3445">
        <v>2</v>
      </c>
      <c r="C3" s="3445">
        <v>2021</v>
      </c>
      <c r="D3" s="3445">
        <v>3</v>
      </c>
      <c r="E3" s="3446" t="s">
        <v>3678</v>
      </c>
      <c r="F3" s="3445" t="s">
        <v>3679</v>
      </c>
      <c r="G3" s="3446">
        <v>22.65</v>
      </c>
      <c r="H3" s="3446"/>
      <c r="I3" s="3446">
        <v>13508.16</v>
      </c>
      <c r="J3" s="3446">
        <v>254119.46</v>
      </c>
      <c r="K3" s="3447">
        <f>SUM(I3:J3)</f>
        <v>267627.62</v>
      </c>
      <c r="L3" s="3447">
        <f>K3/G3</f>
        <v>11815.788962472407</v>
      </c>
      <c r="M3" s="3448">
        <f>ROUND(L3*$B$26/B25,0)</f>
        <v>8276</v>
      </c>
      <c r="N3" s="3446" t="s">
        <v>3677</v>
      </c>
    </row>
    <row r="4" spans="1:15" s="3449" customFormat="1" ht="35.1" customHeight="1">
      <c r="A4" s="3444" t="s">
        <v>3680</v>
      </c>
      <c r="B4" s="3445">
        <v>3</v>
      </c>
      <c r="C4" s="3445">
        <v>2021</v>
      </c>
      <c r="D4" s="3445">
        <v>7</v>
      </c>
      <c r="E4" s="3446" t="s">
        <v>3681</v>
      </c>
      <c r="F4" s="3445" t="s">
        <v>3682</v>
      </c>
      <c r="G4" s="3446">
        <v>50.75</v>
      </c>
      <c r="H4" s="3446"/>
      <c r="I4" s="3446">
        <v>27401.06</v>
      </c>
      <c r="J4" s="3446">
        <f>253764.03</f>
        <v>253764.03</v>
      </c>
      <c r="K4" s="3447">
        <f>SUM(I4:J4)</f>
        <v>281165.09000000003</v>
      </c>
      <c r="L4" s="3450">
        <f>K4/G4+[7]成本法!$F$56</f>
        <v>11990.198817733992</v>
      </c>
      <c r="M4" s="3448">
        <f>ROUND(L4*$B$26/B25,0)</f>
        <v>8398</v>
      </c>
      <c r="N4" s="3446" t="s">
        <v>3683</v>
      </c>
    </row>
    <row r="5" spans="1:15" ht="35.1" customHeight="1">
      <c r="A5" s="3436" t="s">
        <v>3684</v>
      </c>
      <c r="B5" s="3437">
        <v>4</v>
      </c>
      <c r="C5" s="3437">
        <v>2021</v>
      </c>
      <c r="D5" s="3437">
        <v>3</v>
      </c>
      <c r="E5" s="3438" t="s">
        <v>3685</v>
      </c>
      <c r="F5" s="3438" t="s">
        <v>1156</v>
      </c>
      <c r="G5" s="3437">
        <v>147.41</v>
      </c>
      <c r="H5" s="3437">
        <v>9.25</v>
      </c>
      <c r="I5" s="3437">
        <v>153400</v>
      </c>
      <c r="J5" s="3437">
        <v>445700</v>
      </c>
      <c r="K5" s="3437">
        <f>SUM(I5:J5)</f>
        <v>599100</v>
      </c>
      <c r="L5" s="3442">
        <f t="shared" ref="L5:L7" si="0">K5/G5</f>
        <v>4064.1747506953398</v>
      </c>
      <c r="M5" s="3443">
        <f>ROUND(L5*$B$26/B31,0)</f>
        <v>21005</v>
      </c>
      <c r="N5" s="3438" t="s">
        <v>3677</v>
      </c>
    </row>
    <row r="6" spans="1:15" ht="35.1" customHeight="1">
      <c r="A6" s="3436" t="s">
        <v>3684</v>
      </c>
      <c r="B6" s="3437">
        <v>5</v>
      </c>
      <c r="C6" s="3451">
        <v>2021</v>
      </c>
      <c r="D6" s="3451"/>
      <c r="E6" s="3438" t="s">
        <v>3686</v>
      </c>
      <c r="F6" s="3438" t="s">
        <v>1156</v>
      </c>
      <c r="G6" s="3437">
        <v>14.27</v>
      </c>
      <c r="H6" s="3437" t="s">
        <v>3676</v>
      </c>
      <c r="I6" s="3437">
        <v>27745.940999999999</v>
      </c>
      <c r="J6" s="3437">
        <v>80611.956999999995</v>
      </c>
      <c r="K6" s="3437">
        <v>108357.898</v>
      </c>
      <c r="L6" s="3442">
        <f t="shared" si="0"/>
        <v>7593.4056061667834</v>
      </c>
      <c r="M6" s="3443">
        <f>ROUND(L6*$B$26/B31,0)</f>
        <v>39246</v>
      </c>
      <c r="N6" s="3438" t="s">
        <v>3677</v>
      </c>
    </row>
    <row r="7" spans="1:15" s="3456" customFormat="1" ht="35.1" customHeight="1">
      <c r="A7" s="3452" t="s">
        <v>3680</v>
      </c>
      <c r="B7" s="3453">
        <v>6</v>
      </c>
      <c r="C7" s="3453">
        <v>2020</v>
      </c>
      <c r="D7" s="3453">
        <v>10</v>
      </c>
      <c r="E7" s="3454" t="s">
        <v>3687</v>
      </c>
      <c r="F7" s="3453" t="s">
        <v>3688</v>
      </c>
      <c r="G7" s="3454">
        <v>8.4600000000000009</v>
      </c>
      <c r="H7" s="3454"/>
      <c r="I7" s="3454">
        <v>110467.13</v>
      </c>
      <c r="J7" s="3454">
        <v>52283.35</v>
      </c>
      <c r="K7" s="3455">
        <f>SUM(I7:J7)</f>
        <v>162750.48000000001</v>
      </c>
      <c r="L7" s="3455">
        <f t="shared" si="0"/>
        <v>19237.64539007092</v>
      </c>
      <c r="M7" s="3502">
        <f>ROUND(L7*$B$26/B26,0)</f>
        <v>19238</v>
      </c>
      <c r="N7" s="3454" t="s">
        <v>3689</v>
      </c>
    </row>
    <row r="8" spans="1:15" s="3501" customFormat="1" ht="35.1" customHeight="1" thickBot="1">
      <c r="A8" s="3494" t="s">
        <v>3674</v>
      </c>
      <c r="B8" s="3495">
        <v>7</v>
      </c>
      <c r="C8" s="3496">
        <v>2020</v>
      </c>
      <c r="D8" s="3496">
        <v>9</v>
      </c>
      <c r="E8" s="3496" t="s">
        <v>3690</v>
      </c>
      <c r="F8" s="3497" t="s">
        <v>3762</v>
      </c>
      <c r="G8" s="3496">
        <f>318-H8</f>
        <v>140</v>
      </c>
      <c r="H8" s="3496">
        <v>178</v>
      </c>
      <c r="I8" s="3496">
        <v>143896.98000000001</v>
      </c>
      <c r="J8" s="3496">
        <f>603585.19+193504.07</f>
        <v>797089.26</v>
      </c>
      <c r="K8" s="3496">
        <f>SUM(I8:J8)</f>
        <v>940986.24</v>
      </c>
      <c r="L8" s="3498">
        <f>I8/G8+J8/(G8+H8)</f>
        <v>3534.4055714285714</v>
      </c>
      <c r="M8" s="3499">
        <f>ROUND(L8*$B$26/B29,0)</f>
        <v>10089</v>
      </c>
      <c r="N8" s="3496" t="s">
        <v>3677</v>
      </c>
      <c r="O8" s="3500" t="s">
        <v>3691</v>
      </c>
    </row>
    <row r="9" spans="1:15" ht="35.1" customHeight="1">
      <c r="B9" s="3490">
        <v>8</v>
      </c>
      <c r="C9" s="3491">
        <v>2019</v>
      </c>
      <c r="D9" s="3491">
        <v>1</v>
      </c>
      <c r="E9" s="3491" t="s">
        <v>3692</v>
      </c>
      <c r="F9" s="3491" t="s">
        <v>3682</v>
      </c>
      <c r="G9" s="3491">
        <v>50.75</v>
      </c>
      <c r="H9" s="3491"/>
      <c r="I9" s="3491"/>
      <c r="J9" s="3491"/>
      <c r="K9" s="3491"/>
      <c r="L9" s="3492">
        <v>11725.86</v>
      </c>
      <c r="M9" s="3493">
        <f>ROUND(L9*$B$26/B25,0)</f>
        <v>8213</v>
      </c>
      <c r="N9" s="3491"/>
    </row>
    <row r="10" spans="1:15" ht="35.1" customHeight="1">
      <c r="A10" s="3436" t="s">
        <v>3693</v>
      </c>
      <c r="B10" s="3437">
        <v>9</v>
      </c>
      <c r="C10" s="3438">
        <v>2019</v>
      </c>
      <c r="D10" s="3438">
        <v>1</v>
      </c>
      <c r="E10" s="3438" t="s">
        <v>3694</v>
      </c>
      <c r="F10" s="3457" t="s">
        <v>3695</v>
      </c>
      <c r="G10" s="3438">
        <v>98.44</v>
      </c>
      <c r="H10" s="3438"/>
      <c r="I10" s="3438"/>
      <c r="J10" s="3438"/>
      <c r="K10" s="3438"/>
      <c r="L10" s="3442">
        <v>2649.61</v>
      </c>
      <c r="M10" s="3443"/>
      <c r="N10" s="3438"/>
    </row>
    <row r="11" spans="1:15" ht="35.1" customHeight="1">
      <c r="A11" s="3436" t="s">
        <v>3696</v>
      </c>
      <c r="B11" s="3437">
        <v>10</v>
      </c>
      <c r="C11" s="3438">
        <v>2019</v>
      </c>
      <c r="D11" s="3438">
        <v>1</v>
      </c>
      <c r="E11" s="3438" t="s">
        <v>3697</v>
      </c>
      <c r="F11" s="3437" t="s">
        <v>3698</v>
      </c>
      <c r="G11" s="3438">
        <v>12.82</v>
      </c>
      <c r="H11" s="3438"/>
      <c r="I11" s="3438"/>
      <c r="J11" s="3438"/>
      <c r="K11" s="3438"/>
      <c r="L11" s="3442">
        <v>39148.75</v>
      </c>
      <c r="M11" s="3443">
        <f>ROUND(L11*$B$26/B27,0)</f>
        <v>55716</v>
      </c>
      <c r="N11" s="3438"/>
      <c r="O11" s="3458" t="s">
        <v>3699</v>
      </c>
    </row>
    <row r="12" spans="1:15" ht="35.1" customHeight="1">
      <c r="A12" s="3436" t="s">
        <v>3674</v>
      </c>
      <c r="B12" s="3437">
        <v>11</v>
      </c>
      <c r="C12" s="3438">
        <v>2018</v>
      </c>
      <c r="D12" s="3438">
        <v>9</v>
      </c>
      <c r="E12" s="3438" t="s">
        <v>3700</v>
      </c>
      <c r="F12" s="3437" t="s">
        <v>3701</v>
      </c>
      <c r="G12" s="3438">
        <v>61.82</v>
      </c>
      <c r="H12" s="3438">
        <v>0</v>
      </c>
      <c r="I12" s="3438">
        <v>42500</v>
      </c>
      <c r="J12" s="3438">
        <v>153700</v>
      </c>
      <c r="K12" s="3438">
        <f>SUM(I12:J12)</f>
        <v>196200</v>
      </c>
      <c r="L12" s="3442">
        <f>K12/G12</f>
        <v>3173.7301844063409</v>
      </c>
      <c r="M12" s="3443">
        <f>ROUND(L12*$B$26/B28,0)</f>
        <v>6493</v>
      </c>
      <c r="N12" s="3438"/>
    </row>
    <row r="13" spans="1:15" ht="35.1" customHeight="1">
      <c r="A13" s="3436" t="s">
        <v>3696</v>
      </c>
      <c r="B13" s="3437">
        <v>12</v>
      </c>
      <c r="C13" s="3438">
        <v>2018</v>
      </c>
      <c r="D13" s="3438">
        <v>3</v>
      </c>
      <c r="E13" s="3438" t="s">
        <v>3702</v>
      </c>
      <c r="F13" s="3437" t="s">
        <v>3698</v>
      </c>
      <c r="G13" s="3438">
        <v>252.99</v>
      </c>
      <c r="H13" s="3438"/>
      <c r="I13" s="3438"/>
      <c r="J13" s="3438"/>
      <c r="K13" s="3438"/>
      <c r="L13" s="3442">
        <v>7132.82</v>
      </c>
      <c r="M13" s="3443">
        <f>ROUND(L13*$B$26/B27,0)</f>
        <v>10151</v>
      </c>
      <c r="N13" s="3438"/>
    </row>
    <row r="14" spans="1:15" ht="35.1" customHeight="1">
      <c r="B14" s="3437">
        <v>13</v>
      </c>
      <c r="C14" s="3438">
        <v>2018</v>
      </c>
      <c r="D14" s="3438">
        <v>2</v>
      </c>
      <c r="E14" s="3438" t="s">
        <v>3703</v>
      </c>
      <c r="F14" s="3438"/>
      <c r="G14" s="3438">
        <v>93.71</v>
      </c>
      <c r="H14" s="3438"/>
      <c r="I14" s="3438"/>
      <c r="J14" s="3438"/>
      <c r="K14" s="3438"/>
      <c r="L14" s="3442">
        <v>10857.14</v>
      </c>
      <c r="M14" s="3443"/>
      <c r="N14" s="3438"/>
    </row>
    <row r="15" spans="1:15" ht="35.1" customHeight="1">
      <c r="A15" s="3436" t="s">
        <v>3674</v>
      </c>
      <c r="B15" s="3437">
        <v>14</v>
      </c>
      <c r="C15" s="3438">
        <v>2018</v>
      </c>
      <c r="D15" s="3438">
        <v>2</v>
      </c>
      <c r="E15" s="3438" t="s">
        <v>3704</v>
      </c>
      <c r="F15" s="3437" t="s">
        <v>3701</v>
      </c>
      <c r="G15" s="3438">
        <v>61.82</v>
      </c>
      <c r="H15" s="3438"/>
      <c r="I15" s="3438"/>
      <c r="J15" s="3438"/>
      <c r="K15" s="3438"/>
      <c r="L15" s="3442">
        <v>3331.71</v>
      </c>
      <c r="M15" s="3443">
        <f>ROUND(L15*$B$26/B28,0)</f>
        <v>6816</v>
      </c>
      <c r="N15" s="3438"/>
    </row>
    <row r="16" spans="1:15" s="3456" customFormat="1" ht="35.1" customHeight="1">
      <c r="A16" s="3452" t="s">
        <v>3680</v>
      </c>
      <c r="B16" s="3453">
        <v>15</v>
      </c>
      <c r="C16" s="3453">
        <v>2018</v>
      </c>
      <c r="D16" s="3453">
        <v>12</v>
      </c>
      <c r="E16" s="3454" t="s">
        <v>3705</v>
      </c>
      <c r="F16" s="3453" t="s">
        <v>3688</v>
      </c>
      <c r="G16" s="3453">
        <v>66.48</v>
      </c>
      <c r="H16" s="3459"/>
      <c r="I16" s="3453">
        <v>52052</v>
      </c>
      <c r="J16" s="3453">
        <v>407351</v>
      </c>
      <c r="K16" s="3453">
        <f>SUM(I16:J16)</f>
        <v>459403</v>
      </c>
      <c r="L16" s="3455">
        <f>K16/G16</f>
        <v>6910.3941034897707</v>
      </c>
      <c r="M16" s="3502">
        <f>ROUND(L16*$B$26/B26,0)</f>
        <v>6910</v>
      </c>
      <c r="N16" s="3454" t="s">
        <v>3706</v>
      </c>
    </row>
    <row r="17" spans="1:14" s="3456" customFormat="1" ht="35.1" customHeight="1">
      <c r="A17" s="3452" t="s">
        <v>3680</v>
      </c>
      <c r="B17" s="3453">
        <v>16</v>
      </c>
      <c r="C17" s="3453">
        <v>2018</v>
      </c>
      <c r="D17" s="3454" t="s">
        <v>3707</v>
      </c>
      <c r="E17" s="3454" t="s">
        <v>3708</v>
      </c>
      <c r="F17" s="3453" t="s">
        <v>3698</v>
      </c>
      <c r="G17" s="3453">
        <v>73.94</v>
      </c>
      <c r="H17" s="3459"/>
      <c r="I17" s="3453">
        <v>60390.559999999998</v>
      </c>
      <c r="J17" s="3453">
        <v>332302.90999999997</v>
      </c>
      <c r="K17" s="3453">
        <f>SUM(I17:J17)</f>
        <v>392693.47</v>
      </c>
      <c r="L17" s="3455">
        <f>K17/G17</f>
        <v>5310.9747092236948</v>
      </c>
      <c r="M17" s="3502">
        <f>ROUND(L17*$B$26/B27,0)</f>
        <v>7559</v>
      </c>
      <c r="N17" s="3454" t="s">
        <v>3709</v>
      </c>
    </row>
    <row r="18" spans="1:14" ht="35.1" customHeight="1">
      <c r="A18" s="3436" t="s">
        <v>3710</v>
      </c>
      <c r="B18" s="3437">
        <v>17</v>
      </c>
      <c r="C18" s="3437">
        <v>2018</v>
      </c>
      <c r="D18" s="3451">
        <v>3</v>
      </c>
      <c r="E18" s="3438" t="s">
        <v>3711</v>
      </c>
      <c r="F18" s="3437" t="s">
        <v>3698</v>
      </c>
      <c r="G18" s="3437">
        <v>214.34</v>
      </c>
      <c r="H18" s="3451"/>
      <c r="I18" s="3437">
        <v>410518</v>
      </c>
      <c r="J18" s="3437">
        <v>1480680.08</v>
      </c>
      <c r="K18" s="3437">
        <f>SUM(I18:J18)</f>
        <v>1891198.08</v>
      </c>
      <c r="L18" s="3442">
        <f>K18/G18</f>
        <v>8823.3557898665676</v>
      </c>
      <c r="M18" s="3443">
        <f>ROUND(L18*$B$26/B27,0)</f>
        <v>12557</v>
      </c>
      <c r="N18" s="3438"/>
    </row>
    <row r="19" spans="1:14" s="3465" customFormat="1" ht="35.1" customHeight="1">
      <c r="A19" s="3460" t="s">
        <v>3696</v>
      </c>
      <c r="B19" s="3461">
        <v>18</v>
      </c>
      <c r="C19" s="3461">
        <v>2018</v>
      </c>
      <c r="D19" s="3462">
        <v>8</v>
      </c>
      <c r="E19" s="3463" t="s">
        <v>3712</v>
      </c>
      <c r="F19" s="3461" t="s">
        <v>3698</v>
      </c>
      <c r="G19" s="3461"/>
      <c r="H19" s="3462"/>
      <c r="I19" s="3461"/>
      <c r="J19" s="3461"/>
      <c r="K19" s="3461"/>
      <c r="L19" s="3464">
        <v>7458.7</v>
      </c>
      <c r="M19" s="3443">
        <f>ROUND(L19*$B$26/B27,0)</f>
        <v>10615</v>
      </c>
      <c r="N19" s="3463"/>
    </row>
    <row r="20" spans="1:14" ht="35.1" customHeight="1">
      <c r="A20" s="3436" t="s">
        <v>3710</v>
      </c>
      <c r="B20" s="3437">
        <v>19</v>
      </c>
      <c r="C20" s="3437">
        <v>2018</v>
      </c>
      <c r="D20" s="3451"/>
      <c r="E20" s="3438" t="s">
        <v>3713</v>
      </c>
      <c r="F20" s="3437" t="s">
        <v>3698</v>
      </c>
      <c r="G20" s="3437">
        <v>22.71</v>
      </c>
      <c r="H20" s="3451"/>
      <c r="I20" s="3437">
        <v>51633.43</v>
      </c>
      <c r="J20" s="3437">
        <v>13738.56</v>
      </c>
      <c r="K20" s="3437">
        <f>SUM(I20:J20)</f>
        <v>65371.99</v>
      </c>
      <c r="L20" s="3442">
        <f>K20/G20</f>
        <v>2878.555261999119</v>
      </c>
      <c r="M20" s="3443">
        <f>ROUND(L20*$B$26/B27,0)</f>
        <v>4097</v>
      </c>
      <c r="N20" s="3438"/>
    </row>
    <row r="22" spans="1:14" ht="35.1" customHeight="1">
      <c r="A22" s="3466" t="s">
        <v>3714</v>
      </c>
      <c r="B22" s="3466"/>
      <c r="D22" s="3466" t="s">
        <v>3715</v>
      </c>
    </row>
    <row r="23" spans="1:14" ht="35.1" customHeight="1">
      <c r="A23" s="3466" t="s">
        <v>3716</v>
      </c>
      <c r="B23" s="3466">
        <f>'区片价-范围'!E6</f>
        <v>13780</v>
      </c>
      <c r="D23" s="3466">
        <v>1.5</v>
      </c>
    </row>
    <row r="24" spans="1:14" ht="35.1" customHeight="1">
      <c r="A24" s="3466" t="s">
        <v>3717</v>
      </c>
      <c r="B24" s="3466">
        <f>'区片价-范围'!E7</f>
        <v>10100</v>
      </c>
      <c r="D24" s="3466">
        <v>1.5</v>
      </c>
    </row>
    <row r="25" spans="1:14" ht="35.1" customHeight="1">
      <c r="A25" s="3466" t="s">
        <v>3718</v>
      </c>
      <c r="B25" s="3466">
        <f>'区片价-范围'!E8</f>
        <v>7010</v>
      </c>
      <c r="D25" s="3466">
        <v>1.5</v>
      </c>
    </row>
    <row r="26" spans="1:14" ht="35.1" customHeight="1">
      <c r="A26" s="3469" t="s">
        <v>3719</v>
      </c>
      <c r="B26" s="3469">
        <f>'区片价-范围'!E9</f>
        <v>4910</v>
      </c>
      <c r="C26" s="3470"/>
      <c r="D26" s="3469">
        <v>1.5</v>
      </c>
    </row>
    <row r="27" spans="1:14" ht="35.1" customHeight="1">
      <c r="A27" s="3466" t="s">
        <v>3720</v>
      </c>
      <c r="B27" s="3466">
        <f>'区片价-范围'!E10</f>
        <v>3450</v>
      </c>
      <c r="D27" s="3466">
        <v>1.5</v>
      </c>
    </row>
    <row r="28" spans="1:14" ht="35.1" customHeight="1">
      <c r="A28" s="3466" t="s">
        <v>3721</v>
      </c>
      <c r="B28" s="3466">
        <f>'区片价-范围'!E11</f>
        <v>2400</v>
      </c>
      <c r="D28" s="3466">
        <v>1.2</v>
      </c>
    </row>
    <row r="29" spans="1:14" ht="35.1" customHeight="1">
      <c r="A29" s="3466" t="s">
        <v>3722</v>
      </c>
      <c r="B29" s="3466">
        <f>'区片价-范围'!E12</f>
        <v>1720</v>
      </c>
      <c r="D29" s="3466">
        <v>1.2</v>
      </c>
    </row>
    <row r="30" spans="1:14" ht="35.1" customHeight="1">
      <c r="A30" s="3466" t="s">
        <v>3723</v>
      </c>
      <c r="B30" s="3466">
        <f>'区片价-范围'!E13</f>
        <v>1260</v>
      </c>
      <c r="D30" s="3466">
        <v>1</v>
      </c>
    </row>
    <row r="31" spans="1:14" ht="35.1" customHeight="1">
      <c r="A31" s="3466" t="s">
        <v>3724</v>
      </c>
      <c r="B31" s="3466">
        <f>'区片价-范围'!E14</f>
        <v>950</v>
      </c>
      <c r="D31" s="3466">
        <v>1</v>
      </c>
    </row>
    <row r="32" spans="1:14" ht="35.1" customHeight="1">
      <c r="A32" s="3466" t="s">
        <v>3725</v>
      </c>
      <c r="B32" s="3466">
        <f>'区片价-范围'!E15</f>
        <v>730</v>
      </c>
      <c r="D32" s="3466">
        <v>1</v>
      </c>
    </row>
    <row r="33" spans="1:4" ht="35.1" customHeight="1">
      <c r="A33" s="3466" t="s">
        <v>3726</v>
      </c>
      <c r="B33" s="3466">
        <f>'区片价-范围'!E16</f>
        <v>570</v>
      </c>
      <c r="D33" s="3466">
        <v>1</v>
      </c>
    </row>
    <row r="34" spans="1:4" ht="35.1" customHeight="1">
      <c r="A34" s="3466" t="s">
        <v>3727</v>
      </c>
      <c r="B34" s="3466">
        <f>'区片价-范围'!E17</f>
        <v>450</v>
      </c>
      <c r="D34" s="3466">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受贵公司委托，我公司对北京市划拨国有建设用地使用权市场价格进行了预评估。</v>
      </c>
    </row>
    <row r="5" spans="1:4" ht="18.75">
      <c r="A5" s="1490" t="s">
        <v>1429</v>
      </c>
    </row>
    <row r="6" spans="1:4" ht="56.2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估价对象为使用的、位于北京市划拨国有建设用地使用权。根据，估价对象（分摊）出让国有建设用地使用权面积为9316.87平方米。根据，估价对象规划建筑面积为1平方米。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18.75">
      <c r="A14" s="1487" t="str">
        <f>"根据"&amp;项目基本情况!F12&amp;"，本次评估估价对象证载（地类）用途为"&amp;项目基本情况!B12&amp;"。"</f>
        <v>根据，本次评估估价对象证载（地类）用途为。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根据，估价对象（分摊）出让国有建设用地使用权面积为9316.87平方米。根据，估价对象规划建筑面积为1平方米。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19" t="s">
        <v>471</v>
      </c>
      <c r="D4" s="3720"/>
      <c r="E4" s="3756" t="s">
        <v>472</v>
      </c>
      <c r="F4" s="3757"/>
      <c r="G4" s="3719" t="s">
        <v>473</v>
      </c>
      <c r="H4" s="3720"/>
      <c r="I4" s="3719" t="s">
        <v>474</v>
      </c>
      <c r="J4" s="3720"/>
      <c r="K4" s="785" t="s">
        <v>475</v>
      </c>
      <c r="L4" s="1740"/>
      <c r="M4" s="1741"/>
      <c r="N4" s="1741"/>
      <c r="O4" s="1741"/>
      <c r="P4" s="3721" t="s">
        <v>476</v>
      </c>
      <c r="Q4" s="3722"/>
      <c r="R4" s="3705" t="s">
        <v>472</v>
      </c>
      <c r="S4" s="3706"/>
      <c r="T4" s="3705" t="s">
        <v>473</v>
      </c>
      <c r="U4" s="3706"/>
      <c r="V4" s="3727" t="s">
        <v>474</v>
      </c>
      <c r="W4" s="3727"/>
      <c r="X4" s="1301"/>
      <c r="Y4" s="3705" t="s">
        <v>476</v>
      </c>
      <c r="Z4" s="3706"/>
      <c r="AA4" s="3700" t="s">
        <v>472</v>
      </c>
      <c r="AB4" s="3700" t="s">
        <v>473</v>
      </c>
      <c r="AC4" s="3700" t="s">
        <v>474</v>
      </c>
    </row>
    <row r="5" spans="1:29" ht="15">
      <c r="A5" s="466"/>
      <c r="B5" s="467"/>
      <c r="C5" s="3730" t="s">
        <v>2186</v>
      </c>
      <c r="D5" s="3731"/>
      <c r="E5" s="3758" t="s">
        <v>2187</v>
      </c>
      <c r="F5" s="3759"/>
      <c r="G5" s="3730" t="s">
        <v>2188</v>
      </c>
      <c r="H5" s="3731"/>
      <c r="I5" s="3730" t="s">
        <v>2189</v>
      </c>
      <c r="J5" s="3731"/>
      <c r="K5" s="786"/>
      <c r="L5" s="1740"/>
      <c r="M5" s="1741"/>
      <c r="N5" s="1741"/>
      <c r="O5" s="1741"/>
      <c r="P5" s="3723"/>
      <c r="Q5" s="3724"/>
      <c r="R5" s="3707"/>
      <c r="S5" s="3708"/>
      <c r="T5" s="3707"/>
      <c r="U5" s="3708"/>
      <c r="V5" s="3727"/>
      <c r="W5" s="3727"/>
      <c r="X5" s="1301"/>
      <c r="Y5" s="3707"/>
      <c r="Z5" s="3708"/>
      <c r="AA5" s="3701"/>
      <c r="AB5" s="3701"/>
      <c r="AC5" s="3701"/>
    </row>
    <row r="6" spans="1:29" ht="15.75" thickBot="1">
      <c r="A6" s="468"/>
      <c r="B6" s="469"/>
      <c r="C6" s="3728" t="s">
        <v>2190</v>
      </c>
      <c r="D6" s="3729"/>
      <c r="E6" s="3760" t="s">
        <v>2190</v>
      </c>
      <c r="F6" s="3761"/>
      <c r="G6" s="3728" t="s">
        <v>2190</v>
      </c>
      <c r="H6" s="3729"/>
      <c r="I6" s="3728" t="s">
        <v>2190</v>
      </c>
      <c r="J6" s="3729"/>
      <c r="K6" s="786" t="s">
        <v>477</v>
      </c>
      <c r="L6" s="1740"/>
      <c r="M6" s="1741"/>
      <c r="N6" s="1741"/>
      <c r="O6" s="1741"/>
      <c r="P6" s="3725"/>
      <c r="Q6" s="3726"/>
      <c r="R6" s="3707"/>
      <c r="S6" s="3708"/>
      <c r="T6" s="3709"/>
      <c r="U6" s="3710"/>
      <c r="V6" s="3727"/>
      <c r="W6" s="3727"/>
      <c r="X6" s="1301"/>
      <c r="Y6" s="3709"/>
      <c r="Z6" s="3710"/>
      <c r="AA6" s="3702"/>
      <c r="AB6" s="3702"/>
      <c r="AC6" s="3702"/>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03" t="s">
        <v>479</v>
      </c>
      <c r="Q7" s="3712"/>
      <c r="R7" s="1302" t="s">
        <v>10</v>
      </c>
      <c r="S7" s="1303">
        <f t="shared" ref="S7:S15" si="0">F7</f>
        <v>0</v>
      </c>
      <c r="T7" s="1302" t="s">
        <v>10</v>
      </c>
      <c r="U7" s="1303">
        <f t="shared" ref="U7:U15" si="1">H7</f>
        <v>0</v>
      </c>
      <c r="V7" s="1302" t="s">
        <v>10</v>
      </c>
      <c r="W7" s="1303">
        <f t="shared" ref="W7:W15"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03" t="s">
        <v>482</v>
      </c>
      <c r="Q8" s="3704"/>
      <c r="R8" s="1302" t="s">
        <v>10</v>
      </c>
      <c r="S8" s="1303">
        <f t="shared" si="0"/>
        <v>0</v>
      </c>
      <c r="T8" s="1302" t="s">
        <v>10</v>
      </c>
      <c r="U8" s="1303">
        <f t="shared" si="1"/>
        <v>0</v>
      </c>
      <c r="V8" s="1302" t="s">
        <v>10</v>
      </c>
      <c r="W8" s="1303">
        <f t="shared" si="2"/>
        <v>0</v>
      </c>
      <c r="X8" s="1304"/>
      <c r="Y8" s="3703" t="s">
        <v>482</v>
      </c>
      <c r="Z8" s="3704"/>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11" t="s">
        <v>484</v>
      </c>
      <c r="Q9" s="816" t="str">
        <f t="shared" ref="Q9:Q15" si="6">B9</f>
        <v>用途</v>
      </c>
      <c r="R9" s="1302" t="s">
        <v>5</v>
      </c>
      <c r="S9" s="1303">
        <f t="shared" si="0"/>
        <v>100</v>
      </c>
      <c r="T9" s="1302" t="s">
        <v>5</v>
      </c>
      <c r="U9" s="1303">
        <f t="shared" si="1"/>
        <v>100</v>
      </c>
      <c r="V9" s="1302" t="s">
        <v>5</v>
      </c>
      <c r="W9" s="1303">
        <f t="shared" si="2"/>
        <v>100</v>
      </c>
      <c r="X9" s="1304"/>
      <c r="Y9" s="3660"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6"/>
      <c r="F10" s="477">
        <f>SUMIF(65:65,E10,66:66)-SUMIF(65:65,C10,66:66)+100</f>
        <v>100</v>
      </c>
      <c r="G10" s="3385"/>
      <c r="H10" s="235">
        <f>SUMIF(65:65,G10,66:66)-SUMIF(65:65,C10,66:66)+100</f>
        <v>100</v>
      </c>
      <c r="I10" s="3385"/>
      <c r="J10" s="235">
        <f>SUMIF(65:65,I10,66:66)-SUMIF(65:65,C10,66:66)+100</f>
        <v>100</v>
      </c>
      <c r="K10" s="787"/>
      <c r="L10" s="1744"/>
      <c r="M10" s="1777"/>
      <c r="N10" s="1777"/>
      <c r="O10" s="1745"/>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11"/>
      <c r="Q11" s="816" t="str">
        <f t="shared" si="6"/>
        <v>容积率</v>
      </c>
      <c r="R11" s="1302" t="s">
        <v>8</v>
      </c>
      <c r="S11" s="1303" t="e">
        <f t="shared" si="0"/>
        <v>#N/A</v>
      </c>
      <c r="T11" s="1302" t="s">
        <v>8</v>
      </c>
      <c r="U11" s="1303" t="e">
        <f t="shared" si="1"/>
        <v>#N/A</v>
      </c>
      <c r="V11" s="1302" t="s">
        <v>8</v>
      </c>
      <c r="W11" s="1303" t="e">
        <f t="shared" si="2"/>
        <v>#N/A</v>
      </c>
      <c r="X11" s="1304"/>
      <c r="Y11" s="3660"/>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11"/>
      <c r="Q12" s="816">
        <f t="shared" si="6"/>
        <v>111</v>
      </c>
      <c r="R12" s="1302" t="s">
        <v>8</v>
      </c>
      <c r="S12" s="1303">
        <f t="shared" si="0"/>
        <v>100</v>
      </c>
      <c r="T12" s="1302" t="s">
        <v>8</v>
      </c>
      <c r="U12" s="1303">
        <f t="shared" si="1"/>
        <v>100</v>
      </c>
      <c r="V12" s="1302" t="s">
        <v>8</v>
      </c>
      <c r="W12" s="1303">
        <f t="shared" si="2"/>
        <v>100</v>
      </c>
      <c r="X12" s="1304"/>
      <c r="Y12" s="3660"/>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11"/>
      <c r="Q13" s="816">
        <f t="shared" si="6"/>
        <v>111</v>
      </c>
      <c r="R13" s="1302" t="s">
        <v>8</v>
      </c>
      <c r="S13" s="1303">
        <f t="shared" si="0"/>
        <v>100</v>
      </c>
      <c r="T13" s="1302" t="s">
        <v>8</v>
      </c>
      <c r="U13" s="1303">
        <f t="shared" si="1"/>
        <v>100</v>
      </c>
      <c r="V13" s="1302" t="s">
        <v>8</v>
      </c>
      <c r="W13" s="1303">
        <f t="shared" si="2"/>
        <v>100</v>
      </c>
      <c r="X13" s="1304"/>
      <c r="Y13" s="3660"/>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11"/>
      <c r="Q14" s="816">
        <f t="shared" si="6"/>
        <v>111</v>
      </c>
      <c r="R14" s="1302" t="s">
        <v>8</v>
      </c>
      <c r="S14" s="1303">
        <f t="shared" si="0"/>
        <v>100</v>
      </c>
      <c r="T14" s="1302" t="s">
        <v>8</v>
      </c>
      <c r="U14" s="1303">
        <f t="shared" si="1"/>
        <v>100</v>
      </c>
      <c r="V14" s="1302" t="s">
        <v>8</v>
      </c>
      <c r="W14" s="1303">
        <f t="shared" si="2"/>
        <v>100</v>
      </c>
      <c r="X14" s="1304"/>
      <c r="Y14" s="3660"/>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13" t="s">
        <v>489</v>
      </c>
      <c r="Q15" s="1305" t="str">
        <f t="shared" si="6"/>
        <v>居住社区成熟度</v>
      </c>
      <c r="R15" s="1306" t="s">
        <v>8</v>
      </c>
      <c r="S15" s="1307">
        <f t="shared" si="0"/>
        <v>100</v>
      </c>
      <c r="T15" s="1306" t="s">
        <v>8</v>
      </c>
      <c r="U15" s="1307">
        <f t="shared" si="1"/>
        <v>100</v>
      </c>
      <c r="V15" s="1306" t="s">
        <v>8</v>
      </c>
      <c r="W15" s="1307">
        <f t="shared" si="2"/>
        <v>100</v>
      </c>
      <c r="X15" s="1301"/>
      <c r="Y15" s="3713"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14"/>
      <c r="Q16" s="1305"/>
      <c r="R16" s="1306"/>
      <c r="S16" s="1307"/>
      <c r="T16" s="1306"/>
      <c r="U16" s="1307"/>
      <c r="V16" s="1306"/>
      <c r="W16" s="1307"/>
      <c r="X16" s="1301"/>
      <c r="Y16" s="3714"/>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14"/>
      <c r="Q17" s="1305" t="str">
        <f>B17</f>
        <v>交通便捷度</v>
      </c>
      <c r="R17" s="1306" t="s">
        <v>8</v>
      </c>
      <c r="S17" s="1307">
        <f>F17</f>
        <v>100</v>
      </c>
      <c r="T17" s="1306" t="s">
        <v>8</v>
      </c>
      <c r="U17" s="1307">
        <f>H17</f>
        <v>100</v>
      </c>
      <c r="V17" s="1306" t="s">
        <v>8</v>
      </c>
      <c r="W17" s="1307">
        <f>J17</f>
        <v>100</v>
      </c>
      <c r="X17" s="1301"/>
      <c r="Y17" s="3714"/>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14"/>
      <c r="Q18" s="1305"/>
      <c r="R18" s="1306"/>
      <c r="S18" s="1307"/>
      <c r="T18" s="1306"/>
      <c r="U18" s="1307"/>
      <c r="V18" s="1306"/>
      <c r="W18" s="1307"/>
      <c r="X18" s="1301"/>
      <c r="Y18" s="3714"/>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14"/>
      <c r="Q19" s="1305" t="str">
        <f>B19</f>
        <v>公共配套设施</v>
      </c>
      <c r="R19" s="1306" t="s">
        <v>8</v>
      </c>
      <c r="S19" s="1307">
        <f>F19</f>
        <v>100</v>
      </c>
      <c r="T19" s="1306" t="s">
        <v>8</v>
      </c>
      <c r="U19" s="1307">
        <f>H19</f>
        <v>100</v>
      </c>
      <c r="V19" s="1306" t="s">
        <v>8</v>
      </c>
      <c r="W19" s="1307">
        <f>J19</f>
        <v>100</v>
      </c>
      <c r="X19" s="1301"/>
      <c r="Y19" s="3714"/>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14"/>
      <c r="Q20" s="1305"/>
      <c r="R20" s="1306"/>
      <c r="S20" s="1307"/>
      <c r="T20" s="1306"/>
      <c r="U20" s="1307"/>
      <c r="V20" s="1306"/>
      <c r="W20" s="1307"/>
      <c r="X20" s="1301"/>
      <c r="Y20" s="3714"/>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14"/>
      <c r="Q21" s="1305" t="str">
        <f>B21</f>
        <v>基础设施水平</v>
      </c>
      <c r="R21" s="1306" t="s">
        <v>8</v>
      </c>
      <c r="S21" s="1307">
        <f>F21</f>
        <v>100</v>
      </c>
      <c r="T21" s="1306" t="s">
        <v>8</v>
      </c>
      <c r="U21" s="1307">
        <f>H21</f>
        <v>100</v>
      </c>
      <c r="V21" s="1306" t="s">
        <v>8</v>
      </c>
      <c r="W21" s="1307">
        <f>J21</f>
        <v>100</v>
      </c>
      <c r="X21" s="1301"/>
      <c r="Y21" s="3714"/>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14"/>
      <c r="Q22" s="1305"/>
      <c r="R22" s="1306"/>
      <c r="S22" s="1307"/>
      <c r="T22" s="1306"/>
      <c r="U22" s="1307"/>
      <c r="V22" s="1306"/>
      <c r="W22" s="1307"/>
      <c r="X22" s="1301"/>
      <c r="Y22" s="3714"/>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14"/>
      <c r="Q23" s="1305" t="str">
        <f>B23</f>
        <v>自然及人文环境</v>
      </c>
      <c r="R23" s="1306" t="s">
        <v>8</v>
      </c>
      <c r="S23" s="1307">
        <f>F23</f>
        <v>100</v>
      </c>
      <c r="T23" s="1306" t="s">
        <v>8</v>
      </c>
      <c r="U23" s="1307">
        <f>H23</f>
        <v>100</v>
      </c>
      <c r="V23" s="1306" t="s">
        <v>8</v>
      </c>
      <c r="W23" s="1307">
        <f>J23</f>
        <v>100</v>
      </c>
      <c r="X23" s="1301"/>
      <c r="Y23" s="3714"/>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14"/>
      <c r="Q24" s="1305"/>
      <c r="R24" s="1306"/>
      <c r="S24" s="1307"/>
      <c r="T24" s="1306"/>
      <c r="U24" s="1307"/>
      <c r="V24" s="1306"/>
      <c r="W24" s="1307"/>
      <c r="X24" s="1301"/>
      <c r="Y24" s="3714"/>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14"/>
      <c r="Q25" s="1305" t="str">
        <f t="shared" ref="Q25:Q46" si="8">B25</f>
        <v>楼层-1</v>
      </c>
      <c r="R25" s="1306" t="s">
        <v>8</v>
      </c>
      <c r="S25" s="1307">
        <f>F25</f>
        <v>100</v>
      </c>
      <c r="T25" s="1306" t="s">
        <v>8</v>
      </c>
      <c r="U25" s="1307">
        <f>H25</f>
        <v>100</v>
      </c>
      <c r="V25" s="1306" t="s">
        <v>8</v>
      </c>
      <c r="W25" s="1307">
        <f>J25</f>
        <v>100</v>
      </c>
      <c r="X25" s="1301"/>
      <c r="Y25" s="3714"/>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14"/>
      <c r="Q26" s="1305" t="str">
        <f t="shared" si="8"/>
        <v>朝向</v>
      </c>
      <c r="R26" s="1306" t="s">
        <v>8</v>
      </c>
      <c r="S26" s="1307">
        <f>F26</f>
        <v>100</v>
      </c>
      <c r="T26" s="1306" t="s">
        <v>8</v>
      </c>
      <c r="U26" s="1307">
        <f>H26</f>
        <v>100</v>
      </c>
      <c r="V26" s="1306" t="s">
        <v>8</v>
      </c>
      <c r="W26" s="1307">
        <f>J26</f>
        <v>100</v>
      </c>
      <c r="X26" s="1301"/>
      <c r="Y26" s="3714"/>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14"/>
      <c r="Q27" s="816" t="str">
        <f t="shared" si="8"/>
        <v>道路级别</v>
      </c>
      <c r="R27" s="1302" t="s">
        <v>8</v>
      </c>
      <c r="S27" s="1303">
        <f>F27</f>
        <v>100</v>
      </c>
      <c r="T27" s="1302" t="s">
        <v>8</v>
      </c>
      <c r="U27" s="1303">
        <f>H27</f>
        <v>100</v>
      </c>
      <c r="V27" s="1302" t="s">
        <v>8</v>
      </c>
      <c r="W27" s="1303">
        <f>J27</f>
        <v>100</v>
      </c>
      <c r="X27" s="1304"/>
      <c r="Y27" s="3714"/>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14"/>
      <c r="Q28" s="1305">
        <f t="shared" si="8"/>
        <v>111</v>
      </c>
      <c r="R28" s="1306" t="s">
        <v>8</v>
      </c>
      <c r="S28" s="1307">
        <f t="shared" ref="S28:S46" si="9">F28</f>
        <v>100</v>
      </c>
      <c r="T28" s="1306" t="s">
        <v>8</v>
      </c>
      <c r="U28" s="1307">
        <f t="shared" ref="U28:U46" si="10">H28</f>
        <v>100</v>
      </c>
      <c r="V28" s="1306" t="s">
        <v>8</v>
      </c>
      <c r="W28" s="1307">
        <f t="shared" ref="W28:W46" si="11">J28</f>
        <v>100</v>
      </c>
      <c r="X28" s="1301"/>
      <c r="Y28" s="3714"/>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14"/>
      <c r="Q29" s="1305">
        <f t="shared" si="8"/>
        <v>111</v>
      </c>
      <c r="R29" s="1306" t="s">
        <v>8</v>
      </c>
      <c r="S29" s="1307">
        <f t="shared" si="9"/>
        <v>100</v>
      </c>
      <c r="T29" s="1306" t="s">
        <v>8</v>
      </c>
      <c r="U29" s="1307">
        <f t="shared" si="10"/>
        <v>100</v>
      </c>
      <c r="V29" s="1306" t="s">
        <v>8</v>
      </c>
      <c r="W29" s="1307">
        <f t="shared" si="11"/>
        <v>100</v>
      </c>
      <c r="X29" s="1301"/>
      <c r="Y29" s="3714"/>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14"/>
      <c r="Q30" s="1305">
        <f t="shared" si="8"/>
        <v>111</v>
      </c>
      <c r="R30" s="1306" t="s">
        <v>8</v>
      </c>
      <c r="S30" s="1307">
        <f t="shared" si="9"/>
        <v>100</v>
      </c>
      <c r="T30" s="1306" t="s">
        <v>8</v>
      </c>
      <c r="U30" s="1307">
        <f t="shared" si="10"/>
        <v>100</v>
      </c>
      <c r="V30" s="1306" t="s">
        <v>8</v>
      </c>
      <c r="W30" s="1307">
        <f t="shared" si="11"/>
        <v>100</v>
      </c>
      <c r="X30" s="1301"/>
      <c r="Y30" s="3714"/>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14"/>
      <c r="Q31" s="1305">
        <f t="shared" si="8"/>
        <v>111</v>
      </c>
      <c r="R31" s="1306" t="s">
        <v>8</v>
      </c>
      <c r="S31" s="1307">
        <f t="shared" si="9"/>
        <v>100</v>
      </c>
      <c r="T31" s="1306" t="s">
        <v>8</v>
      </c>
      <c r="U31" s="1307">
        <f t="shared" si="10"/>
        <v>100</v>
      </c>
      <c r="V31" s="1306" t="s">
        <v>8</v>
      </c>
      <c r="W31" s="1307">
        <f t="shared" si="11"/>
        <v>100</v>
      </c>
      <c r="X31" s="1301"/>
      <c r="Y31" s="3714"/>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15" t="s">
        <v>499</v>
      </c>
      <c r="Q32" s="1305" t="str">
        <f t="shared" si="8"/>
        <v>建筑类型</v>
      </c>
      <c r="R32" s="1306" t="s">
        <v>8</v>
      </c>
      <c r="S32" s="1307">
        <f t="shared" si="9"/>
        <v>100</v>
      </c>
      <c r="T32" s="1306" t="s">
        <v>8</v>
      </c>
      <c r="U32" s="1307">
        <f t="shared" si="10"/>
        <v>100</v>
      </c>
      <c r="V32" s="1306" t="s">
        <v>8</v>
      </c>
      <c r="W32" s="1307">
        <f t="shared" si="11"/>
        <v>100</v>
      </c>
      <c r="X32" s="1301"/>
      <c r="Y32" s="3716"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16"/>
      <c r="Q33" s="817" t="str">
        <f t="shared" si="8"/>
        <v>项目建筑规模</v>
      </c>
      <c r="R33" s="1309" t="s">
        <v>8</v>
      </c>
      <c r="S33" s="1310" t="e">
        <f t="shared" si="9"/>
        <v>#N/A</v>
      </c>
      <c r="T33" s="1309" t="s">
        <v>8</v>
      </c>
      <c r="U33" s="1310" t="e">
        <f t="shared" si="10"/>
        <v>#N/A</v>
      </c>
      <c r="V33" s="1309" t="s">
        <v>8</v>
      </c>
      <c r="W33" s="1310" t="e">
        <f t="shared" si="11"/>
        <v>#N/A</v>
      </c>
      <c r="X33" s="1311"/>
      <c r="Y33" s="3716"/>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16"/>
      <c r="Q34" s="1305" t="str">
        <f t="shared" si="8"/>
        <v>建筑结构</v>
      </c>
      <c r="R34" s="1306" t="s">
        <v>8</v>
      </c>
      <c r="S34" s="1307">
        <f t="shared" si="9"/>
        <v>100</v>
      </c>
      <c r="T34" s="1306" t="s">
        <v>8</v>
      </c>
      <c r="U34" s="1307">
        <f t="shared" si="10"/>
        <v>100</v>
      </c>
      <c r="V34" s="1306" t="s">
        <v>8</v>
      </c>
      <c r="W34" s="1307">
        <f t="shared" si="11"/>
        <v>100</v>
      </c>
      <c r="X34" s="1301"/>
      <c r="Y34" s="3716"/>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16"/>
      <c r="Q35" s="1305" t="str">
        <f t="shared" si="8"/>
        <v>建筑品质</v>
      </c>
      <c r="R35" s="1306" t="s">
        <v>8</v>
      </c>
      <c r="S35" s="1307">
        <f t="shared" si="9"/>
        <v>100</v>
      </c>
      <c r="T35" s="1306" t="s">
        <v>8</v>
      </c>
      <c r="U35" s="1307">
        <f t="shared" si="10"/>
        <v>100</v>
      </c>
      <c r="V35" s="1306" t="s">
        <v>8</v>
      </c>
      <c r="W35" s="1307">
        <f t="shared" si="11"/>
        <v>100</v>
      </c>
      <c r="X35" s="1301"/>
      <c r="Y35" s="3716"/>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16"/>
      <c r="Q36" s="1305" t="str">
        <f t="shared" si="8"/>
        <v>公共部分装修</v>
      </c>
      <c r="R36" s="1306" t="s">
        <v>8</v>
      </c>
      <c r="S36" s="1307">
        <f t="shared" si="9"/>
        <v>100</v>
      </c>
      <c r="T36" s="1306" t="s">
        <v>8</v>
      </c>
      <c r="U36" s="1307">
        <f t="shared" si="10"/>
        <v>100</v>
      </c>
      <c r="V36" s="1306" t="s">
        <v>8</v>
      </c>
      <c r="W36" s="1307">
        <f t="shared" si="11"/>
        <v>100</v>
      </c>
      <c r="X36" s="1301"/>
      <c r="Y36" s="3716"/>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16"/>
      <c r="Q37" s="816" t="str">
        <f t="shared" si="8"/>
        <v>成新度</v>
      </c>
      <c r="R37" s="1302" t="s">
        <v>8</v>
      </c>
      <c r="S37" s="1303" t="e">
        <f t="shared" si="9"/>
        <v>#N/A</v>
      </c>
      <c r="T37" s="1302" t="s">
        <v>8</v>
      </c>
      <c r="U37" s="1303" t="e">
        <f t="shared" si="10"/>
        <v>#N/A</v>
      </c>
      <c r="V37" s="1302" t="s">
        <v>8</v>
      </c>
      <c r="W37" s="1303" t="e">
        <f t="shared" si="11"/>
        <v>#N/A</v>
      </c>
      <c r="X37" s="1304"/>
      <c r="Y37" s="3716"/>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16" t="s">
        <v>499</v>
      </c>
      <c r="Q38" s="1305" t="str">
        <f t="shared" si="8"/>
        <v>物业管理</v>
      </c>
      <c r="R38" s="1306" t="s">
        <v>8</v>
      </c>
      <c r="S38" s="1307">
        <f t="shared" si="9"/>
        <v>100</v>
      </c>
      <c r="T38" s="1306" t="s">
        <v>8</v>
      </c>
      <c r="U38" s="1307">
        <f t="shared" si="10"/>
        <v>100</v>
      </c>
      <c r="V38" s="1306" t="s">
        <v>8</v>
      </c>
      <c r="W38" s="1307">
        <f t="shared" si="11"/>
        <v>100</v>
      </c>
      <c r="X38" s="1301"/>
      <c r="Y38" s="3716"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16"/>
      <c r="Q39" s="1305" t="str">
        <f t="shared" si="8"/>
        <v>市政基础设施</v>
      </c>
      <c r="R39" s="1306" t="s">
        <v>8</v>
      </c>
      <c r="S39" s="1307">
        <f t="shared" si="9"/>
        <v>100</v>
      </c>
      <c r="T39" s="1306" t="s">
        <v>8</v>
      </c>
      <c r="U39" s="1307">
        <f t="shared" si="10"/>
        <v>100</v>
      </c>
      <c r="V39" s="1306" t="s">
        <v>8</v>
      </c>
      <c r="W39" s="1307">
        <f t="shared" si="11"/>
        <v>100</v>
      </c>
      <c r="X39" s="1301"/>
      <c r="Y39" s="3716"/>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16"/>
      <c r="Q40" s="1305" t="str">
        <f t="shared" si="8"/>
        <v>房型</v>
      </c>
      <c r="R40" s="1306" t="s">
        <v>8</v>
      </c>
      <c r="S40" s="1307">
        <f t="shared" si="9"/>
        <v>100</v>
      </c>
      <c r="T40" s="1306" t="s">
        <v>8</v>
      </c>
      <c r="U40" s="1307">
        <f t="shared" si="10"/>
        <v>100</v>
      </c>
      <c r="V40" s="1306" t="s">
        <v>8</v>
      </c>
      <c r="W40" s="1307">
        <f t="shared" si="11"/>
        <v>100</v>
      </c>
      <c r="X40" s="1301"/>
      <c r="Y40" s="3716"/>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16"/>
      <c r="Q41" s="817" t="str">
        <f t="shared" si="8"/>
        <v>单套/主力户型建筑面积</v>
      </c>
      <c r="R41" s="1309" t="s">
        <v>8</v>
      </c>
      <c r="S41" s="1310">
        <f t="shared" si="9"/>
        <v>100</v>
      </c>
      <c r="T41" s="1309" t="s">
        <v>8</v>
      </c>
      <c r="U41" s="1310">
        <f t="shared" si="10"/>
        <v>100</v>
      </c>
      <c r="V41" s="1309" t="s">
        <v>8</v>
      </c>
      <c r="W41" s="1310">
        <f t="shared" si="11"/>
        <v>100</v>
      </c>
      <c r="X41" s="1311"/>
      <c r="Y41" s="3716"/>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16"/>
      <c r="Q42" s="1305" t="str">
        <f t="shared" si="8"/>
        <v>内部装修</v>
      </c>
      <c r="R42" s="1306" t="s">
        <v>8</v>
      </c>
      <c r="S42" s="1307">
        <f t="shared" si="9"/>
        <v>100</v>
      </c>
      <c r="T42" s="1306" t="s">
        <v>8</v>
      </c>
      <c r="U42" s="1307">
        <f t="shared" si="10"/>
        <v>100</v>
      </c>
      <c r="V42" s="1306" t="s">
        <v>8</v>
      </c>
      <c r="W42" s="1307">
        <f t="shared" si="11"/>
        <v>100</v>
      </c>
      <c r="X42" s="1301"/>
      <c r="Y42" s="3716"/>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16"/>
      <c r="Q43" s="1305" t="str">
        <f t="shared" si="8"/>
        <v>内部装修维护情况</v>
      </c>
      <c r="R43" s="1306" t="s">
        <v>8</v>
      </c>
      <c r="S43" s="1307">
        <f t="shared" si="9"/>
        <v>100</v>
      </c>
      <c r="T43" s="1306" t="s">
        <v>8</v>
      </c>
      <c r="U43" s="1307">
        <f t="shared" si="10"/>
        <v>100</v>
      </c>
      <c r="V43" s="1306" t="s">
        <v>8</v>
      </c>
      <c r="W43" s="1307">
        <f t="shared" si="11"/>
        <v>100</v>
      </c>
      <c r="X43" s="1301"/>
      <c r="Y43" s="3716"/>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16"/>
      <c r="Q44" s="816">
        <f t="shared" si="8"/>
        <v>111</v>
      </c>
      <c r="R44" s="1302" t="s">
        <v>8</v>
      </c>
      <c r="S44" s="1303">
        <f t="shared" si="9"/>
        <v>100</v>
      </c>
      <c r="T44" s="1302" t="s">
        <v>8</v>
      </c>
      <c r="U44" s="1303">
        <f t="shared" si="10"/>
        <v>100</v>
      </c>
      <c r="V44" s="1302" t="s">
        <v>8</v>
      </c>
      <c r="W44" s="1303">
        <f t="shared" si="11"/>
        <v>100</v>
      </c>
      <c r="X44" s="1304"/>
      <c r="Y44" s="3716"/>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16"/>
      <c r="Q45" s="1305">
        <f t="shared" si="8"/>
        <v>111</v>
      </c>
      <c r="R45" s="1306" t="s">
        <v>8</v>
      </c>
      <c r="S45" s="1307">
        <f t="shared" si="9"/>
        <v>100</v>
      </c>
      <c r="T45" s="1306" t="s">
        <v>8</v>
      </c>
      <c r="U45" s="1307">
        <f t="shared" si="10"/>
        <v>100</v>
      </c>
      <c r="V45" s="1306" t="s">
        <v>8</v>
      </c>
      <c r="W45" s="1307">
        <f t="shared" si="11"/>
        <v>100</v>
      </c>
      <c r="X45" s="1301"/>
      <c r="Y45" s="3716"/>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23"/>
      <c r="Q46" s="1305">
        <f t="shared" si="8"/>
        <v>111</v>
      </c>
      <c r="R46" s="1306" t="s">
        <v>7</v>
      </c>
      <c r="S46" s="1307">
        <f t="shared" si="9"/>
        <v>100</v>
      </c>
      <c r="T46" s="1306" t="s">
        <v>7</v>
      </c>
      <c r="U46" s="1307">
        <f t="shared" si="10"/>
        <v>100</v>
      </c>
      <c r="V46" s="1306" t="s">
        <v>7</v>
      </c>
      <c r="W46" s="1307">
        <f t="shared" si="11"/>
        <v>100</v>
      </c>
      <c r="X46" s="1301"/>
      <c r="Y46" s="3823"/>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11" t="str">
        <f>A47</f>
        <v>成交单价（元/平方米）</v>
      </c>
      <c r="Q47" s="3711"/>
      <c r="R47" s="3727">
        <f>E47</f>
        <v>0</v>
      </c>
      <c r="S47" s="3727"/>
      <c r="T47" s="3727">
        <f>G47</f>
        <v>0</v>
      </c>
      <c r="U47" s="3727"/>
      <c r="V47" s="3727">
        <f>I47</f>
        <v>0</v>
      </c>
      <c r="W47" s="3727"/>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1" t="str">
        <f>A48</f>
        <v>比较价格（元/平方米）</v>
      </c>
      <c r="Q48" s="3711"/>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17" t="str">
        <f>A49</f>
        <v>估价对象XX用房的比较价格（楼面单价，元/平方米）</v>
      </c>
      <c r="Q49" s="3718"/>
      <c r="R49" s="3822" t="e">
        <f>IF(F1="售价",ROUND(IF(D48="简单平均",AVERAGE(R48:V48),R48*F48+T48*H48+V48*J48),0),ROUND(IF(D48="简单平均",AVERAGE(R48:V48),R48*F48+T48*H48+V48*J48),1))</f>
        <v>#DIV/0!</v>
      </c>
      <c r="S49" s="3822"/>
      <c r="T49" s="3822"/>
      <c r="U49" s="3822"/>
      <c r="V49" s="3822"/>
      <c r="W49" s="3822"/>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19" t="s">
        <v>471</v>
      </c>
      <c r="D4" s="3720"/>
      <c r="E4" s="3756" t="s">
        <v>472</v>
      </c>
      <c r="F4" s="3757"/>
      <c r="G4" s="3719" t="s">
        <v>473</v>
      </c>
      <c r="H4" s="3720"/>
      <c r="I4" s="3719" t="s">
        <v>474</v>
      </c>
      <c r="J4" s="3720"/>
      <c r="K4" s="465" t="s">
        <v>475</v>
      </c>
      <c r="L4" s="1740"/>
      <c r="M4" s="1741"/>
      <c r="N4" s="1741"/>
      <c r="O4" s="1741"/>
      <c r="P4" s="3721" t="s">
        <v>476</v>
      </c>
      <c r="Q4" s="3722"/>
      <c r="R4" s="3705" t="s">
        <v>472</v>
      </c>
      <c r="S4" s="3706"/>
      <c r="T4" s="3705" t="s">
        <v>473</v>
      </c>
      <c r="U4" s="3706"/>
      <c r="V4" s="3727" t="s">
        <v>474</v>
      </c>
      <c r="W4" s="3727"/>
      <c r="X4" s="1301"/>
      <c r="Y4" s="3705" t="s">
        <v>476</v>
      </c>
      <c r="Z4" s="3706"/>
      <c r="AA4" s="3700" t="s">
        <v>472</v>
      </c>
      <c r="AB4" s="3727" t="s">
        <v>473</v>
      </c>
      <c r="AC4" s="3700" t="s">
        <v>474</v>
      </c>
    </row>
    <row r="5" spans="1:29" ht="15">
      <c r="A5" s="466"/>
      <c r="B5" s="467"/>
      <c r="C5" s="3730" t="s">
        <v>2186</v>
      </c>
      <c r="D5" s="3731"/>
      <c r="E5" s="3758" t="s">
        <v>2187</v>
      </c>
      <c r="F5" s="3759"/>
      <c r="G5" s="3730" t="s">
        <v>2188</v>
      </c>
      <c r="H5" s="3731"/>
      <c r="I5" s="3730" t="s">
        <v>2189</v>
      </c>
      <c r="J5" s="3731"/>
      <c r="K5" s="465"/>
      <c r="L5" s="1740"/>
      <c r="M5" s="1741"/>
      <c r="N5" s="1741"/>
      <c r="O5" s="1741"/>
      <c r="P5" s="3723"/>
      <c r="Q5" s="3724"/>
      <c r="R5" s="3707"/>
      <c r="S5" s="3708"/>
      <c r="T5" s="3707"/>
      <c r="U5" s="3708"/>
      <c r="V5" s="3727"/>
      <c r="W5" s="3727"/>
      <c r="X5" s="1301"/>
      <c r="Y5" s="3707"/>
      <c r="Z5" s="3708"/>
      <c r="AA5" s="3701"/>
      <c r="AB5" s="3727"/>
      <c r="AC5" s="3701"/>
    </row>
    <row r="6" spans="1:29" ht="15.75" thickBot="1">
      <c r="A6" s="468"/>
      <c r="B6" s="469"/>
      <c r="C6" s="3728" t="s">
        <v>2190</v>
      </c>
      <c r="D6" s="3729"/>
      <c r="E6" s="3760" t="s">
        <v>2190</v>
      </c>
      <c r="F6" s="3761"/>
      <c r="G6" s="3728" t="s">
        <v>2190</v>
      </c>
      <c r="H6" s="3729"/>
      <c r="I6" s="3728" t="s">
        <v>2190</v>
      </c>
      <c r="J6" s="3729"/>
      <c r="K6" s="465" t="s">
        <v>477</v>
      </c>
      <c r="L6" s="1740"/>
      <c r="M6" s="1741"/>
      <c r="N6" s="1741"/>
      <c r="O6" s="1741"/>
      <c r="P6" s="3725"/>
      <c r="Q6" s="3726"/>
      <c r="R6" s="3707"/>
      <c r="S6" s="3708"/>
      <c r="T6" s="3709"/>
      <c r="U6" s="3710"/>
      <c r="V6" s="3727"/>
      <c r="W6" s="3727"/>
      <c r="X6" s="1301"/>
      <c r="Y6" s="3709"/>
      <c r="Z6" s="3710"/>
      <c r="AA6" s="3702"/>
      <c r="AB6" s="3727"/>
      <c r="AC6" s="3702"/>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03" t="s">
        <v>479</v>
      </c>
      <c r="Q7" s="3712"/>
      <c r="R7" s="1302" t="s">
        <v>5</v>
      </c>
      <c r="S7" s="1303">
        <f t="shared" ref="S7:S15" si="0">F7</f>
        <v>0</v>
      </c>
      <c r="T7" s="1302" t="s">
        <v>5</v>
      </c>
      <c r="U7" s="1303">
        <f t="shared" ref="U7:U15" si="1">H7</f>
        <v>0</v>
      </c>
      <c r="V7" s="1302" t="s">
        <v>5</v>
      </c>
      <c r="W7" s="1303">
        <f t="shared" ref="W7:W15"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03" t="s">
        <v>482</v>
      </c>
      <c r="Q8" s="3704"/>
      <c r="R8" s="1302" t="s">
        <v>5</v>
      </c>
      <c r="S8" s="1303">
        <f t="shared" si="0"/>
        <v>0</v>
      </c>
      <c r="T8" s="1302" t="s">
        <v>5</v>
      </c>
      <c r="U8" s="1303">
        <f t="shared" si="1"/>
        <v>0</v>
      </c>
      <c r="V8" s="1302" t="s">
        <v>5</v>
      </c>
      <c r="W8" s="1303">
        <f t="shared" si="2"/>
        <v>0</v>
      </c>
      <c r="X8" s="1304"/>
      <c r="Y8" s="3703" t="s">
        <v>482</v>
      </c>
      <c r="Z8" s="3704"/>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11" t="s">
        <v>484</v>
      </c>
      <c r="Q9" s="816" t="str">
        <f t="shared" ref="Q9:Q15" si="6">B9</f>
        <v>用途</v>
      </c>
      <c r="R9" s="1302" t="s">
        <v>5</v>
      </c>
      <c r="S9" s="1303">
        <f t="shared" si="0"/>
        <v>100</v>
      </c>
      <c r="T9" s="1302" t="s">
        <v>5</v>
      </c>
      <c r="U9" s="1303">
        <f t="shared" si="1"/>
        <v>100</v>
      </c>
      <c r="V9" s="1302" t="s">
        <v>5</v>
      </c>
      <c r="W9" s="1303">
        <f t="shared" si="2"/>
        <v>100</v>
      </c>
      <c r="X9" s="1304"/>
      <c r="Y9" s="3660"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SUMIF(65:65,E10,66:66)-SUMIF(65:65,C10,66:66)+100</f>
        <v>100</v>
      </c>
      <c r="G10" s="3386"/>
      <c r="H10" s="235">
        <f>SUMIF(65:65,G10,66:66)-SUMIF(65:65,C10,66:66)+100</f>
        <v>100</v>
      </c>
      <c r="I10" s="3385"/>
      <c r="J10" s="235">
        <f>SUMIF(65:65,I10,66:66)-SUMIF(65:65,C10,66:66)+100</f>
        <v>100</v>
      </c>
      <c r="K10" s="88"/>
      <c r="L10" s="1744"/>
      <c r="M10" s="1777"/>
      <c r="N10" s="1777"/>
      <c r="O10" s="1745"/>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11"/>
      <c r="Q11" s="816" t="str">
        <f t="shared" si="6"/>
        <v>容积率</v>
      </c>
      <c r="R11" s="1302" t="s">
        <v>5</v>
      </c>
      <c r="S11" s="1303" t="e">
        <f t="shared" si="0"/>
        <v>#N/A</v>
      </c>
      <c r="T11" s="1302" t="s">
        <v>5</v>
      </c>
      <c r="U11" s="1303" t="e">
        <f t="shared" si="1"/>
        <v>#N/A</v>
      </c>
      <c r="V11" s="1302" t="s">
        <v>5</v>
      </c>
      <c r="W11" s="1303" t="e">
        <f t="shared" si="2"/>
        <v>#N/A</v>
      </c>
      <c r="X11" s="1304"/>
      <c r="Y11" s="3660"/>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11"/>
      <c r="Q12" s="816">
        <f t="shared" si="6"/>
        <v>111</v>
      </c>
      <c r="R12" s="1302" t="s">
        <v>5</v>
      </c>
      <c r="S12" s="1303">
        <f t="shared" si="0"/>
        <v>100</v>
      </c>
      <c r="T12" s="1302" t="s">
        <v>5</v>
      </c>
      <c r="U12" s="1303">
        <f t="shared" si="1"/>
        <v>100</v>
      </c>
      <c r="V12" s="1302" t="s">
        <v>5</v>
      </c>
      <c r="W12" s="1303">
        <f t="shared" si="2"/>
        <v>100</v>
      </c>
      <c r="X12" s="1304"/>
      <c r="Y12" s="3660"/>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11"/>
      <c r="Q13" s="816">
        <f t="shared" si="6"/>
        <v>111</v>
      </c>
      <c r="R13" s="1302" t="s">
        <v>5</v>
      </c>
      <c r="S13" s="1303">
        <f t="shared" si="0"/>
        <v>100</v>
      </c>
      <c r="T13" s="1302" t="s">
        <v>5</v>
      </c>
      <c r="U13" s="1303">
        <f t="shared" si="1"/>
        <v>100</v>
      </c>
      <c r="V13" s="1302" t="s">
        <v>5</v>
      </c>
      <c r="W13" s="1303">
        <f t="shared" si="2"/>
        <v>100</v>
      </c>
      <c r="X13" s="1304"/>
      <c r="Y13" s="3660"/>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11"/>
      <c r="Q14" s="816">
        <f t="shared" si="6"/>
        <v>111</v>
      </c>
      <c r="R14" s="1302" t="s">
        <v>5</v>
      </c>
      <c r="S14" s="1303">
        <f t="shared" si="0"/>
        <v>100</v>
      </c>
      <c r="T14" s="1302" t="s">
        <v>5</v>
      </c>
      <c r="U14" s="1303">
        <f t="shared" si="1"/>
        <v>100</v>
      </c>
      <c r="V14" s="1302" t="s">
        <v>5</v>
      </c>
      <c r="W14" s="1303">
        <f t="shared" si="2"/>
        <v>100</v>
      </c>
      <c r="X14" s="1304"/>
      <c r="Y14" s="3660"/>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13" t="s">
        <v>489</v>
      </c>
      <c r="Q15" s="1305" t="str">
        <f t="shared" si="6"/>
        <v>商业繁华度</v>
      </c>
      <c r="R15" s="1306" t="s">
        <v>5</v>
      </c>
      <c r="S15" s="1307">
        <f t="shared" si="0"/>
        <v>100</v>
      </c>
      <c r="T15" s="1306" t="s">
        <v>5</v>
      </c>
      <c r="U15" s="1307">
        <f t="shared" si="1"/>
        <v>100</v>
      </c>
      <c r="V15" s="1306" t="s">
        <v>5</v>
      </c>
      <c r="W15" s="1307">
        <f t="shared" si="2"/>
        <v>100</v>
      </c>
      <c r="X15" s="1301"/>
      <c r="Y15" s="3713"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14"/>
      <c r="Q16" s="1305"/>
      <c r="R16" s="1306"/>
      <c r="S16" s="1307"/>
      <c r="T16" s="1306"/>
      <c r="U16" s="1307"/>
      <c r="V16" s="1306"/>
      <c r="W16" s="1307"/>
      <c r="X16" s="1301"/>
      <c r="Y16" s="3714"/>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14"/>
      <c r="Q17" s="1305" t="str">
        <f>B17</f>
        <v>交通便捷度</v>
      </c>
      <c r="R17" s="1306" t="s">
        <v>5</v>
      </c>
      <c r="S17" s="1307">
        <f>F17</f>
        <v>100</v>
      </c>
      <c r="T17" s="1306" t="s">
        <v>5</v>
      </c>
      <c r="U17" s="1307">
        <f>H17</f>
        <v>100</v>
      </c>
      <c r="V17" s="1306" t="s">
        <v>5</v>
      </c>
      <c r="W17" s="1307">
        <f>J17</f>
        <v>100</v>
      </c>
      <c r="X17" s="1301"/>
      <c r="Y17" s="3714"/>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14"/>
      <c r="Q18" s="1305"/>
      <c r="R18" s="1306"/>
      <c r="S18" s="1307"/>
      <c r="T18" s="1306"/>
      <c r="U18" s="1307"/>
      <c r="V18" s="1306"/>
      <c r="W18" s="1307"/>
      <c r="X18" s="1301"/>
      <c r="Y18" s="3714"/>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14"/>
      <c r="Q19" s="1305" t="str">
        <f>B19</f>
        <v>公共配套设施</v>
      </c>
      <c r="R19" s="1306" t="s">
        <v>5</v>
      </c>
      <c r="S19" s="1307">
        <f>F19</f>
        <v>100</v>
      </c>
      <c r="T19" s="1306" t="s">
        <v>5</v>
      </c>
      <c r="U19" s="1307">
        <f>H19</f>
        <v>100</v>
      </c>
      <c r="V19" s="1306" t="s">
        <v>5</v>
      </c>
      <c r="W19" s="1307">
        <f>J19</f>
        <v>100</v>
      </c>
      <c r="X19" s="1301"/>
      <c r="Y19" s="3714"/>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14"/>
      <c r="Q20" s="1305"/>
      <c r="R20" s="1306"/>
      <c r="S20" s="1307"/>
      <c r="T20" s="1306"/>
      <c r="U20" s="1307"/>
      <c r="V20" s="1306"/>
      <c r="W20" s="1307"/>
      <c r="X20" s="1301"/>
      <c r="Y20" s="3714"/>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14"/>
      <c r="Q21" s="1305" t="str">
        <f>B21</f>
        <v>基础设施水平</v>
      </c>
      <c r="R21" s="1306" t="s">
        <v>5</v>
      </c>
      <c r="S21" s="1307">
        <f>F21</f>
        <v>100</v>
      </c>
      <c r="T21" s="1306" t="s">
        <v>5</v>
      </c>
      <c r="U21" s="1307">
        <f>H21</f>
        <v>100</v>
      </c>
      <c r="V21" s="1306" t="s">
        <v>5</v>
      </c>
      <c r="W21" s="1307">
        <f>J21</f>
        <v>100</v>
      </c>
      <c r="X21" s="1301"/>
      <c r="Y21" s="3714"/>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14"/>
      <c r="Q22" s="1305"/>
      <c r="R22" s="1306"/>
      <c r="S22" s="1307"/>
      <c r="T22" s="1306"/>
      <c r="U22" s="1307"/>
      <c r="V22" s="1306"/>
      <c r="W22" s="1307"/>
      <c r="X22" s="1301"/>
      <c r="Y22" s="3714"/>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14"/>
      <c r="Q23" s="1305" t="str">
        <f>B23</f>
        <v>自然及人文环境</v>
      </c>
      <c r="R23" s="1306" t="s">
        <v>5</v>
      </c>
      <c r="S23" s="1307">
        <f>F23</f>
        <v>100</v>
      </c>
      <c r="T23" s="1306" t="s">
        <v>5</v>
      </c>
      <c r="U23" s="1307">
        <f>H23</f>
        <v>100</v>
      </c>
      <c r="V23" s="1306" t="s">
        <v>5</v>
      </c>
      <c r="W23" s="1307">
        <f>J23</f>
        <v>100</v>
      </c>
      <c r="X23" s="1301"/>
      <c r="Y23" s="3714"/>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14"/>
      <c r="Q24" s="1305"/>
      <c r="R24" s="1306"/>
      <c r="S24" s="1307"/>
      <c r="T24" s="1306"/>
      <c r="U24" s="1307"/>
      <c r="V24" s="1306"/>
      <c r="W24" s="1307"/>
      <c r="X24" s="1301"/>
      <c r="Y24" s="3714"/>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14"/>
      <c r="Q25" s="1305" t="str">
        <f t="shared" ref="Q25:Q46" si="8">B25</f>
        <v>临街状况</v>
      </c>
      <c r="R25" s="1306" t="s">
        <v>5</v>
      </c>
      <c r="S25" s="1307">
        <f>F25</f>
        <v>100</v>
      </c>
      <c r="T25" s="1306" t="s">
        <v>5</v>
      </c>
      <c r="U25" s="1307">
        <f>H25</f>
        <v>100</v>
      </c>
      <c r="V25" s="1306" t="s">
        <v>5</v>
      </c>
      <c r="W25" s="1307">
        <f>J25</f>
        <v>100</v>
      </c>
      <c r="X25" s="1301"/>
      <c r="Y25" s="3714"/>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14"/>
      <c r="Q26" s="1305" t="str">
        <f t="shared" si="8"/>
        <v>平面位置/可视性</v>
      </c>
      <c r="R26" s="1306" t="s">
        <v>5</v>
      </c>
      <c r="S26" s="1307">
        <f>F26</f>
        <v>100</v>
      </c>
      <c r="T26" s="1306" t="s">
        <v>5</v>
      </c>
      <c r="U26" s="1307">
        <f>H26</f>
        <v>100</v>
      </c>
      <c r="V26" s="1306" t="s">
        <v>5</v>
      </c>
      <c r="W26" s="1307">
        <f>J26</f>
        <v>100</v>
      </c>
      <c r="X26" s="1301"/>
      <c r="Y26" s="3714"/>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14"/>
      <c r="Q27" s="816" t="str">
        <f t="shared" si="8"/>
        <v>人流量</v>
      </c>
      <c r="R27" s="1302" t="s">
        <v>5</v>
      </c>
      <c r="S27" s="1303">
        <f>F27</f>
        <v>100</v>
      </c>
      <c r="T27" s="1302" t="s">
        <v>5</v>
      </c>
      <c r="U27" s="1303">
        <f>H27</f>
        <v>100</v>
      </c>
      <c r="V27" s="1302" t="s">
        <v>5</v>
      </c>
      <c r="W27" s="1303">
        <f>J27</f>
        <v>100</v>
      </c>
      <c r="X27" s="1304"/>
      <c r="Y27" s="3714"/>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14"/>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14"/>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14"/>
      <c r="Q29" s="1305">
        <f t="shared" si="8"/>
        <v>111</v>
      </c>
      <c r="R29" s="1306" t="s">
        <v>5</v>
      </c>
      <c r="S29" s="1307">
        <f t="shared" si="9"/>
        <v>100</v>
      </c>
      <c r="T29" s="1306" t="s">
        <v>5</v>
      </c>
      <c r="U29" s="1307">
        <f t="shared" si="10"/>
        <v>100</v>
      </c>
      <c r="V29" s="1306" t="s">
        <v>5</v>
      </c>
      <c r="W29" s="1307">
        <f t="shared" si="11"/>
        <v>100</v>
      </c>
      <c r="X29" s="1301"/>
      <c r="Y29" s="3714"/>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14"/>
      <c r="Q30" s="1305">
        <f t="shared" si="8"/>
        <v>111</v>
      </c>
      <c r="R30" s="1306" t="s">
        <v>5</v>
      </c>
      <c r="S30" s="1307">
        <f t="shared" si="9"/>
        <v>100</v>
      </c>
      <c r="T30" s="1306" t="s">
        <v>5</v>
      </c>
      <c r="U30" s="1307">
        <f t="shared" si="10"/>
        <v>100</v>
      </c>
      <c r="V30" s="1306" t="s">
        <v>5</v>
      </c>
      <c r="W30" s="1307">
        <f t="shared" si="11"/>
        <v>100</v>
      </c>
      <c r="X30" s="1301"/>
      <c r="Y30" s="3714"/>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14"/>
      <c r="Q31" s="1305">
        <f t="shared" si="8"/>
        <v>111</v>
      </c>
      <c r="R31" s="1306" t="s">
        <v>5</v>
      </c>
      <c r="S31" s="1307">
        <f t="shared" si="9"/>
        <v>100</v>
      </c>
      <c r="T31" s="1306" t="s">
        <v>5</v>
      </c>
      <c r="U31" s="1307">
        <f t="shared" si="10"/>
        <v>100</v>
      </c>
      <c r="V31" s="1306" t="s">
        <v>5</v>
      </c>
      <c r="W31" s="1307">
        <f t="shared" si="11"/>
        <v>100</v>
      </c>
      <c r="X31" s="1301"/>
      <c r="Y31" s="3714"/>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15" t="s">
        <v>499</v>
      </c>
      <c r="Q32" s="1305" t="str">
        <f t="shared" si="8"/>
        <v>商业类型</v>
      </c>
      <c r="R32" s="1306" t="s">
        <v>5</v>
      </c>
      <c r="S32" s="1307">
        <f t="shared" si="9"/>
        <v>100</v>
      </c>
      <c r="T32" s="1306" t="s">
        <v>5</v>
      </c>
      <c r="U32" s="1307">
        <f t="shared" si="10"/>
        <v>100</v>
      </c>
      <c r="V32" s="1306" t="s">
        <v>5</v>
      </c>
      <c r="W32" s="1307">
        <f t="shared" si="11"/>
        <v>100</v>
      </c>
      <c r="X32" s="1301"/>
      <c r="Y32" s="3716"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16"/>
      <c r="Q33" s="817" t="str">
        <f t="shared" si="8"/>
        <v>项目建筑规模</v>
      </c>
      <c r="R33" s="1309" t="s">
        <v>5</v>
      </c>
      <c r="S33" s="1310" t="e">
        <f t="shared" si="9"/>
        <v>#N/A</v>
      </c>
      <c r="T33" s="1309" t="s">
        <v>5</v>
      </c>
      <c r="U33" s="1310" t="e">
        <f t="shared" si="10"/>
        <v>#N/A</v>
      </c>
      <c r="V33" s="1309" t="s">
        <v>5</v>
      </c>
      <c r="W33" s="1310" t="e">
        <f t="shared" si="11"/>
        <v>#N/A</v>
      </c>
      <c r="X33" s="1311"/>
      <c r="Y33" s="3716"/>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16"/>
      <c r="Q34" s="1305" t="str">
        <f t="shared" si="8"/>
        <v>建筑结构</v>
      </c>
      <c r="R34" s="1306" t="s">
        <v>5</v>
      </c>
      <c r="S34" s="1307">
        <f t="shared" si="9"/>
        <v>100</v>
      </c>
      <c r="T34" s="1306" t="s">
        <v>5</v>
      </c>
      <c r="U34" s="1307">
        <f t="shared" si="10"/>
        <v>100</v>
      </c>
      <c r="V34" s="1306" t="s">
        <v>5</v>
      </c>
      <c r="W34" s="1307">
        <f t="shared" si="11"/>
        <v>100</v>
      </c>
      <c r="X34" s="1301"/>
      <c r="Y34" s="3716"/>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16"/>
      <c r="Q35" s="1305" t="str">
        <f t="shared" si="8"/>
        <v>公共部分装修</v>
      </c>
      <c r="R35" s="1306" t="s">
        <v>5</v>
      </c>
      <c r="S35" s="1307">
        <f t="shared" si="9"/>
        <v>100</v>
      </c>
      <c r="T35" s="1306" t="s">
        <v>5</v>
      </c>
      <c r="U35" s="1307">
        <f t="shared" si="10"/>
        <v>100</v>
      </c>
      <c r="V35" s="1306" t="s">
        <v>5</v>
      </c>
      <c r="W35" s="1307">
        <f t="shared" si="11"/>
        <v>100</v>
      </c>
      <c r="X35" s="1301"/>
      <c r="Y35" s="3716"/>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16"/>
      <c r="Q36" s="1305" t="str">
        <f t="shared" si="8"/>
        <v>成新度</v>
      </c>
      <c r="R36" s="1306" t="s">
        <v>5</v>
      </c>
      <c r="S36" s="1307" t="e">
        <f t="shared" si="9"/>
        <v>#N/A</v>
      </c>
      <c r="T36" s="1306" t="s">
        <v>5</v>
      </c>
      <c r="U36" s="1307" t="e">
        <f t="shared" si="10"/>
        <v>#N/A</v>
      </c>
      <c r="V36" s="1306" t="s">
        <v>5</v>
      </c>
      <c r="W36" s="1307" t="e">
        <f t="shared" si="11"/>
        <v>#N/A</v>
      </c>
      <c r="X36" s="1301"/>
      <c r="Y36" s="3716"/>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16"/>
      <c r="Q37" s="816" t="str">
        <f t="shared" si="8"/>
        <v>市政基础设施</v>
      </c>
      <c r="R37" s="1302" t="s">
        <v>5</v>
      </c>
      <c r="S37" s="1303">
        <f t="shared" si="9"/>
        <v>100</v>
      </c>
      <c r="T37" s="1302" t="s">
        <v>5</v>
      </c>
      <c r="U37" s="1303">
        <f t="shared" si="10"/>
        <v>100</v>
      </c>
      <c r="V37" s="1302" t="s">
        <v>5</v>
      </c>
      <c r="W37" s="1303">
        <f t="shared" si="11"/>
        <v>100</v>
      </c>
      <c r="X37" s="1304"/>
      <c r="Y37" s="3716"/>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16" t="s">
        <v>706</v>
      </c>
      <c r="Q38" s="1305" t="str">
        <f t="shared" si="8"/>
        <v>业态</v>
      </c>
      <c r="R38" s="1306" t="s">
        <v>5</v>
      </c>
      <c r="S38" s="1307">
        <f t="shared" si="9"/>
        <v>100</v>
      </c>
      <c r="T38" s="1306" t="s">
        <v>5</v>
      </c>
      <c r="U38" s="1307">
        <f t="shared" si="10"/>
        <v>100</v>
      </c>
      <c r="V38" s="1306" t="s">
        <v>5</v>
      </c>
      <c r="W38" s="1307">
        <f t="shared" si="11"/>
        <v>100</v>
      </c>
      <c r="X38" s="1301"/>
      <c r="Y38" s="3716"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16"/>
      <c r="Q39" s="1305" t="str">
        <f t="shared" si="8"/>
        <v>层高</v>
      </c>
      <c r="R39" s="1306" t="s">
        <v>5</v>
      </c>
      <c r="S39" s="1307">
        <f t="shared" si="9"/>
        <v>100</v>
      </c>
      <c r="T39" s="1306" t="s">
        <v>5</v>
      </c>
      <c r="U39" s="1307">
        <f t="shared" si="10"/>
        <v>100</v>
      </c>
      <c r="V39" s="1306" t="s">
        <v>5</v>
      </c>
      <c r="W39" s="1307">
        <f t="shared" si="11"/>
        <v>100</v>
      </c>
      <c r="X39" s="1301"/>
      <c r="Y39" s="3716"/>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16"/>
      <c r="Q40" s="1305" t="str">
        <f t="shared" si="8"/>
        <v>单套建筑面积</v>
      </c>
      <c r="R40" s="1306" t="s">
        <v>5</v>
      </c>
      <c r="S40" s="1307">
        <f t="shared" si="9"/>
        <v>100</v>
      </c>
      <c r="T40" s="1306" t="s">
        <v>5</v>
      </c>
      <c r="U40" s="1307">
        <f t="shared" si="10"/>
        <v>100</v>
      </c>
      <c r="V40" s="1306" t="s">
        <v>5</v>
      </c>
      <c r="W40" s="1307">
        <f t="shared" si="11"/>
        <v>100</v>
      </c>
      <c r="X40" s="1301"/>
      <c r="Y40" s="3716"/>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16"/>
      <c r="Q41" s="817" t="str">
        <f t="shared" si="8"/>
        <v>进深比</v>
      </c>
      <c r="R41" s="1309" t="s">
        <v>5</v>
      </c>
      <c r="S41" s="1310">
        <f t="shared" si="9"/>
        <v>100</v>
      </c>
      <c r="T41" s="1309" t="s">
        <v>5</v>
      </c>
      <c r="U41" s="1310">
        <f t="shared" si="10"/>
        <v>100</v>
      </c>
      <c r="V41" s="1309" t="s">
        <v>5</v>
      </c>
      <c r="W41" s="1310">
        <f t="shared" si="11"/>
        <v>100</v>
      </c>
      <c r="X41" s="1311"/>
      <c r="Y41" s="3716"/>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16"/>
      <c r="Q42" s="1305" t="str">
        <f t="shared" si="8"/>
        <v>内部装修</v>
      </c>
      <c r="R42" s="1306" t="s">
        <v>5</v>
      </c>
      <c r="S42" s="1307">
        <f t="shared" si="9"/>
        <v>100</v>
      </c>
      <c r="T42" s="1306" t="s">
        <v>5</v>
      </c>
      <c r="U42" s="1307">
        <f t="shared" si="10"/>
        <v>100</v>
      </c>
      <c r="V42" s="1306" t="s">
        <v>5</v>
      </c>
      <c r="W42" s="1307">
        <f t="shared" si="11"/>
        <v>100</v>
      </c>
      <c r="X42" s="1301"/>
      <c r="Y42" s="3716"/>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16"/>
      <c r="Q43" s="1305" t="str">
        <f t="shared" si="8"/>
        <v>内部装修维护情况</v>
      </c>
      <c r="R43" s="1306" t="s">
        <v>5</v>
      </c>
      <c r="S43" s="1307">
        <f t="shared" si="9"/>
        <v>100</v>
      </c>
      <c r="T43" s="1306" t="s">
        <v>5</v>
      </c>
      <c r="U43" s="1307">
        <f t="shared" si="10"/>
        <v>100</v>
      </c>
      <c r="V43" s="1306" t="s">
        <v>5</v>
      </c>
      <c r="W43" s="1307">
        <f t="shared" si="11"/>
        <v>100</v>
      </c>
      <c r="X43" s="1301"/>
      <c r="Y43" s="3716"/>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16"/>
      <c r="Q44" s="816">
        <f t="shared" si="8"/>
        <v>111</v>
      </c>
      <c r="R44" s="1302" t="s">
        <v>5</v>
      </c>
      <c r="S44" s="1303">
        <f t="shared" si="9"/>
        <v>100</v>
      </c>
      <c r="T44" s="1302" t="s">
        <v>5</v>
      </c>
      <c r="U44" s="1303">
        <f t="shared" si="10"/>
        <v>100</v>
      </c>
      <c r="V44" s="1302" t="s">
        <v>5</v>
      </c>
      <c r="W44" s="1303">
        <f t="shared" si="11"/>
        <v>100</v>
      </c>
      <c r="X44" s="1304"/>
      <c r="Y44" s="3716"/>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16"/>
      <c r="Q45" s="1305">
        <f t="shared" si="8"/>
        <v>111</v>
      </c>
      <c r="R45" s="1306" t="s">
        <v>5</v>
      </c>
      <c r="S45" s="1307">
        <f t="shared" si="9"/>
        <v>100</v>
      </c>
      <c r="T45" s="1306" t="s">
        <v>5</v>
      </c>
      <c r="U45" s="1307">
        <f t="shared" si="10"/>
        <v>100</v>
      </c>
      <c r="V45" s="1306" t="s">
        <v>5</v>
      </c>
      <c r="W45" s="1307">
        <f t="shared" si="11"/>
        <v>100</v>
      </c>
      <c r="X45" s="1301"/>
      <c r="Y45" s="3716"/>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23"/>
      <c r="Q46" s="1305">
        <f t="shared" si="8"/>
        <v>111</v>
      </c>
      <c r="R46" s="1306" t="s">
        <v>5</v>
      </c>
      <c r="S46" s="1307">
        <f t="shared" si="9"/>
        <v>100</v>
      </c>
      <c r="T46" s="1306" t="s">
        <v>5</v>
      </c>
      <c r="U46" s="1307">
        <f t="shared" si="10"/>
        <v>100</v>
      </c>
      <c r="V46" s="1306" t="s">
        <v>5</v>
      </c>
      <c r="W46" s="1307">
        <f t="shared" si="11"/>
        <v>100</v>
      </c>
      <c r="X46" s="1301"/>
      <c r="Y46" s="3823"/>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11" t="str">
        <f>A47</f>
        <v>成交单价（元/平方米）</v>
      </c>
      <c r="Q47" s="3711"/>
      <c r="R47" s="3727">
        <f>E47</f>
        <v>0</v>
      </c>
      <c r="S47" s="3727"/>
      <c r="T47" s="3727">
        <f>G47</f>
        <v>0</v>
      </c>
      <c r="U47" s="3727"/>
      <c r="V47" s="3727">
        <f>I47</f>
        <v>0</v>
      </c>
      <c r="W47" s="3727"/>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1" t="str">
        <f>A48</f>
        <v>比较价格（元/平方米）</v>
      </c>
      <c r="Q48" s="3711"/>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17" t="str">
        <f>A49</f>
        <v>估价对象XX用房的比较价格（楼面单价，元/平方米）</v>
      </c>
      <c r="Q49" s="3718"/>
      <c r="R49" s="3822" t="e">
        <f>IF(F1="售价",ROUND(IF(D48="简单平均",AVERAGE(R48:V48),R48*F48+T48*H48+V48*J48),0),ROUND(IF(D48="简单平均",AVERAGE(R48:V48),R48*F48+T48*H48+V48*J48),1))</f>
        <v>#DIV/0!</v>
      </c>
      <c r="S49" s="3822"/>
      <c r="T49" s="3822"/>
      <c r="U49" s="3822"/>
      <c r="V49" s="3822"/>
      <c r="W49" s="3822"/>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19" t="s">
        <v>471</v>
      </c>
      <c r="D4" s="3720"/>
      <c r="E4" s="3756" t="s">
        <v>472</v>
      </c>
      <c r="F4" s="3757"/>
      <c r="G4" s="3719" t="s">
        <v>473</v>
      </c>
      <c r="H4" s="3720"/>
      <c r="I4" s="3719" t="s">
        <v>474</v>
      </c>
      <c r="J4" s="3720"/>
      <c r="K4" s="465" t="s">
        <v>475</v>
      </c>
      <c r="L4" s="1740"/>
      <c r="M4" s="1741"/>
      <c r="N4" s="1741"/>
      <c r="O4" s="1741"/>
      <c r="P4" s="3824" t="s">
        <v>476</v>
      </c>
      <c r="Q4" s="3722"/>
      <c r="R4" s="3705" t="s">
        <v>472</v>
      </c>
      <c r="S4" s="3706"/>
      <c r="T4" s="3705" t="s">
        <v>473</v>
      </c>
      <c r="U4" s="3706"/>
      <c r="V4" s="3727" t="s">
        <v>474</v>
      </c>
      <c r="W4" s="3727"/>
      <c r="X4" s="1301"/>
      <c r="Y4" s="3705" t="s">
        <v>476</v>
      </c>
      <c r="Z4" s="3706"/>
      <c r="AA4" s="3700" t="s">
        <v>472</v>
      </c>
      <c r="AB4" s="3700" t="s">
        <v>473</v>
      </c>
      <c r="AC4" s="3700" t="s">
        <v>474</v>
      </c>
    </row>
    <row r="5" spans="1:29" ht="15">
      <c r="A5" s="466"/>
      <c r="B5" s="467"/>
      <c r="C5" s="3730" t="s">
        <v>2186</v>
      </c>
      <c r="D5" s="3731"/>
      <c r="E5" s="3758" t="s">
        <v>2187</v>
      </c>
      <c r="F5" s="3759"/>
      <c r="G5" s="3730" t="s">
        <v>2188</v>
      </c>
      <c r="H5" s="3731"/>
      <c r="I5" s="3730" t="s">
        <v>2189</v>
      </c>
      <c r="J5" s="3731"/>
      <c r="K5" s="465"/>
      <c r="L5" s="1740"/>
      <c r="M5" s="1741"/>
      <c r="N5" s="1741"/>
      <c r="O5" s="1741"/>
      <c r="P5" s="3825"/>
      <c r="Q5" s="3724"/>
      <c r="R5" s="3707"/>
      <c r="S5" s="3708"/>
      <c r="T5" s="3707"/>
      <c r="U5" s="3708"/>
      <c r="V5" s="3727"/>
      <c r="W5" s="3727"/>
      <c r="X5" s="1301"/>
      <c r="Y5" s="3707"/>
      <c r="Z5" s="3708"/>
      <c r="AA5" s="3701"/>
      <c r="AB5" s="3701"/>
      <c r="AC5" s="3701"/>
    </row>
    <row r="6" spans="1:29" ht="15.75" thickBot="1">
      <c r="A6" s="468"/>
      <c r="B6" s="469"/>
      <c r="C6" s="3728" t="s">
        <v>2190</v>
      </c>
      <c r="D6" s="3729"/>
      <c r="E6" s="3760" t="s">
        <v>2190</v>
      </c>
      <c r="F6" s="3761"/>
      <c r="G6" s="3728" t="s">
        <v>2190</v>
      </c>
      <c r="H6" s="3729"/>
      <c r="I6" s="3728" t="s">
        <v>2190</v>
      </c>
      <c r="J6" s="3729"/>
      <c r="K6" s="465" t="s">
        <v>477</v>
      </c>
      <c r="L6" s="1740"/>
      <c r="M6" s="1741"/>
      <c r="N6" s="1741"/>
      <c r="O6" s="1741"/>
      <c r="P6" s="3826"/>
      <c r="Q6" s="3726"/>
      <c r="R6" s="3707"/>
      <c r="S6" s="3708"/>
      <c r="T6" s="3709"/>
      <c r="U6" s="3710"/>
      <c r="V6" s="3727"/>
      <c r="W6" s="3727"/>
      <c r="X6" s="1301"/>
      <c r="Y6" s="3709"/>
      <c r="Z6" s="3710"/>
      <c r="AA6" s="3702"/>
      <c r="AB6" s="3702"/>
      <c r="AC6" s="3702"/>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12" t="s">
        <v>479</v>
      </c>
      <c r="Q7" s="3712"/>
      <c r="R7" s="1302" t="s">
        <v>5</v>
      </c>
      <c r="S7" s="1303">
        <f t="shared" ref="S7:S15" si="0">F7</f>
        <v>0</v>
      </c>
      <c r="T7" s="1302" t="s">
        <v>5</v>
      </c>
      <c r="U7" s="1303">
        <f t="shared" ref="U7:U15" si="1">H7</f>
        <v>0</v>
      </c>
      <c r="V7" s="1302" t="s">
        <v>5</v>
      </c>
      <c r="W7" s="1303">
        <f t="shared" ref="W7:W15"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12" t="s">
        <v>482</v>
      </c>
      <c r="Q8" s="3704"/>
      <c r="R8" s="1302" t="s">
        <v>5</v>
      </c>
      <c r="S8" s="1303">
        <f t="shared" si="0"/>
        <v>0</v>
      </c>
      <c r="T8" s="1302" t="s">
        <v>5</v>
      </c>
      <c r="U8" s="1303">
        <f t="shared" si="1"/>
        <v>0</v>
      </c>
      <c r="V8" s="1302" t="s">
        <v>5</v>
      </c>
      <c r="W8" s="1303">
        <f t="shared" si="2"/>
        <v>0</v>
      </c>
      <c r="X8" s="1304"/>
      <c r="Y8" s="3703" t="s">
        <v>482</v>
      </c>
      <c r="Z8" s="3704"/>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11" t="s">
        <v>484</v>
      </c>
      <c r="Q9" s="816" t="str">
        <f t="shared" ref="Q9:Q15" si="6">B9</f>
        <v>用途</v>
      </c>
      <c r="R9" s="1302" t="s">
        <v>5</v>
      </c>
      <c r="S9" s="1303">
        <f t="shared" si="0"/>
        <v>100</v>
      </c>
      <c r="T9" s="1302" t="s">
        <v>5</v>
      </c>
      <c r="U9" s="1303">
        <f t="shared" si="1"/>
        <v>100</v>
      </c>
      <c r="V9" s="1302" t="s">
        <v>5</v>
      </c>
      <c r="W9" s="1303">
        <f t="shared" si="2"/>
        <v>100</v>
      </c>
      <c r="X9" s="1304"/>
      <c r="Y9" s="3660"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SUMIF(66:66,E10,67:67)-SUMIF(66:66,C10,67:67)+100</f>
        <v>100</v>
      </c>
      <c r="G10" s="3386"/>
      <c r="H10" s="235">
        <f>SUMIF(66:66,G10,67:67)-SUMIF(66:66,C10,67:67)+100</f>
        <v>100</v>
      </c>
      <c r="I10" s="3385"/>
      <c r="J10" s="235">
        <f>SUMIF(66:66,I10,67:67)-SUMIF(66:66,C10,67:67)+100</f>
        <v>100</v>
      </c>
      <c r="K10" s="88"/>
      <c r="L10" s="1744"/>
      <c r="M10" s="1777"/>
      <c r="N10" s="1777"/>
      <c r="O10" s="1777"/>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11"/>
      <c r="Q11" s="816" t="str">
        <f t="shared" si="6"/>
        <v>容积率</v>
      </c>
      <c r="R11" s="1302" t="s">
        <v>5</v>
      </c>
      <c r="S11" s="1303" t="e">
        <f t="shared" si="0"/>
        <v>#N/A</v>
      </c>
      <c r="T11" s="1302" t="s">
        <v>5</v>
      </c>
      <c r="U11" s="1303" t="e">
        <f t="shared" si="1"/>
        <v>#N/A</v>
      </c>
      <c r="V11" s="1302" t="s">
        <v>5</v>
      </c>
      <c r="W11" s="1303" t="e">
        <f t="shared" si="2"/>
        <v>#N/A</v>
      </c>
      <c r="X11" s="1304"/>
      <c r="Y11" s="3660"/>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11"/>
      <c r="Q12" s="816">
        <f t="shared" si="6"/>
        <v>111</v>
      </c>
      <c r="R12" s="1302" t="s">
        <v>5</v>
      </c>
      <c r="S12" s="1303">
        <f t="shared" si="0"/>
        <v>100</v>
      </c>
      <c r="T12" s="1302" t="s">
        <v>5</v>
      </c>
      <c r="U12" s="1303">
        <f t="shared" si="1"/>
        <v>100</v>
      </c>
      <c r="V12" s="1302" t="s">
        <v>5</v>
      </c>
      <c r="W12" s="1303">
        <f t="shared" si="2"/>
        <v>100</v>
      </c>
      <c r="X12" s="1304"/>
      <c r="Y12" s="3660"/>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11"/>
      <c r="Q13" s="816">
        <f t="shared" si="6"/>
        <v>111</v>
      </c>
      <c r="R13" s="1302" t="s">
        <v>5</v>
      </c>
      <c r="S13" s="1303">
        <f t="shared" si="0"/>
        <v>100</v>
      </c>
      <c r="T13" s="1302" t="s">
        <v>5</v>
      </c>
      <c r="U13" s="1303">
        <f t="shared" si="1"/>
        <v>100</v>
      </c>
      <c r="V13" s="1302" t="s">
        <v>5</v>
      </c>
      <c r="W13" s="1303">
        <f t="shared" si="2"/>
        <v>100</v>
      </c>
      <c r="X13" s="1304"/>
      <c r="Y13" s="3660"/>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11"/>
      <c r="Q14" s="816">
        <f t="shared" si="6"/>
        <v>111</v>
      </c>
      <c r="R14" s="1302" t="s">
        <v>5</v>
      </c>
      <c r="S14" s="1303">
        <f t="shared" si="0"/>
        <v>100</v>
      </c>
      <c r="T14" s="1302" t="s">
        <v>5</v>
      </c>
      <c r="U14" s="1303">
        <f t="shared" si="1"/>
        <v>100</v>
      </c>
      <c r="V14" s="1302" t="s">
        <v>5</v>
      </c>
      <c r="W14" s="1303">
        <f t="shared" si="2"/>
        <v>100</v>
      </c>
      <c r="X14" s="1304"/>
      <c r="Y14" s="3660"/>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13" t="s">
        <v>489</v>
      </c>
      <c r="Q15" s="1305" t="str">
        <f t="shared" si="6"/>
        <v>办公集聚程度</v>
      </c>
      <c r="R15" s="1306" t="s">
        <v>5</v>
      </c>
      <c r="S15" s="1307">
        <f t="shared" si="0"/>
        <v>100</v>
      </c>
      <c r="T15" s="1306" t="s">
        <v>5</v>
      </c>
      <c r="U15" s="1307">
        <f t="shared" si="1"/>
        <v>100</v>
      </c>
      <c r="V15" s="1306" t="s">
        <v>5</v>
      </c>
      <c r="W15" s="1307">
        <f t="shared" si="2"/>
        <v>100</v>
      </c>
      <c r="X15" s="1301"/>
      <c r="Y15" s="3713"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14"/>
      <c r="Q16" s="1305"/>
      <c r="R16" s="1306"/>
      <c r="S16" s="1307"/>
      <c r="T16" s="1306"/>
      <c r="U16" s="1307"/>
      <c r="V16" s="1306"/>
      <c r="W16" s="1307"/>
      <c r="X16" s="1301"/>
      <c r="Y16" s="3714"/>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14"/>
      <c r="Q17" s="1305" t="str">
        <f>B17</f>
        <v>交通便捷度</v>
      </c>
      <c r="R17" s="1306" t="s">
        <v>5</v>
      </c>
      <c r="S17" s="1307">
        <f>F17</f>
        <v>100</v>
      </c>
      <c r="T17" s="1306" t="s">
        <v>5</v>
      </c>
      <c r="U17" s="1307">
        <f>H17</f>
        <v>100</v>
      </c>
      <c r="V17" s="1306" t="s">
        <v>5</v>
      </c>
      <c r="W17" s="1307">
        <f>J17</f>
        <v>100</v>
      </c>
      <c r="X17" s="1301"/>
      <c r="Y17" s="3714"/>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14"/>
      <c r="Q18" s="1305"/>
      <c r="R18" s="1306"/>
      <c r="S18" s="1307"/>
      <c r="T18" s="1306"/>
      <c r="U18" s="1307"/>
      <c r="V18" s="1306"/>
      <c r="W18" s="1307"/>
      <c r="X18" s="1301"/>
      <c r="Y18" s="3714"/>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14"/>
      <c r="Q19" s="1305" t="str">
        <f>B19</f>
        <v>公共配套设施</v>
      </c>
      <c r="R19" s="1306" t="s">
        <v>5</v>
      </c>
      <c r="S19" s="1307">
        <f>F19</f>
        <v>100</v>
      </c>
      <c r="T19" s="1306" t="s">
        <v>5</v>
      </c>
      <c r="U19" s="1307">
        <f>H19</f>
        <v>100</v>
      </c>
      <c r="V19" s="1306" t="s">
        <v>5</v>
      </c>
      <c r="W19" s="1307">
        <f>J19</f>
        <v>100</v>
      </c>
      <c r="X19" s="1301"/>
      <c r="Y19" s="3714"/>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14"/>
      <c r="Q20" s="1305"/>
      <c r="R20" s="1306"/>
      <c r="S20" s="1307"/>
      <c r="T20" s="1306"/>
      <c r="U20" s="1307"/>
      <c r="V20" s="1306"/>
      <c r="W20" s="1307"/>
      <c r="X20" s="1301"/>
      <c r="Y20" s="3714"/>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14"/>
      <c r="Q21" s="1305" t="str">
        <f>B21</f>
        <v>基础设施水平</v>
      </c>
      <c r="R21" s="1306" t="s">
        <v>5</v>
      </c>
      <c r="S21" s="1307">
        <f>F21</f>
        <v>100</v>
      </c>
      <c r="T21" s="1306" t="s">
        <v>5</v>
      </c>
      <c r="U21" s="1307">
        <f>H21</f>
        <v>100</v>
      </c>
      <c r="V21" s="1306" t="s">
        <v>5</v>
      </c>
      <c r="W21" s="1307">
        <f>J21</f>
        <v>100</v>
      </c>
      <c r="X21" s="1301"/>
      <c r="Y21" s="3714"/>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14"/>
      <c r="Q22" s="1305"/>
      <c r="R22" s="1306"/>
      <c r="S22" s="1307"/>
      <c r="T22" s="1306"/>
      <c r="U22" s="1307"/>
      <c r="V22" s="1306"/>
      <c r="W22" s="1307"/>
      <c r="X22" s="1301"/>
      <c r="Y22" s="3714"/>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14"/>
      <c r="Q23" s="1305" t="str">
        <f>B23</f>
        <v>环境质量</v>
      </c>
      <c r="R23" s="1306" t="s">
        <v>5</v>
      </c>
      <c r="S23" s="1307">
        <f>F23</f>
        <v>100</v>
      </c>
      <c r="T23" s="1306" t="s">
        <v>5</v>
      </c>
      <c r="U23" s="1307">
        <f>H23</f>
        <v>100</v>
      </c>
      <c r="V23" s="1306" t="s">
        <v>5</v>
      </c>
      <c r="W23" s="1307">
        <f>J23</f>
        <v>100</v>
      </c>
      <c r="X23" s="1301"/>
      <c r="Y23" s="3714"/>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14"/>
      <c r="Q24" s="1305"/>
      <c r="R24" s="1306"/>
      <c r="S24" s="1307"/>
      <c r="T24" s="1306"/>
      <c r="U24" s="1307"/>
      <c r="V24" s="1306"/>
      <c r="W24" s="1307"/>
      <c r="X24" s="1301"/>
      <c r="Y24" s="3714"/>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14"/>
      <c r="Q25" s="1305" t="str">
        <f>B25</f>
        <v>毗邻道路的类型与等级</v>
      </c>
      <c r="R25" s="1306" t="s">
        <v>5</v>
      </c>
      <c r="S25" s="1307">
        <f>F25</f>
        <v>100</v>
      </c>
      <c r="T25" s="1306" t="s">
        <v>5</v>
      </c>
      <c r="U25" s="1307">
        <f>H25</f>
        <v>100</v>
      </c>
      <c r="V25" s="1306" t="s">
        <v>5</v>
      </c>
      <c r="W25" s="1307">
        <f>J25</f>
        <v>100</v>
      </c>
      <c r="X25" s="1301"/>
      <c r="Y25" s="3714"/>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14"/>
      <c r="Q26" s="1305"/>
      <c r="R26" s="1306"/>
      <c r="S26" s="1307"/>
      <c r="T26" s="1306"/>
      <c r="U26" s="1307"/>
      <c r="V26" s="1306"/>
      <c r="W26" s="1307"/>
      <c r="X26" s="1301"/>
      <c r="Y26" s="3714"/>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14"/>
      <c r="Q27" s="1305" t="str">
        <f t="shared" ref="Q27:Q47" si="8">B27</f>
        <v>楼层</v>
      </c>
      <c r="R27" s="1306" t="s">
        <v>5</v>
      </c>
      <c r="S27" s="1307">
        <f>F27</f>
        <v>100</v>
      </c>
      <c r="T27" s="1306" t="s">
        <v>5</v>
      </c>
      <c r="U27" s="1307">
        <f>H27</f>
        <v>100</v>
      </c>
      <c r="V27" s="1306" t="s">
        <v>5</v>
      </c>
      <c r="W27" s="1307">
        <f>J27</f>
        <v>100</v>
      </c>
      <c r="X27" s="1301"/>
      <c r="Y27" s="3714"/>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14"/>
      <c r="Q28" s="816" t="str">
        <f t="shared" si="8"/>
        <v>朝向</v>
      </c>
      <c r="R28" s="1302" t="s">
        <v>5</v>
      </c>
      <c r="S28" s="1303">
        <f>F28</f>
        <v>100</v>
      </c>
      <c r="T28" s="1302" t="s">
        <v>5</v>
      </c>
      <c r="U28" s="1303">
        <f>H28</f>
        <v>100</v>
      </c>
      <c r="V28" s="1302" t="s">
        <v>5</v>
      </c>
      <c r="W28" s="1303">
        <f>J28</f>
        <v>100</v>
      </c>
      <c r="X28" s="1304"/>
      <c r="Y28" s="3714"/>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14"/>
      <c r="Q29" s="1305">
        <f t="shared" si="8"/>
        <v>111</v>
      </c>
      <c r="R29" s="1306" t="s">
        <v>5</v>
      </c>
      <c r="S29" s="1307">
        <f t="shared" ref="S29:S47" si="9">F29</f>
        <v>100</v>
      </c>
      <c r="T29" s="1306" t="s">
        <v>5</v>
      </c>
      <c r="U29" s="1307">
        <f t="shared" ref="U29:U47" si="10">H29</f>
        <v>100</v>
      </c>
      <c r="V29" s="1306" t="s">
        <v>5</v>
      </c>
      <c r="W29" s="1307">
        <f t="shared" ref="W29:W47" si="11">J29</f>
        <v>100</v>
      </c>
      <c r="X29" s="1301"/>
      <c r="Y29" s="3714"/>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14"/>
      <c r="Q30" s="1305">
        <f t="shared" si="8"/>
        <v>111</v>
      </c>
      <c r="R30" s="1306" t="s">
        <v>5</v>
      </c>
      <c r="S30" s="1307">
        <f t="shared" si="9"/>
        <v>100</v>
      </c>
      <c r="T30" s="1306" t="s">
        <v>5</v>
      </c>
      <c r="U30" s="1307">
        <f t="shared" si="10"/>
        <v>100</v>
      </c>
      <c r="V30" s="1306" t="s">
        <v>5</v>
      </c>
      <c r="W30" s="1307">
        <f t="shared" si="11"/>
        <v>100</v>
      </c>
      <c r="X30" s="1301"/>
      <c r="Y30" s="3714"/>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14"/>
      <c r="Q31" s="1305">
        <f t="shared" si="8"/>
        <v>111</v>
      </c>
      <c r="R31" s="1306" t="s">
        <v>5</v>
      </c>
      <c r="S31" s="1307">
        <f t="shared" si="9"/>
        <v>100</v>
      </c>
      <c r="T31" s="1306" t="s">
        <v>5</v>
      </c>
      <c r="U31" s="1307">
        <f t="shared" si="10"/>
        <v>100</v>
      </c>
      <c r="V31" s="1306" t="s">
        <v>5</v>
      </c>
      <c r="W31" s="1307">
        <f t="shared" si="11"/>
        <v>100</v>
      </c>
      <c r="X31" s="1301"/>
      <c r="Y31" s="3714"/>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14"/>
      <c r="Q32" s="1305">
        <f t="shared" si="8"/>
        <v>111</v>
      </c>
      <c r="R32" s="1306" t="s">
        <v>5</v>
      </c>
      <c r="S32" s="1307">
        <f t="shared" si="9"/>
        <v>100</v>
      </c>
      <c r="T32" s="1306" t="s">
        <v>5</v>
      </c>
      <c r="U32" s="1307">
        <f t="shared" si="10"/>
        <v>100</v>
      </c>
      <c r="V32" s="1306" t="s">
        <v>5</v>
      </c>
      <c r="W32" s="1307">
        <f t="shared" si="11"/>
        <v>100</v>
      </c>
      <c r="X32" s="1301"/>
      <c r="Y32" s="3714"/>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15" t="s">
        <v>499</v>
      </c>
      <c r="Q33" s="1305" t="str">
        <f t="shared" si="8"/>
        <v>建筑类型</v>
      </c>
      <c r="R33" s="1306" t="s">
        <v>5</v>
      </c>
      <c r="S33" s="1307">
        <f t="shared" si="9"/>
        <v>100</v>
      </c>
      <c r="T33" s="1306" t="s">
        <v>5</v>
      </c>
      <c r="U33" s="1307">
        <f t="shared" si="10"/>
        <v>100</v>
      </c>
      <c r="V33" s="1306" t="s">
        <v>5</v>
      </c>
      <c r="W33" s="1307">
        <f t="shared" si="11"/>
        <v>100</v>
      </c>
      <c r="X33" s="1301"/>
      <c r="Y33" s="3716"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16"/>
      <c r="Q34" s="817" t="str">
        <f t="shared" si="8"/>
        <v>项目建筑规模</v>
      </c>
      <c r="R34" s="1309" t="s">
        <v>5</v>
      </c>
      <c r="S34" s="1310" t="e">
        <f t="shared" si="9"/>
        <v>#N/A</v>
      </c>
      <c r="T34" s="1309" t="s">
        <v>5</v>
      </c>
      <c r="U34" s="1310" t="e">
        <f t="shared" si="10"/>
        <v>#N/A</v>
      </c>
      <c r="V34" s="1309" t="s">
        <v>5</v>
      </c>
      <c r="W34" s="1310" t="e">
        <f t="shared" si="11"/>
        <v>#N/A</v>
      </c>
      <c r="X34" s="1311"/>
      <c r="Y34" s="3716"/>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16"/>
      <c r="Q35" s="1305" t="str">
        <f t="shared" si="8"/>
        <v>建筑结构</v>
      </c>
      <c r="R35" s="1306" t="s">
        <v>5</v>
      </c>
      <c r="S35" s="1307">
        <f t="shared" si="9"/>
        <v>100</v>
      </c>
      <c r="T35" s="1306" t="s">
        <v>5</v>
      </c>
      <c r="U35" s="1307">
        <f t="shared" si="10"/>
        <v>100</v>
      </c>
      <c r="V35" s="1306" t="s">
        <v>5</v>
      </c>
      <c r="W35" s="1307">
        <f t="shared" si="11"/>
        <v>100</v>
      </c>
      <c r="X35" s="1301"/>
      <c r="Y35" s="3716"/>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16"/>
      <c r="Q36" s="1305" t="str">
        <f t="shared" si="8"/>
        <v>公共部分装修</v>
      </c>
      <c r="R36" s="1306" t="s">
        <v>5</v>
      </c>
      <c r="S36" s="1307">
        <f t="shared" si="9"/>
        <v>100</v>
      </c>
      <c r="T36" s="1306" t="s">
        <v>5</v>
      </c>
      <c r="U36" s="1307">
        <f t="shared" si="10"/>
        <v>100</v>
      </c>
      <c r="V36" s="1306" t="s">
        <v>5</v>
      </c>
      <c r="W36" s="1307">
        <f t="shared" si="11"/>
        <v>100</v>
      </c>
      <c r="X36" s="1301"/>
      <c r="Y36" s="3716"/>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16"/>
      <c r="Q37" s="1305" t="str">
        <f t="shared" si="8"/>
        <v>成新度</v>
      </c>
      <c r="R37" s="1306" t="s">
        <v>5</v>
      </c>
      <c r="S37" s="1307" t="e">
        <f t="shared" si="9"/>
        <v>#N/A</v>
      </c>
      <c r="T37" s="1306" t="s">
        <v>5</v>
      </c>
      <c r="U37" s="1307" t="e">
        <f t="shared" si="10"/>
        <v>#N/A</v>
      </c>
      <c r="V37" s="1306" t="s">
        <v>5</v>
      </c>
      <c r="W37" s="1307" t="e">
        <f t="shared" si="11"/>
        <v>#N/A</v>
      </c>
      <c r="X37" s="1301"/>
      <c r="Y37" s="3716"/>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16"/>
      <c r="Q38" s="816" t="str">
        <f t="shared" si="8"/>
        <v>写字楼等级</v>
      </c>
      <c r="R38" s="1302" t="s">
        <v>5</v>
      </c>
      <c r="S38" s="1303">
        <f t="shared" si="9"/>
        <v>100</v>
      </c>
      <c r="T38" s="1302" t="s">
        <v>5</v>
      </c>
      <c r="U38" s="1303">
        <f t="shared" si="10"/>
        <v>100</v>
      </c>
      <c r="V38" s="1302" t="s">
        <v>5</v>
      </c>
      <c r="W38" s="1303">
        <f t="shared" si="11"/>
        <v>100</v>
      </c>
      <c r="X38" s="1304"/>
      <c r="Y38" s="3716"/>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16" t="s">
        <v>499</v>
      </c>
      <c r="Q39" s="1305" t="str">
        <f t="shared" si="8"/>
        <v>物业管理</v>
      </c>
      <c r="R39" s="1306" t="s">
        <v>5</v>
      </c>
      <c r="S39" s="1307">
        <f t="shared" si="9"/>
        <v>100</v>
      </c>
      <c r="T39" s="1306" t="s">
        <v>5</v>
      </c>
      <c r="U39" s="1307">
        <f t="shared" si="10"/>
        <v>100</v>
      </c>
      <c r="V39" s="1306" t="s">
        <v>5</v>
      </c>
      <c r="W39" s="1307">
        <f t="shared" si="11"/>
        <v>100</v>
      </c>
      <c r="X39" s="1301"/>
      <c r="Y39" s="3716"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16"/>
      <c r="Q40" s="1305" t="str">
        <f t="shared" si="8"/>
        <v>市政基础设施</v>
      </c>
      <c r="R40" s="1306" t="s">
        <v>5</v>
      </c>
      <c r="S40" s="1307">
        <f t="shared" si="9"/>
        <v>100</v>
      </c>
      <c r="T40" s="1306" t="s">
        <v>5</v>
      </c>
      <c r="U40" s="1307">
        <f t="shared" si="10"/>
        <v>100</v>
      </c>
      <c r="V40" s="1306" t="s">
        <v>5</v>
      </c>
      <c r="W40" s="1307">
        <f t="shared" si="11"/>
        <v>100</v>
      </c>
      <c r="X40" s="1301"/>
      <c r="Y40" s="3716"/>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16"/>
      <c r="Q41" s="1305" t="str">
        <f t="shared" si="8"/>
        <v>层高</v>
      </c>
      <c r="R41" s="1306" t="s">
        <v>5</v>
      </c>
      <c r="S41" s="1307">
        <f t="shared" si="9"/>
        <v>100</v>
      </c>
      <c r="T41" s="1306" t="s">
        <v>5</v>
      </c>
      <c r="U41" s="1307">
        <f t="shared" si="10"/>
        <v>100</v>
      </c>
      <c r="V41" s="1306" t="s">
        <v>5</v>
      </c>
      <c r="W41" s="1307">
        <f t="shared" si="11"/>
        <v>100</v>
      </c>
      <c r="X41" s="1301"/>
      <c r="Y41" s="3716"/>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16"/>
      <c r="Q42" s="817" t="str">
        <f t="shared" si="8"/>
        <v>单套建筑面积</v>
      </c>
      <c r="R42" s="1309" t="s">
        <v>5</v>
      </c>
      <c r="S42" s="1310">
        <f t="shared" si="9"/>
        <v>100</v>
      </c>
      <c r="T42" s="1309" t="s">
        <v>5</v>
      </c>
      <c r="U42" s="1310">
        <f t="shared" si="10"/>
        <v>100</v>
      </c>
      <c r="V42" s="1309" t="s">
        <v>5</v>
      </c>
      <c r="W42" s="1310">
        <f t="shared" si="11"/>
        <v>100</v>
      </c>
      <c r="X42" s="1311"/>
      <c r="Y42" s="3716"/>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16"/>
      <c r="Q43" s="1305" t="str">
        <f t="shared" si="8"/>
        <v>内部装修</v>
      </c>
      <c r="R43" s="1306" t="s">
        <v>5</v>
      </c>
      <c r="S43" s="1307">
        <f t="shared" si="9"/>
        <v>100</v>
      </c>
      <c r="T43" s="1306" t="s">
        <v>5</v>
      </c>
      <c r="U43" s="1307">
        <f t="shared" si="10"/>
        <v>100</v>
      </c>
      <c r="V43" s="1306" t="s">
        <v>5</v>
      </c>
      <c r="W43" s="1307">
        <f t="shared" si="11"/>
        <v>100</v>
      </c>
      <c r="X43" s="1301"/>
      <c r="Y43" s="3716"/>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16"/>
      <c r="Q44" s="1305" t="str">
        <f t="shared" si="8"/>
        <v>内部装修维护情况</v>
      </c>
      <c r="R44" s="1306" t="s">
        <v>5</v>
      </c>
      <c r="S44" s="1307">
        <f t="shared" si="9"/>
        <v>100</v>
      </c>
      <c r="T44" s="1306" t="s">
        <v>5</v>
      </c>
      <c r="U44" s="1307">
        <f t="shared" si="10"/>
        <v>100</v>
      </c>
      <c r="V44" s="1306" t="s">
        <v>5</v>
      </c>
      <c r="W44" s="1307">
        <f t="shared" si="11"/>
        <v>100</v>
      </c>
      <c r="X44" s="1301"/>
      <c r="Y44" s="3716"/>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16"/>
      <c r="Q45" s="816">
        <f t="shared" si="8"/>
        <v>111</v>
      </c>
      <c r="R45" s="1302" t="s">
        <v>5</v>
      </c>
      <c r="S45" s="1303">
        <f t="shared" si="9"/>
        <v>100</v>
      </c>
      <c r="T45" s="1302" t="s">
        <v>5</v>
      </c>
      <c r="U45" s="1303">
        <f t="shared" si="10"/>
        <v>100</v>
      </c>
      <c r="V45" s="1302" t="s">
        <v>5</v>
      </c>
      <c r="W45" s="1303">
        <f t="shared" si="11"/>
        <v>100</v>
      </c>
      <c r="X45" s="1304"/>
      <c r="Y45" s="3716"/>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16"/>
      <c r="Q46" s="1305">
        <f t="shared" si="8"/>
        <v>111</v>
      </c>
      <c r="R46" s="1306" t="s">
        <v>5</v>
      </c>
      <c r="S46" s="1307">
        <f t="shared" si="9"/>
        <v>100</v>
      </c>
      <c r="T46" s="1306" t="s">
        <v>5</v>
      </c>
      <c r="U46" s="1307">
        <f t="shared" si="10"/>
        <v>100</v>
      </c>
      <c r="V46" s="1306" t="s">
        <v>5</v>
      </c>
      <c r="W46" s="1307">
        <f t="shared" si="11"/>
        <v>100</v>
      </c>
      <c r="X46" s="1301"/>
      <c r="Y46" s="3716"/>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23"/>
      <c r="Q47" s="1305">
        <f t="shared" si="8"/>
        <v>111</v>
      </c>
      <c r="R47" s="1306" t="s">
        <v>5</v>
      </c>
      <c r="S47" s="1307">
        <f t="shared" si="9"/>
        <v>100</v>
      </c>
      <c r="T47" s="1306" t="s">
        <v>5</v>
      </c>
      <c r="U47" s="1307">
        <f t="shared" si="10"/>
        <v>100</v>
      </c>
      <c r="V47" s="1306" t="s">
        <v>5</v>
      </c>
      <c r="W47" s="1307">
        <f t="shared" si="11"/>
        <v>100</v>
      </c>
      <c r="X47" s="1301"/>
      <c r="Y47" s="3823"/>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18" t="str">
        <f>A48</f>
        <v>成交单价（元/平方米）</v>
      </c>
      <c r="Q48" s="3711"/>
      <c r="R48" s="3727">
        <f>E48</f>
        <v>0</v>
      </c>
      <c r="S48" s="3727"/>
      <c r="T48" s="3727">
        <f>G48</f>
        <v>0</v>
      </c>
      <c r="U48" s="3727"/>
      <c r="V48" s="3727">
        <f>I48</f>
        <v>0</v>
      </c>
      <c r="W48" s="3727"/>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18" t="str">
        <f>A49</f>
        <v>比较价格（元/平方米）</v>
      </c>
      <c r="Q49" s="3711"/>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27" t="str">
        <f>A50</f>
        <v>估价对象XX用房的比较价格（楼面单价，元/平方米）</v>
      </c>
      <c r="Q50" s="3718"/>
      <c r="R50" s="3822" t="e">
        <f>IF(F1="售价",ROUND(IF(D49="简单平均",AVERAGE(R49:V49),R49*F49+T49*H49+V49*J49),0),ROUND(IF(D49="简单平均",AVERAGE(R49:V49),R49*F49+T49*H49+V49*J49),1))</f>
        <v>#DIV/0!</v>
      </c>
      <c r="S50" s="3822"/>
      <c r="T50" s="3822"/>
      <c r="U50" s="3822"/>
      <c r="V50" s="3822"/>
      <c r="W50" s="3822"/>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19" t="s">
        <v>471</v>
      </c>
      <c r="D4" s="3720"/>
      <c r="E4" s="3756" t="s">
        <v>472</v>
      </c>
      <c r="F4" s="3757"/>
      <c r="G4" s="3719" t="s">
        <v>473</v>
      </c>
      <c r="H4" s="3720"/>
      <c r="I4" s="3719" t="s">
        <v>474</v>
      </c>
      <c r="J4" s="3720"/>
      <c r="K4" s="465" t="s">
        <v>475</v>
      </c>
      <c r="L4" s="1740"/>
      <c r="M4" s="1741"/>
      <c r="N4" s="1741"/>
      <c r="O4" s="1741"/>
      <c r="P4" s="3721" t="s">
        <v>476</v>
      </c>
      <c r="Q4" s="3722"/>
      <c r="R4" s="3705" t="s">
        <v>472</v>
      </c>
      <c r="S4" s="3706"/>
      <c r="T4" s="3705" t="s">
        <v>473</v>
      </c>
      <c r="U4" s="3706"/>
      <c r="V4" s="3727" t="s">
        <v>474</v>
      </c>
      <c r="W4" s="3727"/>
      <c r="X4" s="1301"/>
      <c r="Y4" s="3705" t="s">
        <v>476</v>
      </c>
      <c r="Z4" s="3706"/>
      <c r="AA4" s="3700" t="s">
        <v>472</v>
      </c>
      <c r="AB4" s="3701" t="s">
        <v>473</v>
      </c>
      <c r="AC4" s="3700" t="s">
        <v>474</v>
      </c>
    </row>
    <row r="5" spans="1:29" ht="15">
      <c r="A5" s="466"/>
      <c r="B5" s="467"/>
      <c r="C5" s="3730" t="s">
        <v>2186</v>
      </c>
      <c r="D5" s="3731"/>
      <c r="E5" s="3758" t="s">
        <v>2187</v>
      </c>
      <c r="F5" s="3759"/>
      <c r="G5" s="3730" t="s">
        <v>2188</v>
      </c>
      <c r="H5" s="3731"/>
      <c r="I5" s="3730" t="s">
        <v>2189</v>
      </c>
      <c r="J5" s="3731"/>
      <c r="K5" s="465"/>
      <c r="L5" s="1740"/>
      <c r="M5" s="1741"/>
      <c r="N5" s="1741"/>
      <c r="O5" s="1741"/>
      <c r="P5" s="3723"/>
      <c r="Q5" s="3724"/>
      <c r="R5" s="3707"/>
      <c r="S5" s="3708"/>
      <c r="T5" s="3707"/>
      <c r="U5" s="3708"/>
      <c r="V5" s="3727"/>
      <c r="W5" s="3727"/>
      <c r="X5" s="1301"/>
      <c r="Y5" s="3707"/>
      <c r="Z5" s="3708"/>
      <c r="AA5" s="3701"/>
      <c r="AB5" s="3701"/>
      <c r="AC5" s="3701"/>
    </row>
    <row r="6" spans="1:29" ht="15.75" thickBot="1">
      <c r="A6" s="468"/>
      <c r="B6" s="469"/>
      <c r="C6" s="3728" t="s">
        <v>2190</v>
      </c>
      <c r="D6" s="3729"/>
      <c r="E6" s="3760" t="s">
        <v>2190</v>
      </c>
      <c r="F6" s="3761"/>
      <c r="G6" s="3728" t="s">
        <v>2190</v>
      </c>
      <c r="H6" s="3729"/>
      <c r="I6" s="3728" t="s">
        <v>2190</v>
      </c>
      <c r="J6" s="3729"/>
      <c r="K6" s="465" t="s">
        <v>477</v>
      </c>
      <c r="L6" s="1740"/>
      <c r="M6" s="1741"/>
      <c r="N6" s="1741"/>
      <c r="O6" s="1741"/>
      <c r="P6" s="3725"/>
      <c r="Q6" s="3726"/>
      <c r="R6" s="3707"/>
      <c r="S6" s="3708"/>
      <c r="T6" s="3709"/>
      <c r="U6" s="3710"/>
      <c r="V6" s="3727"/>
      <c r="W6" s="3727"/>
      <c r="X6" s="1301"/>
      <c r="Y6" s="3709"/>
      <c r="Z6" s="3710"/>
      <c r="AA6" s="3702"/>
      <c r="AB6" s="3702"/>
      <c r="AC6" s="3702"/>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03" t="s">
        <v>479</v>
      </c>
      <c r="Q7" s="3712"/>
      <c r="R7" s="1302" t="s">
        <v>5</v>
      </c>
      <c r="S7" s="1303">
        <f t="shared" ref="S7:S15" si="0">F7</f>
        <v>0</v>
      </c>
      <c r="T7" s="1302" t="s">
        <v>5</v>
      </c>
      <c r="U7" s="1303">
        <f t="shared" ref="U7:U15" si="1">H7</f>
        <v>0</v>
      </c>
      <c r="V7" s="1302" t="s">
        <v>5</v>
      </c>
      <c r="W7" s="1303">
        <f t="shared" ref="W7:W15"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03" t="s">
        <v>482</v>
      </c>
      <c r="Q8" s="3704"/>
      <c r="R8" s="1302" t="s">
        <v>5</v>
      </c>
      <c r="S8" s="1303">
        <f t="shared" si="0"/>
        <v>0</v>
      </c>
      <c r="T8" s="1302" t="s">
        <v>5</v>
      </c>
      <c r="U8" s="1303">
        <f t="shared" si="1"/>
        <v>0</v>
      </c>
      <c r="V8" s="1302" t="s">
        <v>5</v>
      </c>
      <c r="W8" s="1303">
        <f t="shared" si="2"/>
        <v>0</v>
      </c>
      <c r="X8" s="1304"/>
      <c r="Y8" s="3703" t="s">
        <v>482</v>
      </c>
      <c r="Z8" s="3704"/>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11" t="s">
        <v>484</v>
      </c>
      <c r="Q9" s="816" t="str">
        <f t="shared" ref="Q9:Q15" si="6">B9</f>
        <v>用途</v>
      </c>
      <c r="R9" s="1302" t="s">
        <v>5</v>
      </c>
      <c r="S9" s="1303">
        <f t="shared" si="0"/>
        <v>100</v>
      </c>
      <c r="T9" s="1302" t="s">
        <v>5</v>
      </c>
      <c r="U9" s="1303">
        <f t="shared" si="1"/>
        <v>100</v>
      </c>
      <c r="V9" s="1302" t="s">
        <v>5</v>
      </c>
      <c r="W9" s="1303">
        <f t="shared" si="2"/>
        <v>100</v>
      </c>
      <c r="X9" s="1304"/>
      <c r="Y9" s="3660"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SUMIF(59:59,E10,60:60)-SUMIF(59:59,C10,60:60)+100</f>
        <v>100</v>
      </c>
      <c r="G10" s="3386"/>
      <c r="H10" s="235">
        <f>SUMIF(59:59,G10,60:60)-SUMIF(59:59,C10,60:60)+100</f>
        <v>100</v>
      </c>
      <c r="I10" s="3385"/>
      <c r="J10" s="235">
        <f>SUMIF(59:59,I10,60:60)-SUMIF(59:59,C10,60:60)+100</f>
        <v>100</v>
      </c>
      <c r="K10" s="88"/>
      <c r="L10" s="1744"/>
      <c r="M10" s="1777"/>
      <c r="N10" s="1777"/>
      <c r="O10" s="1745"/>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11"/>
      <c r="Q11" s="816" t="str">
        <f t="shared" si="6"/>
        <v>容积率</v>
      </c>
      <c r="R11" s="1302" t="s">
        <v>5</v>
      </c>
      <c r="S11" s="1303" t="e">
        <f t="shared" si="0"/>
        <v>#N/A</v>
      </c>
      <c r="T11" s="1302" t="s">
        <v>5</v>
      </c>
      <c r="U11" s="1303" t="e">
        <f t="shared" si="1"/>
        <v>#N/A</v>
      </c>
      <c r="V11" s="1302" t="s">
        <v>5</v>
      </c>
      <c r="W11" s="1303" t="e">
        <f t="shared" si="2"/>
        <v>#N/A</v>
      </c>
      <c r="X11" s="1304"/>
      <c r="Y11" s="3660"/>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11"/>
      <c r="Q12" s="816">
        <f t="shared" si="6"/>
        <v>111</v>
      </c>
      <c r="R12" s="1302" t="s">
        <v>5</v>
      </c>
      <c r="S12" s="1303">
        <f t="shared" si="0"/>
        <v>100</v>
      </c>
      <c r="T12" s="1302" t="s">
        <v>5</v>
      </c>
      <c r="U12" s="1303">
        <f t="shared" si="1"/>
        <v>100</v>
      </c>
      <c r="V12" s="1302" t="s">
        <v>5</v>
      </c>
      <c r="W12" s="1303">
        <f t="shared" si="2"/>
        <v>100</v>
      </c>
      <c r="X12" s="1304"/>
      <c r="Y12" s="3660"/>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11"/>
      <c r="Q13" s="816">
        <f t="shared" si="6"/>
        <v>111</v>
      </c>
      <c r="R13" s="1302" t="s">
        <v>5</v>
      </c>
      <c r="S13" s="1303">
        <f t="shared" si="0"/>
        <v>100</v>
      </c>
      <c r="T13" s="1302" t="s">
        <v>5</v>
      </c>
      <c r="U13" s="1303">
        <f t="shared" si="1"/>
        <v>100</v>
      </c>
      <c r="V13" s="1302" t="s">
        <v>5</v>
      </c>
      <c r="W13" s="1303">
        <f t="shared" si="2"/>
        <v>100</v>
      </c>
      <c r="X13" s="1304"/>
      <c r="Y13" s="3660"/>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11"/>
      <c r="Q14" s="816">
        <f t="shared" si="6"/>
        <v>111</v>
      </c>
      <c r="R14" s="1302" t="s">
        <v>5</v>
      </c>
      <c r="S14" s="1303">
        <f t="shared" si="0"/>
        <v>100</v>
      </c>
      <c r="T14" s="1302" t="s">
        <v>5</v>
      </c>
      <c r="U14" s="1303">
        <f t="shared" si="1"/>
        <v>100</v>
      </c>
      <c r="V14" s="1302" t="s">
        <v>5</v>
      </c>
      <c r="W14" s="1303">
        <f t="shared" si="2"/>
        <v>100</v>
      </c>
      <c r="X14" s="1304"/>
      <c r="Y14" s="3660"/>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13" t="s">
        <v>489</v>
      </c>
      <c r="Q15" s="1305" t="str">
        <f t="shared" si="6"/>
        <v>产业集聚程度</v>
      </c>
      <c r="R15" s="1306" t="s">
        <v>5</v>
      </c>
      <c r="S15" s="1307">
        <f t="shared" si="0"/>
        <v>100</v>
      </c>
      <c r="T15" s="1306" t="s">
        <v>5</v>
      </c>
      <c r="U15" s="1307">
        <f t="shared" si="1"/>
        <v>100</v>
      </c>
      <c r="V15" s="1306" t="s">
        <v>5</v>
      </c>
      <c r="W15" s="1307">
        <f t="shared" si="2"/>
        <v>100</v>
      </c>
      <c r="X15" s="1301"/>
      <c r="Y15" s="3713"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14"/>
      <c r="Q16" s="1305"/>
      <c r="R16" s="1306"/>
      <c r="S16" s="1307"/>
      <c r="T16" s="1306"/>
      <c r="U16" s="1307"/>
      <c r="V16" s="1306"/>
      <c r="W16" s="1307"/>
      <c r="X16" s="1301"/>
      <c r="Y16" s="3714"/>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14"/>
      <c r="Q17" s="1305" t="str">
        <f>B17</f>
        <v>交通便捷度</v>
      </c>
      <c r="R17" s="1306" t="s">
        <v>5</v>
      </c>
      <c r="S17" s="1307">
        <f>F17</f>
        <v>100</v>
      </c>
      <c r="T17" s="1306" t="s">
        <v>5</v>
      </c>
      <c r="U17" s="1307">
        <f>H17</f>
        <v>100</v>
      </c>
      <c r="V17" s="1306" t="s">
        <v>5</v>
      </c>
      <c r="W17" s="1307">
        <f>J17</f>
        <v>100</v>
      </c>
      <c r="X17" s="1301"/>
      <c r="Y17" s="3714"/>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14"/>
      <c r="Q18" s="1305"/>
      <c r="R18" s="1306"/>
      <c r="S18" s="1307"/>
      <c r="T18" s="1306"/>
      <c r="U18" s="1307"/>
      <c r="V18" s="1306"/>
      <c r="W18" s="1307"/>
      <c r="X18" s="1301"/>
      <c r="Y18" s="3714"/>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14"/>
      <c r="Q19" s="1305" t="str">
        <f>B19</f>
        <v>公共配套设施</v>
      </c>
      <c r="R19" s="1306" t="s">
        <v>5</v>
      </c>
      <c r="S19" s="1307">
        <f>F19</f>
        <v>100</v>
      </c>
      <c r="T19" s="1306" t="s">
        <v>5</v>
      </c>
      <c r="U19" s="1307">
        <f>H19</f>
        <v>100</v>
      </c>
      <c r="V19" s="1306" t="s">
        <v>5</v>
      </c>
      <c r="W19" s="1307">
        <f>J19</f>
        <v>100</v>
      </c>
      <c r="X19" s="1301"/>
      <c r="Y19" s="3714"/>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14"/>
      <c r="Q20" s="1305"/>
      <c r="R20" s="1306"/>
      <c r="S20" s="1307"/>
      <c r="T20" s="1306"/>
      <c r="U20" s="1307"/>
      <c r="V20" s="1306"/>
      <c r="W20" s="1307"/>
      <c r="X20" s="1301"/>
      <c r="Y20" s="3714"/>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14"/>
      <c r="Q21" s="1305" t="str">
        <f>B21</f>
        <v>基础设施水平</v>
      </c>
      <c r="R21" s="1306" t="s">
        <v>5</v>
      </c>
      <c r="S21" s="1307">
        <f>F21</f>
        <v>100</v>
      </c>
      <c r="T21" s="1306" t="s">
        <v>5</v>
      </c>
      <c r="U21" s="1307">
        <f>H21</f>
        <v>100</v>
      </c>
      <c r="V21" s="1306" t="s">
        <v>5</v>
      </c>
      <c r="W21" s="1307">
        <f>J21</f>
        <v>100</v>
      </c>
      <c r="X21" s="1301"/>
      <c r="Y21" s="3714"/>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14"/>
      <c r="Q22" s="1305"/>
      <c r="R22" s="1306"/>
      <c r="S22" s="1307"/>
      <c r="T22" s="1306"/>
      <c r="U22" s="1307"/>
      <c r="V22" s="1306"/>
      <c r="W22" s="1307"/>
      <c r="X22" s="1301"/>
      <c r="Y22" s="3714"/>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14"/>
      <c r="Q23" s="1305" t="str">
        <f>B23</f>
        <v>环境质量</v>
      </c>
      <c r="R23" s="1306" t="s">
        <v>5</v>
      </c>
      <c r="S23" s="1307">
        <f>F23</f>
        <v>100</v>
      </c>
      <c r="T23" s="1306" t="s">
        <v>5</v>
      </c>
      <c r="U23" s="1307">
        <f>H23</f>
        <v>100</v>
      </c>
      <c r="V23" s="1306" t="s">
        <v>5</v>
      </c>
      <c r="W23" s="1307">
        <f>J23</f>
        <v>100</v>
      </c>
      <c r="X23" s="1301"/>
      <c r="Y23" s="3714"/>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14"/>
      <c r="Q24" s="1305"/>
      <c r="R24" s="1306"/>
      <c r="S24" s="1307"/>
      <c r="T24" s="1306"/>
      <c r="U24" s="1307"/>
      <c r="V24" s="1306"/>
      <c r="W24" s="1307"/>
      <c r="X24" s="1301"/>
      <c r="Y24" s="3714"/>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14"/>
      <c r="Q25" s="1305">
        <f>B25</f>
        <v>111</v>
      </c>
      <c r="R25" s="1306" t="s">
        <v>5</v>
      </c>
      <c r="S25" s="1307">
        <f>F25</f>
        <v>100</v>
      </c>
      <c r="T25" s="1306" t="s">
        <v>5</v>
      </c>
      <c r="U25" s="1307">
        <f>H25</f>
        <v>100</v>
      </c>
      <c r="V25" s="1306" t="s">
        <v>5</v>
      </c>
      <c r="W25" s="1307">
        <f>J25</f>
        <v>100</v>
      </c>
      <c r="X25" s="1301"/>
      <c r="Y25" s="3714"/>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14"/>
      <c r="Q26" s="1305">
        <f t="shared" ref="Q26:Q40" si="8">B26</f>
        <v>111</v>
      </c>
      <c r="R26" s="1306" t="s">
        <v>5</v>
      </c>
      <c r="S26" s="1307">
        <f>F26</f>
        <v>100</v>
      </c>
      <c r="T26" s="1306" t="s">
        <v>5</v>
      </c>
      <c r="U26" s="1307">
        <f>H26</f>
        <v>100</v>
      </c>
      <c r="V26" s="1306" t="s">
        <v>5</v>
      </c>
      <c r="W26" s="1307">
        <f>J26</f>
        <v>100</v>
      </c>
      <c r="X26" s="1301"/>
      <c r="Y26" s="3714"/>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14"/>
      <c r="Q27" s="816">
        <f t="shared" si="8"/>
        <v>111</v>
      </c>
      <c r="R27" s="1302" t="s">
        <v>5</v>
      </c>
      <c r="S27" s="1303">
        <f>F27</f>
        <v>100</v>
      </c>
      <c r="T27" s="1302" t="s">
        <v>5</v>
      </c>
      <c r="U27" s="1303">
        <f>H27</f>
        <v>100</v>
      </c>
      <c r="V27" s="1302" t="s">
        <v>5</v>
      </c>
      <c r="W27" s="1303">
        <f>J27</f>
        <v>100</v>
      </c>
      <c r="X27" s="1304"/>
      <c r="Y27" s="3714"/>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14"/>
      <c r="Q28" s="1305">
        <f t="shared" si="8"/>
        <v>111</v>
      </c>
      <c r="R28" s="1306" t="s">
        <v>5</v>
      </c>
      <c r="S28" s="1307">
        <f t="shared" ref="S28:S40" si="9">F28</f>
        <v>100</v>
      </c>
      <c r="T28" s="1306" t="s">
        <v>5</v>
      </c>
      <c r="U28" s="1307">
        <f t="shared" ref="U28:U40" si="10">H28</f>
        <v>100</v>
      </c>
      <c r="V28" s="1306" t="s">
        <v>5</v>
      </c>
      <c r="W28" s="1307">
        <f t="shared" ref="W28:W40" si="11">J28</f>
        <v>100</v>
      </c>
      <c r="X28" s="1301"/>
      <c r="Y28" s="3714"/>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15" t="s">
        <v>499</v>
      </c>
      <c r="Q29" s="1305" t="str">
        <f t="shared" si="8"/>
        <v>建筑类型</v>
      </c>
      <c r="R29" s="1306" t="s">
        <v>5</v>
      </c>
      <c r="S29" s="1307">
        <f t="shared" si="9"/>
        <v>100</v>
      </c>
      <c r="T29" s="1306" t="s">
        <v>5</v>
      </c>
      <c r="U29" s="1307">
        <f t="shared" si="10"/>
        <v>100</v>
      </c>
      <c r="V29" s="1306" t="s">
        <v>5</v>
      </c>
      <c r="W29" s="1307">
        <f t="shared" si="11"/>
        <v>100</v>
      </c>
      <c r="X29" s="1301"/>
      <c r="Y29" s="3716"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16"/>
      <c r="Q30" s="817" t="str">
        <f t="shared" si="8"/>
        <v>项目建筑规模</v>
      </c>
      <c r="R30" s="1309" t="s">
        <v>5</v>
      </c>
      <c r="S30" s="1310" t="e">
        <f t="shared" si="9"/>
        <v>#N/A</v>
      </c>
      <c r="T30" s="1309" t="s">
        <v>5</v>
      </c>
      <c r="U30" s="1310" t="e">
        <f t="shared" si="10"/>
        <v>#N/A</v>
      </c>
      <c r="V30" s="1309" t="s">
        <v>5</v>
      </c>
      <c r="W30" s="1310" t="e">
        <f t="shared" si="11"/>
        <v>#N/A</v>
      </c>
      <c r="X30" s="1311"/>
      <c r="Y30" s="3716"/>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16"/>
      <c r="Q31" s="1305" t="str">
        <f t="shared" si="8"/>
        <v>建筑结构</v>
      </c>
      <c r="R31" s="1306" t="s">
        <v>5</v>
      </c>
      <c r="S31" s="1307">
        <f t="shared" si="9"/>
        <v>100</v>
      </c>
      <c r="T31" s="1306" t="s">
        <v>5</v>
      </c>
      <c r="U31" s="1307">
        <f t="shared" si="10"/>
        <v>100</v>
      </c>
      <c r="V31" s="1306" t="s">
        <v>5</v>
      </c>
      <c r="W31" s="1307">
        <f t="shared" si="11"/>
        <v>100</v>
      </c>
      <c r="X31" s="1301"/>
      <c r="Y31" s="3716"/>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16"/>
      <c r="Q32" s="1305" t="str">
        <f t="shared" si="8"/>
        <v>公共部分装修</v>
      </c>
      <c r="R32" s="1306" t="s">
        <v>5</v>
      </c>
      <c r="S32" s="1307">
        <f t="shared" si="9"/>
        <v>100</v>
      </c>
      <c r="T32" s="1306" t="s">
        <v>5</v>
      </c>
      <c r="U32" s="1307">
        <f t="shared" si="10"/>
        <v>100</v>
      </c>
      <c r="V32" s="1306" t="s">
        <v>5</v>
      </c>
      <c r="W32" s="1307">
        <f t="shared" si="11"/>
        <v>100</v>
      </c>
      <c r="X32" s="1301"/>
      <c r="Y32" s="3716"/>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16"/>
      <c r="Q33" s="1305" t="str">
        <f t="shared" si="8"/>
        <v>成新度</v>
      </c>
      <c r="R33" s="1306" t="s">
        <v>5</v>
      </c>
      <c r="S33" s="1307" t="e">
        <f t="shared" si="9"/>
        <v>#N/A</v>
      </c>
      <c r="T33" s="1306" t="s">
        <v>5</v>
      </c>
      <c r="U33" s="1307" t="e">
        <f t="shared" si="10"/>
        <v>#N/A</v>
      </c>
      <c r="V33" s="1306" t="s">
        <v>5</v>
      </c>
      <c r="W33" s="1307" t="e">
        <f t="shared" si="11"/>
        <v>#N/A</v>
      </c>
      <c r="X33" s="1301"/>
      <c r="Y33" s="3716"/>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16"/>
      <c r="Q34" s="816" t="str">
        <f t="shared" si="8"/>
        <v>物业管理</v>
      </c>
      <c r="R34" s="1302" t="s">
        <v>5</v>
      </c>
      <c r="S34" s="1303">
        <f t="shared" si="9"/>
        <v>100</v>
      </c>
      <c r="T34" s="1302" t="s">
        <v>5</v>
      </c>
      <c r="U34" s="1303">
        <f t="shared" si="10"/>
        <v>100</v>
      </c>
      <c r="V34" s="1302" t="s">
        <v>5</v>
      </c>
      <c r="W34" s="1303">
        <f t="shared" si="11"/>
        <v>100</v>
      </c>
      <c r="X34" s="1304"/>
      <c r="Y34" s="3716"/>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16" t="s">
        <v>499</v>
      </c>
      <c r="Q35" s="1305" t="str">
        <f t="shared" si="8"/>
        <v>市政基础设施</v>
      </c>
      <c r="R35" s="1306" t="s">
        <v>5</v>
      </c>
      <c r="S35" s="1307">
        <f t="shared" si="9"/>
        <v>100</v>
      </c>
      <c r="T35" s="1306" t="s">
        <v>5</v>
      </c>
      <c r="U35" s="1307">
        <f t="shared" si="10"/>
        <v>100</v>
      </c>
      <c r="V35" s="1306" t="s">
        <v>5</v>
      </c>
      <c r="W35" s="1307">
        <f t="shared" si="11"/>
        <v>100</v>
      </c>
      <c r="X35" s="1301"/>
      <c r="Y35" s="3716"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16"/>
      <c r="Q36" s="1305" t="str">
        <f t="shared" si="8"/>
        <v>内部装修</v>
      </c>
      <c r="R36" s="1306" t="s">
        <v>5</v>
      </c>
      <c r="S36" s="1307">
        <f t="shared" si="9"/>
        <v>100</v>
      </c>
      <c r="T36" s="1306" t="s">
        <v>5</v>
      </c>
      <c r="U36" s="1307">
        <f t="shared" si="10"/>
        <v>100</v>
      </c>
      <c r="V36" s="1306" t="s">
        <v>5</v>
      </c>
      <c r="W36" s="1307">
        <f t="shared" si="11"/>
        <v>100</v>
      </c>
      <c r="X36" s="1301"/>
      <c r="Y36" s="3716"/>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16"/>
      <c r="Q37" s="1305" t="str">
        <f t="shared" si="8"/>
        <v>内部装修状况</v>
      </c>
      <c r="R37" s="1306" t="s">
        <v>5</v>
      </c>
      <c r="S37" s="1307">
        <f t="shared" si="9"/>
        <v>100</v>
      </c>
      <c r="T37" s="1306" t="s">
        <v>5</v>
      </c>
      <c r="U37" s="1307">
        <f t="shared" si="10"/>
        <v>100</v>
      </c>
      <c r="V37" s="1306" t="s">
        <v>5</v>
      </c>
      <c r="W37" s="1307">
        <f t="shared" si="11"/>
        <v>100</v>
      </c>
      <c r="X37" s="1301"/>
      <c r="Y37" s="3716"/>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16"/>
      <c r="Q38" s="817">
        <f t="shared" si="8"/>
        <v>111</v>
      </c>
      <c r="R38" s="1309" t="s">
        <v>5</v>
      </c>
      <c r="S38" s="1310">
        <f t="shared" si="9"/>
        <v>100</v>
      </c>
      <c r="T38" s="1309" t="s">
        <v>5</v>
      </c>
      <c r="U38" s="1310">
        <f t="shared" si="10"/>
        <v>100</v>
      </c>
      <c r="V38" s="1309" t="s">
        <v>5</v>
      </c>
      <c r="W38" s="1310">
        <f t="shared" si="11"/>
        <v>100</v>
      </c>
      <c r="X38" s="1311"/>
      <c r="Y38" s="3716"/>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16"/>
      <c r="Q39" s="1305">
        <f t="shared" si="8"/>
        <v>111</v>
      </c>
      <c r="R39" s="1306" t="s">
        <v>5</v>
      </c>
      <c r="S39" s="1307">
        <f t="shared" si="9"/>
        <v>100</v>
      </c>
      <c r="T39" s="1306" t="s">
        <v>5</v>
      </c>
      <c r="U39" s="1307">
        <f t="shared" si="10"/>
        <v>100</v>
      </c>
      <c r="V39" s="1306" t="s">
        <v>5</v>
      </c>
      <c r="W39" s="1307">
        <f t="shared" si="11"/>
        <v>100</v>
      </c>
      <c r="X39" s="1301"/>
      <c r="Y39" s="3716"/>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23"/>
      <c r="Q40" s="1305">
        <f t="shared" si="8"/>
        <v>111</v>
      </c>
      <c r="R40" s="1306" t="s">
        <v>5</v>
      </c>
      <c r="S40" s="1307">
        <f t="shared" si="9"/>
        <v>100</v>
      </c>
      <c r="T40" s="1306" t="s">
        <v>5</v>
      </c>
      <c r="U40" s="1307">
        <f t="shared" si="10"/>
        <v>100</v>
      </c>
      <c r="V40" s="1306" t="s">
        <v>5</v>
      </c>
      <c r="W40" s="1307">
        <f t="shared" si="11"/>
        <v>100</v>
      </c>
      <c r="X40" s="1301"/>
      <c r="Y40" s="3823"/>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11" t="str">
        <f>A41</f>
        <v>成交单价（元/平方米）</v>
      </c>
      <c r="Q41" s="3711"/>
      <c r="R41" s="3727">
        <f>E41</f>
        <v>0</v>
      </c>
      <c r="S41" s="3727"/>
      <c r="T41" s="3727">
        <f>G41</f>
        <v>0</v>
      </c>
      <c r="U41" s="3727"/>
      <c r="V41" s="3727">
        <f>I41</f>
        <v>0</v>
      </c>
      <c r="W41" s="3727"/>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11" t="str">
        <f>A42</f>
        <v>比较价格（元/平方米）</v>
      </c>
      <c r="Q42" s="3711"/>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17" t="str">
        <f>A43</f>
        <v>估价对象XX用房的比较价格（楼面单价，元/平方米）</v>
      </c>
      <c r="Q43" s="3718"/>
      <c r="R43" s="3822" t="e">
        <f>IF(F1="售价",ROUND(IF(D42="简单平均",AVERAGE(R42:V42),R42*F42+T42*H42+V42*J42),0),ROUND(IF(D42="简单平均",AVERAGE(R42:V42),R42*F42+T42*H42+V42*J42),1))</f>
        <v>#DIV/0!</v>
      </c>
      <c r="S43" s="3822"/>
      <c r="T43" s="3822"/>
      <c r="U43" s="3822"/>
      <c r="V43" s="3822"/>
      <c r="W43" s="3822"/>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19" t="s">
        <v>738</v>
      </c>
      <c r="D4" s="3720"/>
      <c r="E4" s="3719" t="s">
        <v>739</v>
      </c>
      <c r="F4" s="3720"/>
      <c r="G4" s="3719" t="s">
        <v>740</v>
      </c>
      <c r="H4" s="3720"/>
      <c r="I4" s="3719" t="s">
        <v>741</v>
      </c>
      <c r="J4" s="3720"/>
      <c r="K4" s="465" t="s">
        <v>742</v>
      </c>
      <c r="L4" s="1740"/>
      <c r="M4" s="1741"/>
      <c r="N4" s="1741"/>
      <c r="O4" s="1741"/>
      <c r="P4" s="3721" t="s">
        <v>743</v>
      </c>
      <c r="Q4" s="3722"/>
      <c r="R4" s="3705" t="s">
        <v>739</v>
      </c>
      <c r="S4" s="3706"/>
      <c r="T4" s="3705" t="s">
        <v>740</v>
      </c>
      <c r="U4" s="3706"/>
      <c r="V4" s="3727" t="s">
        <v>741</v>
      </c>
      <c r="W4" s="3727"/>
      <c r="X4" s="1301"/>
      <c r="Y4" s="3705" t="s">
        <v>743</v>
      </c>
      <c r="Z4" s="3706"/>
      <c r="AA4" s="3700" t="s">
        <v>739</v>
      </c>
      <c r="AB4" s="3701" t="s">
        <v>740</v>
      </c>
      <c r="AC4" s="3700" t="s">
        <v>741</v>
      </c>
    </row>
    <row r="5" spans="1:29" ht="15">
      <c r="A5" s="466"/>
      <c r="B5" s="467"/>
      <c r="C5" s="3730" t="s">
        <v>2186</v>
      </c>
      <c r="D5" s="3731"/>
      <c r="E5" s="3730" t="s">
        <v>2187</v>
      </c>
      <c r="F5" s="3731"/>
      <c r="G5" s="3730" t="s">
        <v>2188</v>
      </c>
      <c r="H5" s="3731"/>
      <c r="I5" s="3730" t="s">
        <v>2189</v>
      </c>
      <c r="J5" s="3731"/>
      <c r="K5" s="465"/>
      <c r="L5" s="1740"/>
      <c r="M5" s="1741"/>
      <c r="N5" s="1741"/>
      <c r="O5" s="1741"/>
      <c r="P5" s="3723"/>
      <c r="Q5" s="3724"/>
      <c r="R5" s="3707"/>
      <c r="S5" s="3708"/>
      <c r="T5" s="3707"/>
      <c r="U5" s="3708"/>
      <c r="V5" s="3727"/>
      <c r="W5" s="3727"/>
      <c r="X5" s="1301"/>
      <c r="Y5" s="3707"/>
      <c r="Z5" s="3708"/>
      <c r="AA5" s="3701"/>
      <c r="AB5" s="3701"/>
      <c r="AC5" s="3701"/>
    </row>
    <row r="6" spans="1:29" ht="15.75" thickBot="1">
      <c r="A6" s="468"/>
      <c r="B6" s="469"/>
      <c r="C6" s="3728" t="s">
        <v>2190</v>
      </c>
      <c r="D6" s="3729"/>
      <c r="E6" s="3732" t="s">
        <v>2190</v>
      </c>
      <c r="F6" s="3733"/>
      <c r="G6" s="3728" t="s">
        <v>2190</v>
      </c>
      <c r="H6" s="3729"/>
      <c r="I6" s="3728" t="s">
        <v>2190</v>
      </c>
      <c r="J6" s="3729"/>
      <c r="K6" s="465" t="s">
        <v>477</v>
      </c>
      <c r="L6" s="1740"/>
      <c r="M6" s="1741"/>
      <c r="N6" s="1741"/>
      <c r="O6" s="1741"/>
      <c r="P6" s="3725"/>
      <c r="Q6" s="3726"/>
      <c r="R6" s="3707"/>
      <c r="S6" s="3708"/>
      <c r="T6" s="3709"/>
      <c r="U6" s="3710"/>
      <c r="V6" s="3727"/>
      <c r="W6" s="3727"/>
      <c r="X6" s="1301"/>
      <c r="Y6" s="3709"/>
      <c r="Z6" s="3710"/>
      <c r="AA6" s="3702"/>
      <c r="AB6" s="3702"/>
      <c r="AC6" s="3702"/>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03" t="s">
        <v>479</v>
      </c>
      <c r="Q7" s="3712"/>
      <c r="R7" s="1302" t="s">
        <v>5</v>
      </c>
      <c r="S7" s="1303">
        <f t="shared" ref="S7:S14" si="0">F7</f>
        <v>0</v>
      </c>
      <c r="T7" s="1302" t="s">
        <v>5</v>
      </c>
      <c r="U7" s="1303">
        <f t="shared" ref="U7:U14" si="1">H7</f>
        <v>0</v>
      </c>
      <c r="V7" s="1302" t="s">
        <v>5</v>
      </c>
      <c r="W7" s="1303">
        <f t="shared" ref="W7:W14"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03" t="s">
        <v>482</v>
      </c>
      <c r="Q8" s="3704"/>
      <c r="R8" s="1302" t="s">
        <v>5</v>
      </c>
      <c r="S8" s="1303">
        <f t="shared" si="0"/>
        <v>0</v>
      </c>
      <c r="T8" s="1302" t="s">
        <v>5</v>
      </c>
      <c r="U8" s="1303">
        <f t="shared" si="1"/>
        <v>0</v>
      </c>
      <c r="V8" s="1302" t="s">
        <v>5</v>
      </c>
      <c r="W8" s="1303">
        <f t="shared" si="2"/>
        <v>0</v>
      </c>
      <c r="X8" s="1304"/>
      <c r="Y8" s="3703" t="s">
        <v>482</v>
      </c>
      <c r="Z8" s="3704"/>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11" t="s">
        <v>484</v>
      </c>
      <c r="Q9" s="816" t="str">
        <f t="shared" ref="Q9:Q14" si="6">B9</f>
        <v>用途</v>
      </c>
      <c r="R9" s="1302" t="s">
        <v>5</v>
      </c>
      <c r="S9" s="1303">
        <f t="shared" si="0"/>
        <v>100</v>
      </c>
      <c r="T9" s="1302" t="s">
        <v>5</v>
      </c>
      <c r="U9" s="1303">
        <f t="shared" si="1"/>
        <v>100</v>
      </c>
      <c r="V9" s="1302" t="s">
        <v>5</v>
      </c>
      <c r="W9" s="1303">
        <f t="shared" si="2"/>
        <v>100</v>
      </c>
      <c r="X9" s="1304"/>
      <c r="Y9" s="3660" t="s">
        <v>485</v>
      </c>
      <c r="Z9" s="995" t="str">
        <f t="shared" ref="Z9:Z14" si="7">Q9</f>
        <v>用途</v>
      </c>
      <c r="AA9" s="995">
        <f t="shared" si="3"/>
        <v>1</v>
      </c>
      <c r="AB9" s="995">
        <f t="shared" si="4"/>
        <v>1</v>
      </c>
      <c r="AC9" s="995">
        <f t="shared" si="5"/>
        <v>1</v>
      </c>
    </row>
    <row r="10" spans="1:29" s="1131" customFormat="1" ht="27">
      <c r="A10" s="2211"/>
      <c r="B10" s="2216" t="s">
        <v>2036</v>
      </c>
      <c r="C10" s="3385"/>
      <c r="D10" s="235">
        <v>100</v>
      </c>
      <c r="E10" s="3385"/>
      <c r="F10" s="235">
        <f>SUMIF(55:55,E10,56:56)-SUMIF(55:55,C10,56:56)+100</f>
        <v>100</v>
      </c>
      <c r="G10" s="3386"/>
      <c r="H10" s="235">
        <f>SUMIF(55:55,G10,56:56)-SUMIF(55:55,C10,56:56)+100</f>
        <v>100</v>
      </c>
      <c r="I10" s="3385"/>
      <c r="J10" s="235">
        <f>SUMIF(55:55,I10,56:56)-SUMIF(55:55,C10,56:56)+100</f>
        <v>100</v>
      </c>
      <c r="K10" s="88"/>
      <c r="L10" s="1744"/>
      <c r="M10" s="1777"/>
      <c r="N10" s="1777"/>
      <c r="O10" s="1745"/>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11"/>
      <c r="Q11" s="816">
        <f t="shared" si="6"/>
        <v>111</v>
      </c>
      <c r="R11" s="1302" t="s">
        <v>5</v>
      </c>
      <c r="S11" s="1303">
        <f t="shared" si="0"/>
        <v>100</v>
      </c>
      <c r="T11" s="1302" t="s">
        <v>5</v>
      </c>
      <c r="U11" s="1303">
        <f t="shared" si="1"/>
        <v>100</v>
      </c>
      <c r="V11" s="1302" t="s">
        <v>5</v>
      </c>
      <c r="W11" s="1303">
        <f t="shared" si="2"/>
        <v>100</v>
      </c>
      <c r="X11" s="1304"/>
      <c r="Y11" s="3660"/>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11"/>
      <c r="Q12" s="816">
        <f t="shared" si="6"/>
        <v>111</v>
      </c>
      <c r="R12" s="1302" t="s">
        <v>5</v>
      </c>
      <c r="S12" s="1303">
        <f t="shared" si="0"/>
        <v>100</v>
      </c>
      <c r="T12" s="1302" t="s">
        <v>5</v>
      </c>
      <c r="U12" s="1303">
        <f t="shared" si="1"/>
        <v>100</v>
      </c>
      <c r="V12" s="1302" t="s">
        <v>5</v>
      </c>
      <c r="W12" s="1303">
        <f t="shared" si="2"/>
        <v>100</v>
      </c>
      <c r="X12" s="1304"/>
      <c r="Y12" s="3660"/>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11"/>
      <c r="Q13" s="816">
        <f t="shared" si="6"/>
        <v>111</v>
      </c>
      <c r="R13" s="1302" t="s">
        <v>5</v>
      </c>
      <c r="S13" s="1303">
        <f t="shared" si="0"/>
        <v>100</v>
      </c>
      <c r="T13" s="1302" t="s">
        <v>5</v>
      </c>
      <c r="U13" s="1303">
        <f t="shared" si="1"/>
        <v>100</v>
      </c>
      <c r="V13" s="1302" t="s">
        <v>5</v>
      </c>
      <c r="W13" s="1303">
        <f t="shared" si="2"/>
        <v>100</v>
      </c>
      <c r="X13" s="1304"/>
      <c r="Y13" s="3660"/>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13" t="s">
        <v>489</v>
      </c>
      <c r="Q14" s="1305" t="str">
        <f t="shared" si="6"/>
        <v>交通便捷度</v>
      </c>
      <c r="R14" s="1306" t="s">
        <v>5</v>
      </c>
      <c r="S14" s="1307">
        <f t="shared" si="0"/>
        <v>100</v>
      </c>
      <c r="T14" s="1306" t="s">
        <v>5</v>
      </c>
      <c r="U14" s="1307">
        <f t="shared" si="1"/>
        <v>100</v>
      </c>
      <c r="V14" s="1306" t="s">
        <v>5</v>
      </c>
      <c r="W14" s="1307">
        <f t="shared" si="2"/>
        <v>100</v>
      </c>
      <c r="X14" s="1301"/>
      <c r="Y14" s="3713"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14"/>
      <c r="Q15" s="1305"/>
      <c r="R15" s="1306"/>
      <c r="S15" s="1307"/>
      <c r="T15" s="1306"/>
      <c r="U15" s="1307"/>
      <c r="V15" s="1306"/>
      <c r="W15" s="1307"/>
      <c r="X15" s="1301"/>
      <c r="Y15" s="3714"/>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14"/>
      <c r="Q16" s="1305" t="str">
        <f>B16</f>
        <v>公共配套设施</v>
      </c>
      <c r="R16" s="1306" t="s">
        <v>5</v>
      </c>
      <c r="S16" s="1307">
        <f>F16</f>
        <v>100</v>
      </c>
      <c r="T16" s="1306" t="s">
        <v>5</v>
      </c>
      <c r="U16" s="1307">
        <f>H16</f>
        <v>100</v>
      </c>
      <c r="V16" s="1306" t="s">
        <v>5</v>
      </c>
      <c r="W16" s="1307">
        <f>J16</f>
        <v>100</v>
      </c>
      <c r="X16" s="1301"/>
      <c r="Y16" s="3714"/>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14"/>
      <c r="Q17" s="1305"/>
      <c r="R17" s="1306"/>
      <c r="S17" s="1307"/>
      <c r="T17" s="1306"/>
      <c r="U17" s="1307"/>
      <c r="V17" s="1306"/>
      <c r="W17" s="1307"/>
      <c r="X17" s="1301"/>
      <c r="Y17" s="3714"/>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14"/>
      <c r="Q18" s="1305" t="str">
        <f>B18</f>
        <v>基础设施水平</v>
      </c>
      <c r="R18" s="1306" t="s">
        <v>5</v>
      </c>
      <c r="S18" s="1307">
        <f>F18</f>
        <v>100</v>
      </c>
      <c r="T18" s="1306" t="s">
        <v>5</v>
      </c>
      <c r="U18" s="1307">
        <f>H18</f>
        <v>100</v>
      </c>
      <c r="V18" s="1306" t="s">
        <v>5</v>
      </c>
      <c r="W18" s="1307">
        <f>J18</f>
        <v>100</v>
      </c>
      <c r="X18" s="1301"/>
      <c r="Y18" s="3714"/>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14"/>
      <c r="Q19" s="1305"/>
      <c r="R19" s="1306"/>
      <c r="S19" s="1307"/>
      <c r="T19" s="1306"/>
      <c r="U19" s="1307"/>
      <c r="V19" s="1306"/>
      <c r="W19" s="1307"/>
      <c r="X19" s="1301"/>
      <c r="Y19" s="3714"/>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14"/>
      <c r="Q20" s="1305" t="str">
        <f>B20</f>
        <v>自然及人文环境</v>
      </c>
      <c r="R20" s="1306" t="s">
        <v>5</v>
      </c>
      <c r="S20" s="1307">
        <f>F20</f>
        <v>100</v>
      </c>
      <c r="T20" s="1306" t="s">
        <v>5</v>
      </c>
      <c r="U20" s="1307">
        <f>H20</f>
        <v>100</v>
      </c>
      <c r="V20" s="1306" t="s">
        <v>5</v>
      </c>
      <c r="W20" s="1307">
        <f>J20</f>
        <v>100</v>
      </c>
      <c r="X20" s="1301"/>
      <c r="Y20" s="3714"/>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14"/>
      <c r="Q21" s="1305"/>
      <c r="R21" s="1306"/>
      <c r="S21" s="1307"/>
      <c r="T21" s="1306"/>
      <c r="U21" s="1307"/>
      <c r="V21" s="1306"/>
      <c r="W21" s="1307"/>
      <c r="X21" s="1301"/>
      <c r="Y21" s="3714"/>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14"/>
      <c r="Q22" s="1305" t="str">
        <f>B22</f>
        <v>楼层</v>
      </c>
      <c r="R22" s="1306" t="s">
        <v>5</v>
      </c>
      <c r="S22" s="1307">
        <f>F22</f>
        <v>100</v>
      </c>
      <c r="T22" s="1306" t="s">
        <v>5</v>
      </c>
      <c r="U22" s="1307">
        <f>H22</f>
        <v>100</v>
      </c>
      <c r="V22" s="1306" t="s">
        <v>5</v>
      </c>
      <c r="W22" s="1307">
        <f>J22</f>
        <v>100</v>
      </c>
      <c r="X22" s="1301"/>
      <c r="Y22" s="3714"/>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14"/>
      <c r="Q23" s="1305">
        <f>B23</f>
        <v>111</v>
      </c>
      <c r="R23" s="1306" t="s">
        <v>5</v>
      </c>
      <c r="S23" s="1307">
        <f>F23</f>
        <v>100</v>
      </c>
      <c r="T23" s="1306" t="s">
        <v>5</v>
      </c>
      <c r="U23" s="1307">
        <f>H23</f>
        <v>100</v>
      </c>
      <c r="V23" s="1306" t="s">
        <v>5</v>
      </c>
      <c r="W23" s="1307">
        <f>J23</f>
        <v>100</v>
      </c>
      <c r="X23" s="1301"/>
      <c r="Y23" s="3714"/>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14"/>
      <c r="Q24" s="1305">
        <f t="shared" ref="Q24:Q36" si="8">B24</f>
        <v>111</v>
      </c>
      <c r="R24" s="1306" t="s">
        <v>5</v>
      </c>
      <c r="S24" s="1307">
        <f>F24</f>
        <v>100</v>
      </c>
      <c r="T24" s="1306" t="s">
        <v>5</v>
      </c>
      <c r="U24" s="1307">
        <f>H24</f>
        <v>100</v>
      </c>
      <c r="V24" s="1306" t="s">
        <v>5</v>
      </c>
      <c r="W24" s="1307">
        <f>J24</f>
        <v>100</v>
      </c>
      <c r="X24" s="1301"/>
      <c r="Y24" s="3714"/>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14"/>
      <c r="Q25" s="816">
        <f t="shared" si="8"/>
        <v>111</v>
      </c>
      <c r="R25" s="1302" t="s">
        <v>5</v>
      </c>
      <c r="S25" s="1303">
        <f>F25</f>
        <v>100</v>
      </c>
      <c r="T25" s="1302" t="s">
        <v>5</v>
      </c>
      <c r="U25" s="1303">
        <f>H25</f>
        <v>100</v>
      </c>
      <c r="V25" s="1302" t="s">
        <v>5</v>
      </c>
      <c r="W25" s="1303">
        <f>J25</f>
        <v>100</v>
      </c>
      <c r="X25" s="1304"/>
      <c r="Y25" s="3714"/>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15"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16"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16"/>
      <c r="Q27" s="817" t="str">
        <f t="shared" si="8"/>
        <v>项目停车位配比</v>
      </c>
      <c r="R27" s="1309" t="s">
        <v>5</v>
      </c>
      <c r="S27" s="1310">
        <f t="shared" si="9"/>
        <v>100</v>
      </c>
      <c r="T27" s="1309" t="s">
        <v>5</v>
      </c>
      <c r="U27" s="1310">
        <f t="shared" si="10"/>
        <v>100</v>
      </c>
      <c r="V27" s="1309" t="s">
        <v>5</v>
      </c>
      <c r="W27" s="1310">
        <f t="shared" si="11"/>
        <v>100</v>
      </c>
      <c r="X27" s="1311"/>
      <c r="Y27" s="3716"/>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16"/>
      <c r="Q28" s="1305" t="str">
        <f t="shared" si="8"/>
        <v>公共部分装修</v>
      </c>
      <c r="R28" s="1306" t="s">
        <v>5</v>
      </c>
      <c r="S28" s="1307">
        <f t="shared" si="9"/>
        <v>100</v>
      </c>
      <c r="T28" s="1306" t="s">
        <v>5</v>
      </c>
      <c r="U28" s="1307">
        <f t="shared" si="10"/>
        <v>100</v>
      </c>
      <c r="V28" s="1306" t="s">
        <v>5</v>
      </c>
      <c r="W28" s="1307">
        <f t="shared" si="11"/>
        <v>100</v>
      </c>
      <c r="X28" s="1301"/>
      <c r="Y28" s="3716"/>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16"/>
      <c r="Q29" s="1305" t="str">
        <f t="shared" si="8"/>
        <v>成新率</v>
      </c>
      <c r="R29" s="1306" t="s">
        <v>5</v>
      </c>
      <c r="S29" s="1307" t="e">
        <f t="shared" si="9"/>
        <v>#N/A</v>
      </c>
      <c r="T29" s="1306" t="s">
        <v>5</v>
      </c>
      <c r="U29" s="1307" t="e">
        <f t="shared" si="10"/>
        <v>#N/A</v>
      </c>
      <c r="V29" s="1306" t="s">
        <v>5</v>
      </c>
      <c r="W29" s="1307" t="e">
        <f t="shared" si="11"/>
        <v>#N/A</v>
      </c>
      <c r="X29" s="1301"/>
      <c r="Y29" s="3716"/>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16"/>
      <c r="Q30" s="1305" t="str">
        <f t="shared" si="8"/>
        <v>物业等级</v>
      </c>
      <c r="R30" s="1306" t="s">
        <v>5</v>
      </c>
      <c r="S30" s="1307">
        <f t="shared" si="9"/>
        <v>100</v>
      </c>
      <c r="T30" s="1306" t="s">
        <v>5</v>
      </c>
      <c r="U30" s="1307">
        <f t="shared" si="10"/>
        <v>100</v>
      </c>
      <c r="V30" s="1306" t="s">
        <v>5</v>
      </c>
      <c r="W30" s="1307">
        <f t="shared" si="11"/>
        <v>100</v>
      </c>
      <c r="X30" s="1301"/>
      <c r="Y30" s="3716"/>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16"/>
      <c r="Q31" s="816" t="str">
        <f t="shared" si="8"/>
        <v>停车位面积</v>
      </c>
      <c r="R31" s="1302" t="s">
        <v>5</v>
      </c>
      <c r="S31" s="1303" t="e">
        <f t="shared" si="9"/>
        <v>#N/A</v>
      </c>
      <c r="T31" s="1302" t="s">
        <v>5</v>
      </c>
      <c r="U31" s="1303" t="e">
        <f t="shared" si="10"/>
        <v>#N/A</v>
      </c>
      <c r="V31" s="1302" t="s">
        <v>5</v>
      </c>
      <c r="W31" s="1303" t="e">
        <f t="shared" si="11"/>
        <v>#N/A</v>
      </c>
      <c r="X31" s="1304"/>
      <c r="Y31" s="3716"/>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16" t="s">
        <v>499</v>
      </c>
      <c r="Q32" s="1305" t="str">
        <f t="shared" si="8"/>
        <v>车位类型</v>
      </c>
      <c r="R32" s="1306" t="s">
        <v>5</v>
      </c>
      <c r="S32" s="1307">
        <f t="shared" si="9"/>
        <v>100</v>
      </c>
      <c r="T32" s="1306" t="s">
        <v>5</v>
      </c>
      <c r="U32" s="1307">
        <f t="shared" si="10"/>
        <v>100</v>
      </c>
      <c r="V32" s="1306" t="s">
        <v>5</v>
      </c>
      <c r="W32" s="1307">
        <f t="shared" si="11"/>
        <v>100</v>
      </c>
      <c r="X32" s="1301"/>
      <c r="Y32" s="3716"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16"/>
      <c r="Q33" s="1305" t="str">
        <f t="shared" si="8"/>
        <v>是否直接入户</v>
      </c>
      <c r="R33" s="1306" t="s">
        <v>5</v>
      </c>
      <c r="S33" s="1307">
        <f t="shared" si="9"/>
        <v>100</v>
      </c>
      <c r="T33" s="1306" t="s">
        <v>5</v>
      </c>
      <c r="U33" s="1307">
        <f t="shared" si="10"/>
        <v>100</v>
      </c>
      <c r="V33" s="1306" t="s">
        <v>5</v>
      </c>
      <c r="W33" s="1307">
        <f t="shared" si="11"/>
        <v>100</v>
      </c>
      <c r="X33" s="1301"/>
      <c r="Y33" s="3716"/>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16"/>
      <c r="Q34" s="1305">
        <f t="shared" si="8"/>
        <v>111</v>
      </c>
      <c r="R34" s="1306" t="s">
        <v>5</v>
      </c>
      <c r="S34" s="1307">
        <f t="shared" si="9"/>
        <v>100</v>
      </c>
      <c r="T34" s="1306" t="s">
        <v>5</v>
      </c>
      <c r="U34" s="1307">
        <f t="shared" si="10"/>
        <v>100</v>
      </c>
      <c r="V34" s="1306" t="s">
        <v>5</v>
      </c>
      <c r="W34" s="1307">
        <f t="shared" si="11"/>
        <v>100</v>
      </c>
      <c r="X34" s="1301"/>
      <c r="Y34" s="3716"/>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16"/>
      <c r="Q35" s="817">
        <f t="shared" si="8"/>
        <v>111</v>
      </c>
      <c r="R35" s="1309" t="s">
        <v>5</v>
      </c>
      <c r="S35" s="1310">
        <f t="shared" si="9"/>
        <v>100</v>
      </c>
      <c r="T35" s="1309" t="s">
        <v>5</v>
      </c>
      <c r="U35" s="1310">
        <f t="shared" si="10"/>
        <v>100</v>
      </c>
      <c r="V35" s="1309" t="s">
        <v>5</v>
      </c>
      <c r="W35" s="1310">
        <f t="shared" si="11"/>
        <v>100</v>
      </c>
      <c r="X35" s="1311"/>
      <c r="Y35" s="3716"/>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16"/>
      <c r="Q36" s="1305">
        <f t="shared" si="8"/>
        <v>111</v>
      </c>
      <c r="R36" s="1306" t="s">
        <v>5</v>
      </c>
      <c r="S36" s="1307">
        <f t="shared" si="9"/>
        <v>100</v>
      </c>
      <c r="T36" s="1306" t="s">
        <v>5</v>
      </c>
      <c r="U36" s="1307">
        <f t="shared" si="10"/>
        <v>100</v>
      </c>
      <c r="V36" s="1306" t="s">
        <v>5</v>
      </c>
      <c r="W36" s="1307">
        <f t="shared" si="11"/>
        <v>100</v>
      </c>
      <c r="X36" s="1301"/>
      <c r="Y36" s="3716"/>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11" t="str">
        <f>A37</f>
        <v>成交单价</v>
      </c>
      <c r="Q37" s="3711"/>
      <c r="R37" s="3727">
        <f>E37</f>
        <v>0</v>
      </c>
      <c r="S37" s="3727"/>
      <c r="T37" s="3727">
        <f>G37</f>
        <v>0</v>
      </c>
      <c r="U37" s="3727"/>
      <c r="V37" s="3727">
        <f>I37</f>
        <v>0</v>
      </c>
      <c r="W37" s="3727"/>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11" t="str">
        <f>A38</f>
        <v>比较价格（元/平方米）</v>
      </c>
      <c r="Q38" s="3711"/>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17" t="str">
        <f>A39</f>
        <v>估价对象XX用房的比较价格（楼面单价，元/平方米）</v>
      </c>
      <c r="Q39" s="3718"/>
      <c r="R39" s="3822" t="e">
        <f>IF(F1="售价",ROUND(IF(D38="简单平均",AVERAGE(R38:W38),R38*F38+T38*H38+V38*J38),0),ROUND(IF(D38="简单平均",AVERAGE(R38:V38),R38*F38+T38*H38+V38*J38),1))</f>
        <v>#DIV/0!</v>
      </c>
      <c r="S39" s="3822"/>
      <c r="T39" s="3822"/>
      <c r="U39" s="3822"/>
      <c r="V39" s="3822"/>
      <c r="W39" s="3822"/>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19" t="s">
        <v>738</v>
      </c>
      <c r="D4" s="3720"/>
      <c r="E4" s="3756" t="s">
        <v>739</v>
      </c>
      <c r="F4" s="3757"/>
      <c r="G4" s="3719" t="s">
        <v>740</v>
      </c>
      <c r="H4" s="3720"/>
      <c r="I4" s="3719" t="s">
        <v>741</v>
      </c>
      <c r="J4" s="3720"/>
      <c r="K4" s="465" t="s">
        <v>742</v>
      </c>
      <c r="L4" s="1740"/>
      <c r="M4" s="1741"/>
      <c r="N4" s="1741"/>
      <c r="O4" s="1741"/>
      <c r="P4" s="3721" t="s">
        <v>743</v>
      </c>
      <c r="Q4" s="3722"/>
      <c r="R4" s="3705" t="s">
        <v>739</v>
      </c>
      <c r="S4" s="3706"/>
      <c r="T4" s="3705" t="s">
        <v>740</v>
      </c>
      <c r="U4" s="3706"/>
      <c r="V4" s="3727" t="s">
        <v>741</v>
      </c>
      <c r="W4" s="3727"/>
      <c r="X4" s="1301"/>
      <c r="Y4" s="3705" t="s">
        <v>743</v>
      </c>
      <c r="Z4" s="3706"/>
      <c r="AA4" s="3700" t="s">
        <v>739</v>
      </c>
      <c r="AB4" s="3701" t="s">
        <v>740</v>
      </c>
      <c r="AC4" s="3700" t="s">
        <v>741</v>
      </c>
    </row>
    <row r="5" spans="1:29" ht="15">
      <c r="A5" s="466"/>
      <c r="B5" s="467"/>
      <c r="C5" s="3730" t="s">
        <v>2186</v>
      </c>
      <c r="D5" s="3731"/>
      <c r="E5" s="3758" t="s">
        <v>2187</v>
      </c>
      <c r="F5" s="3759"/>
      <c r="G5" s="3730" t="s">
        <v>2188</v>
      </c>
      <c r="H5" s="3731"/>
      <c r="I5" s="3730" t="s">
        <v>2189</v>
      </c>
      <c r="J5" s="3731"/>
      <c r="K5" s="465"/>
      <c r="L5" s="1740"/>
      <c r="M5" s="1741"/>
      <c r="N5" s="1741"/>
      <c r="O5" s="1741"/>
      <c r="P5" s="3723"/>
      <c r="Q5" s="3724"/>
      <c r="R5" s="3707"/>
      <c r="S5" s="3708"/>
      <c r="T5" s="3707"/>
      <c r="U5" s="3708"/>
      <c r="V5" s="3727"/>
      <c r="W5" s="3727"/>
      <c r="X5" s="1301"/>
      <c r="Y5" s="3707"/>
      <c r="Z5" s="3708"/>
      <c r="AA5" s="3701"/>
      <c r="AB5" s="3701"/>
      <c r="AC5" s="3701"/>
    </row>
    <row r="6" spans="1:29" ht="15.75" thickBot="1">
      <c r="A6" s="468"/>
      <c r="B6" s="469"/>
      <c r="C6" s="3728" t="s">
        <v>2190</v>
      </c>
      <c r="D6" s="3729"/>
      <c r="E6" s="3760" t="s">
        <v>2190</v>
      </c>
      <c r="F6" s="3761"/>
      <c r="G6" s="3728" t="s">
        <v>2190</v>
      </c>
      <c r="H6" s="3729"/>
      <c r="I6" s="3728" t="s">
        <v>2190</v>
      </c>
      <c r="J6" s="3729"/>
      <c r="K6" s="465" t="s">
        <v>477</v>
      </c>
      <c r="L6" s="1740"/>
      <c r="M6" s="1741"/>
      <c r="N6" s="1741"/>
      <c r="O6" s="1741"/>
      <c r="P6" s="3725"/>
      <c r="Q6" s="3726"/>
      <c r="R6" s="3707"/>
      <c r="S6" s="3708"/>
      <c r="T6" s="3709"/>
      <c r="U6" s="3710"/>
      <c r="V6" s="3727"/>
      <c r="W6" s="3727"/>
      <c r="X6" s="1301"/>
      <c r="Y6" s="3709"/>
      <c r="Z6" s="3710"/>
      <c r="AA6" s="3702"/>
      <c r="AB6" s="3702"/>
      <c r="AC6" s="3702"/>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03" t="s">
        <v>479</v>
      </c>
      <c r="Q7" s="3712"/>
      <c r="R7" s="1302" t="s">
        <v>5</v>
      </c>
      <c r="S7" s="1303">
        <f t="shared" ref="S7:S14" si="0">F7</f>
        <v>0</v>
      </c>
      <c r="T7" s="1302" t="s">
        <v>5</v>
      </c>
      <c r="U7" s="1303">
        <f t="shared" ref="U7:U14" si="1">H7</f>
        <v>0</v>
      </c>
      <c r="V7" s="1302" t="s">
        <v>5</v>
      </c>
      <c r="W7" s="1303">
        <f t="shared" ref="W7:W14" si="2">J7</f>
        <v>0</v>
      </c>
      <c r="X7" s="1304"/>
      <c r="Y7" s="3703" t="s">
        <v>479</v>
      </c>
      <c r="Z7" s="3704"/>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03" t="s">
        <v>482</v>
      </c>
      <c r="Q8" s="3704"/>
      <c r="R8" s="1302" t="s">
        <v>5</v>
      </c>
      <c r="S8" s="1303">
        <f t="shared" si="0"/>
        <v>0</v>
      </c>
      <c r="T8" s="1302" t="s">
        <v>5</v>
      </c>
      <c r="U8" s="1303">
        <f t="shared" si="1"/>
        <v>0</v>
      </c>
      <c r="V8" s="1302" t="s">
        <v>5</v>
      </c>
      <c r="W8" s="1303">
        <f t="shared" si="2"/>
        <v>0</v>
      </c>
      <c r="X8" s="1304"/>
      <c r="Y8" s="3703" t="s">
        <v>482</v>
      </c>
      <c r="Z8" s="3704"/>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11" t="s">
        <v>484</v>
      </c>
      <c r="Q9" s="816" t="str">
        <f t="shared" ref="Q9:Q14" si="6">B9</f>
        <v>用途</v>
      </c>
      <c r="R9" s="1302" t="s">
        <v>5</v>
      </c>
      <c r="S9" s="1303">
        <f t="shared" si="0"/>
        <v>100</v>
      </c>
      <c r="T9" s="1302" t="s">
        <v>5</v>
      </c>
      <c r="U9" s="1303">
        <f t="shared" si="1"/>
        <v>100</v>
      </c>
      <c r="V9" s="1302" t="s">
        <v>5</v>
      </c>
      <c r="W9" s="1303">
        <f t="shared" si="2"/>
        <v>100</v>
      </c>
      <c r="X9" s="1304"/>
      <c r="Y9" s="3660" t="s">
        <v>485</v>
      </c>
      <c r="Z9" s="995" t="str">
        <f t="shared" ref="Z9:Z14" si="7">Q9</f>
        <v>用途</v>
      </c>
      <c r="AA9" s="995">
        <f t="shared" si="3"/>
        <v>1</v>
      </c>
      <c r="AB9" s="995">
        <f t="shared" si="4"/>
        <v>1</v>
      </c>
      <c r="AC9" s="995">
        <f t="shared" si="5"/>
        <v>1</v>
      </c>
    </row>
    <row r="10" spans="1:29" s="1131" customFormat="1" ht="27">
      <c r="A10" s="2211"/>
      <c r="B10" s="2216" t="s">
        <v>2036</v>
      </c>
      <c r="C10" s="3385"/>
      <c r="D10" s="235">
        <v>100</v>
      </c>
      <c r="E10" s="3385"/>
      <c r="F10" s="235">
        <f>SUMIF(53:53,E10,54:54)-SUMIF(53:53,C10,54:54)+100</f>
        <v>100</v>
      </c>
      <c r="G10" s="3386"/>
      <c r="H10" s="235">
        <f>SUMIF(53:53,G10,54:54)-SUMIF(53:53,C10,54:54)+100</f>
        <v>100</v>
      </c>
      <c r="I10" s="3385"/>
      <c r="J10" s="235">
        <f>SUMIF(53:53,I10,54:54)-SUMIF(53:53,C10,54:54)+100</f>
        <v>100</v>
      </c>
      <c r="K10" s="88"/>
      <c r="L10" s="1744"/>
      <c r="M10" s="1777"/>
      <c r="N10" s="1777"/>
      <c r="O10" s="1745"/>
      <c r="P10" s="3711"/>
      <c r="Q10" s="816" t="str">
        <f t="shared" si="6"/>
        <v>土地使用年限（年）</v>
      </c>
      <c r="R10" s="1302" t="s">
        <v>5</v>
      </c>
      <c r="S10" s="1303">
        <f t="shared" si="0"/>
        <v>100</v>
      </c>
      <c r="T10" s="1302" t="s">
        <v>5</v>
      </c>
      <c r="U10" s="1303">
        <f t="shared" si="1"/>
        <v>100</v>
      </c>
      <c r="V10" s="1302" t="s">
        <v>5</v>
      </c>
      <c r="W10" s="1303">
        <f t="shared" si="2"/>
        <v>100</v>
      </c>
      <c r="X10" s="1304"/>
      <c r="Y10" s="3660"/>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11"/>
      <c r="Q11" s="816">
        <f t="shared" si="6"/>
        <v>111</v>
      </c>
      <c r="R11" s="1302" t="s">
        <v>5</v>
      </c>
      <c r="S11" s="1303">
        <f t="shared" si="0"/>
        <v>100</v>
      </c>
      <c r="T11" s="1302" t="s">
        <v>5</v>
      </c>
      <c r="U11" s="1303">
        <f t="shared" si="1"/>
        <v>100</v>
      </c>
      <c r="V11" s="1302" t="s">
        <v>5</v>
      </c>
      <c r="W11" s="1303">
        <f t="shared" si="2"/>
        <v>100</v>
      </c>
      <c r="X11" s="1304"/>
      <c r="Y11" s="3660"/>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11"/>
      <c r="Q12" s="816">
        <f t="shared" si="6"/>
        <v>111</v>
      </c>
      <c r="R12" s="1302" t="s">
        <v>5</v>
      </c>
      <c r="S12" s="1303">
        <f t="shared" si="0"/>
        <v>100</v>
      </c>
      <c r="T12" s="1302" t="s">
        <v>5</v>
      </c>
      <c r="U12" s="1303">
        <f t="shared" si="1"/>
        <v>100</v>
      </c>
      <c r="V12" s="1302" t="s">
        <v>5</v>
      </c>
      <c r="W12" s="1303">
        <f t="shared" si="2"/>
        <v>100</v>
      </c>
      <c r="X12" s="1304"/>
      <c r="Y12" s="3660"/>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11"/>
      <c r="Q13" s="816">
        <f t="shared" si="6"/>
        <v>111</v>
      </c>
      <c r="R13" s="1302" t="s">
        <v>5</v>
      </c>
      <c r="S13" s="1303">
        <f t="shared" si="0"/>
        <v>100</v>
      </c>
      <c r="T13" s="1302" t="s">
        <v>5</v>
      </c>
      <c r="U13" s="1303">
        <f t="shared" si="1"/>
        <v>100</v>
      </c>
      <c r="V13" s="1302" t="s">
        <v>5</v>
      </c>
      <c r="W13" s="1303">
        <f t="shared" si="2"/>
        <v>100</v>
      </c>
      <c r="X13" s="1304"/>
      <c r="Y13" s="3660"/>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13" t="s">
        <v>489</v>
      </c>
      <c r="Q14" s="1305" t="str">
        <f t="shared" si="6"/>
        <v>交通便捷度</v>
      </c>
      <c r="R14" s="1306" t="s">
        <v>5</v>
      </c>
      <c r="S14" s="1307">
        <f t="shared" si="0"/>
        <v>100</v>
      </c>
      <c r="T14" s="1306" t="s">
        <v>5</v>
      </c>
      <c r="U14" s="1307">
        <f t="shared" si="1"/>
        <v>100</v>
      </c>
      <c r="V14" s="1306" t="s">
        <v>5</v>
      </c>
      <c r="W14" s="1307">
        <f t="shared" si="2"/>
        <v>100</v>
      </c>
      <c r="X14" s="1301"/>
      <c r="Y14" s="3713"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14"/>
      <c r="Q15" s="1305"/>
      <c r="R15" s="1306"/>
      <c r="S15" s="1307"/>
      <c r="T15" s="1306"/>
      <c r="U15" s="1307"/>
      <c r="V15" s="1306"/>
      <c r="W15" s="1307"/>
      <c r="X15" s="1301"/>
      <c r="Y15" s="3714"/>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14"/>
      <c r="Q16" s="1305" t="str">
        <f>B16</f>
        <v>公共配套设施</v>
      </c>
      <c r="R16" s="1306" t="s">
        <v>5</v>
      </c>
      <c r="S16" s="1307">
        <f>F16</f>
        <v>100</v>
      </c>
      <c r="T16" s="1306" t="s">
        <v>5</v>
      </c>
      <c r="U16" s="1307">
        <f>H16</f>
        <v>100</v>
      </c>
      <c r="V16" s="1306" t="s">
        <v>5</v>
      </c>
      <c r="W16" s="1307">
        <f>J16</f>
        <v>100</v>
      </c>
      <c r="X16" s="1301"/>
      <c r="Y16" s="3714"/>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14"/>
      <c r="Q17" s="1305"/>
      <c r="R17" s="1306"/>
      <c r="S17" s="1307"/>
      <c r="T17" s="1306"/>
      <c r="U17" s="1307"/>
      <c r="V17" s="1306"/>
      <c r="W17" s="1307"/>
      <c r="X17" s="1301"/>
      <c r="Y17" s="3714"/>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14"/>
      <c r="Q18" s="1305" t="str">
        <f>B18</f>
        <v>基础设施水平</v>
      </c>
      <c r="R18" s="1306" t="s">
        <v>5</v>
      </c>
      <c r="S18" s="1307">
        <f>F18</f>
        <v>100</v>
      </c>
      <c r="T18" s="1306" t="s">
        <v>5</v>
      </c>
      <c r="U18" s="1307">
        <f>H18</f>
        <v>100</v>
      </c>
      <c r="V18" s="1306" t="s">
        <v>5</v>
      </c>
      <c r="W18" s="1307">
        <f>J18</f>
        <v>100</v>
      </c>
      <c r="X18" s="1301"/>
      <c r="Y18" s="3714"/>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14"/>
      <c r="Q19" s="1305"/>
      <c r="R19" s="1306"/>
      <c r="S19" s="1307"/>
      <c r="T19" s="1306"/>
      <c r="U19" s="1307"/>
      <c r="V19" s="1306"/>
      <c r="W19" s="1307"/>
      <c r="X19" s="1301"/>
      <c r="Y19" s="3714"/>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14"/>
      <c r="Q20" s="1305" t="str">
        <f>B20</f>
        <v>自然及人文环境</v>
      </c>
      <c r="R20" s="1306" t="s">
        <v>5</v>
      </c>
      <c r="S20" s="1307">
        <f>F20</f>
        <v>100</v>
      </c>
      <c r="T20" s="1306" t="s">
        <v>5</v>
      </c>
      <c r="U20" s="1307">
        <f>H20</f>
        <v>100</v>
      </c>
      <c r="V20" s="1306" t="s">
        <v>5</v>
      </c>
      <c r="W20" s="1307">
        <f>J20</f>
        <v>100</v>
      </c>
      <c r="X20" s="1301"/>
      <c r="Y20" s="3714"/>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14"/>
      <c r="Q21" s="1305"/>
      <c r="R21" s="1306"/>
      <c r="S21" s="1307"/>
      <c r="T21" s="1306"/>
      <c r="U21" s="1307"/>
      <c r="V21" s="1306"/>
      <c r="W21" s="1307"/>
      <c r="X21" s="1301"/>
      <c r="Y21" s="3714"/>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14"/>
      <c r="Q22" s="1305" t="str">
        <f>B22</f>
        <v>楼层</v>
      </c>
      <c r="R22" s="1306" t="s">
        <v>5</v>
      </c>
      <c r="S22" s="1307">
        <f>F22</f>
        <v>100</v>
      </c>
      <c r="T22" s="1306" t="s">
        <v>5</v>
      </c>
      <c r="U22" s="1307">
        <f>H22</f>
        <v>100</v>
      </c>
      <c r="V22" s="1306" t="s">
        <v>5</v>
      </c>
      <c r="W22" s="1307">
        <f>J22</f>
        <v>100</v>
      </c>
      <c r="X22" s="1301"/>
      <c r="Y22" s="3714"/>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14"/>
      <c r="Q23" s="1305">
        <f>B23</f>
        <v>111</v>
      </c>
      <c r="R23" s="1306" t="s">
        <v>5</v>
      </c>
      <c r="S23" s="1307">
        <f>F23</f>
        <v>100</v>
      </c>
      <c r="T23" s="1306" t="s">
        <v>5</v>
      </c>
      <c r="U23" s="1307">
        <f>H23</f>
        <v>100</v>
      </c>
      <c r="V23" s="1306" t="s">
        <v>5</v>
      </c>
      <c r="W23" s="1307">
        <f>J23</f>
        <v>100</v>
      </c>
      <c r="X23" s="1301"/>
      <c r="Y23" s="3714"/>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14"/>
      <c r="Q24" s="1305">
        <f t="shared" ref="Q24:Q34" si="8">B24</f>
        <v>111</v>
      </c>
      <c r="R24" s="1306" t="s">
        <v>5</v>
      </c>
      <c r="S24" s="1307">
        <f>F24</f>
        <v>100</v>
      </c>
      <c r="T24" s="1306" t="s">
        <v>5</v>
      </c>
      <c r="U24" s="1307">
        <f>H24</f>
        <v>100</v>
      </c>
      <c r="V24" s="1306" t="s">
        <v>5</v>
      </c>
      <c r="W24" s="1307">
        <f>J24</f>
        <v>100</v>
      </c>
      <c r="X24" s="1301"/>
      <c r="Y24" s="3714"/>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14"/>
      <c r="Q25" s="816">
        <f t="shared" si="8"/>
        <v>111</v>
      </c>
      <c r="R25" s="1302" t="s">
        <v>5</v>
      </c>
      <c r="S25" s="1303">
        <f>F25</f>
        <v>100</v>
      </c>
      <c r="T25" s="1302" t="s">
        <v>5</v>
      </c>
      <c r="U25" s="1303">
        <f>H25</f>
        <v>100</v>
      </c>
      <c r="V25" s="1302" t="s">
        <v>5</v>
      </c>
      <c r="W25" s="1303">
        <f>J25</f>
        <v>100</v>
      </c>
      <c r="X25" s="1304"/>
      <c r="Y25" s="3714"/>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15"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16"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16"/>
      <c r="Q27" s="817" t="str">
        <f t="shared" si="8"/>
        <v>成新率</v>
      </c>
      <c r="R27" s="1309" t="s">
        <v>5</v>
      </c>
      <c r="S27" s="1310" t="e">
        <f t="shared" si="9"/>
        <v>#N/A</v>
      </c>
      <c r="T27" s="1309" t="s">
        <v>5</v>
      </c>
      <c r="U27" s="1310" t="e">
        <f t="shared" si="10"/>
        <v>#N/A</v>
      </c>
      <c r="V27" s="1309" t="s">
        <v>5</v>
      </c>
      <c r="W27" s="1310" t="e">
        <f t="shared" si="11"/>
        <v>#N/A</v>
      </c>
      <c r="X27" s="1311"/>
      <c r="Y27" s="3716"/>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16"/>
      <c r="Q28" s="1305" t="str">
        <f t="shared" si="8"/>
        <v>物业等级</v>
      </c>
      <c r="R28" s="1306" t="s">
        <v>5</v>
      </c>
      <c r="S28" s="1307">
        <f t="shared" si="9"/>
        <v>100</v>
      </c>
      <c r="T28" s="1306" t="s">
        <v>5</v>
      </c>
      <c r="U28" s="1307">
        <f t="shared" si="10"/>
        <v>100</v>
      </c>
      <c r="V28" s="1306" t="s">
        <v>5</v>
      </c>
      <c r="W28" s="1307">
        <f t="shared" si="11"/>
        <v>100</v>
      </c>
      <c r="X28" s="1301"/>
      <c r="Y28" s="3716"/>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16"/>
      <c r="Q29" s="1305" t="str">
        <f t="shared" si="8"/>
        <v>有无电梯</v>
      </c>
      <c r="R29" s="1306" t="s">
        <v>5</v>
      </c>
      <c r="S29" s="1307">
        <f t="shared" si="9"/>
        <v>100</v>
      </c>
      <c r="T29" s="1306" t="s">
        <v>5</v>
      </c>
      <c r="U29" s="1307">
        <f t="shared" si="10"/>
        <v>100</v>
      </c>
      <c r="V29" s="1306" t="s">
        <v>5</v>
      </c>
      <c r="W29" s="1307">
        <f t="shared" si="11"/>
        <v>100</v>
      </c>
      <c r="X29" s="1301"/>
      <c r="Y29" s="3716"/>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16"/>
      <c r="Q30" s="1305" t="str">
        <f t="shared" si="8"/>
        <v>建筑面积</v>
      </c>
      <c r="R30" s="1306" t="s">
        <v>5</v>
      </c>
      <c r="S30" s="1307" t="e">
        <f t="shared" si="9"/>
        <v>#N/A</v>
      </c>
      <c r="T30" s="1306" t="s">
        <v>5</v>
      </c>
      <c r="U30" s="1307" t="e">
        <f t="shared" si="10"/>
        <v>#N/A</v>
      </c>
      <c r="V30" s="1306" t="s">
        <v>5</v>
      </c>
      <c r="W30" s="1307" t="e">
        <f t="shared" si="11"/>
        <v>#N/A</v>
      </c>
      <c r="X30" s="1301"/>
      <c r="Y30" s="3716"/>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16"/>
      <c r="Q31" s="816" t="str">
        <f t="shared" si="8"/>
        <v>是否封闭</v>
      </c>
      <c r="R31" s="1302" t="s">
        <v>5</v>
      </c>
      <c r="S31" s="1303">
        <f t="shared" si="9"/>
        <v>100</v>
      </c>
      <c r="T31" s="1302" t="s">
        <v>5</v>
      </c>
      <c r="U31" s="1303">
        <f t="shared" si="10"/>
        <v>100</v>
      </c>
      <c r="V31" s="1302" t="s">
        <v>5</v>
      </c>
      <c r="W31" s="1303">
        <f t="shared" si="11"/>
        <v>100</v>
      </c>
      <c r="X31" s="1304"/>
      <c r="Y31" s="3716"/>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16" t="s">
        <v>499</v>
      </c>
      <c r="Q32" s="1305">
        <f t="shared" si="8"/>
        <v>111</v>
      </c>
      <c r="R32" s="1306" t="s">
        <v>5</v>
      </c>
      <c r="S32" s="1307">
        <f t="shared" si="9"/>
        <v>100</v>
      </c>
      <c r="T32" s="1306" t="s">
        <v>5</v>
      </c>
      <c r="U32" s="1307">
        <f t="shared" si="10"/>
        <v>100</v>
      </c>
      <c r="V32" s="1306" t="s">
        <v>5</v>
      </c>
      <c r="W32" s="1307">
        <f t="shared" si="11"/>
        <v>100</v>
      </c>
      <c r="X32" s="1301"/>
      <c r="Y32" s="3716"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16"/>
      <c r="Q33" s="1305">
        <f t="shared" si="8"/>
        <v>111</v>
      </c>
      <c r="R33" s="1306" t="s">
        <v>5</v>
      </c>
      <c r="S33" s="1307">
        <f t="shared" si="9"/>
        <v>100</v>
      </c>
      <c r="T33" s="1306" t="s">
        <v>5</v>
      </c>
      <c r="U33" s="1307">
        <f t="shared" si="10"/>
        <v>100</v>
      </c>
      <c r="V33" s="1306" t="s">
        <v>5</v>
      </c>
      <c r="W33" s="1307">
        <f t="shared" si="11"/>
        <v>100</v>
      </c>
      <c r="X33" s="1301"/>
      <c r="Y33" s="3716"/>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16"/>
      <c r="Q34" s="1305">
        <f t="shared" si="8"/>
        <v>111</v>
      </c>
      <c r="R34" s="1306" t="s">
        <v>5</v>
      </c>
      <c r="S34" s="1307">
        <f t="shared" si="9"/>
        <v>100</v>
      </c>
      <c r="T34" s="1306" t="s">
        <v>5</v>
      </c>
      <c r="U34" s="1307">
        <f t="shared" si="10"/>
        <v>100</v>
      </c>
      <c r="V34" s="1306" t="s">
        <v>5</v>
      </c>
      <c r="W34" s="1307">
        <f t="shared" si="11"/>
        <v>100</v>
      </c>
      <c r="X34" s="1301"/>
      <c r="Y34" s="3716"/>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11" t="str">
        <f>A35</f>
        <v>成交单价（元/平方米）</v>
      </c>
      <c r="Q35" s="3711"/>
      <c r="R35" s="3727">
        <f>E35</f>
        <v>0</v>
      </c>
      <c r="S35" s="3727"/>
      <c r="T35" s="3727">
        <f>G35</f>
        <v>0</v>
      </c>
      <c r="U35" s="3727"/>
      <c r="V35" s="3727">
        <f>I35</f>
        <v>0</v>
      </c>
      <c r="W35" s="3727"/>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11" t="str">
        <f>A36</f>
        <v>比较价格（元/平方米）</v>
      </c>
      <c r="Q36" s="3711"/>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17" t="str">
        <f>A37</f>
        <v>估价对象XX用房的比较价格（楼面单价，元/平方米）</v>
      </c>
      <c r="Q37" s="3718"/>
      <c r="R37" s="3822" t="e">
        <f>IF(F1="售价",ROUND(IF(D36="简单平均",AVERAGE(R36:W36),R36*F36+T36*H36+V36*J36),0),ROUND(IF(D36="简单平均",AVERAGE(R36:V36),R36*F36+T36*H36+V36*J36),1))</f>
        <v>#DIV/0!</v>
      </c>
      <c r="S37" s="3822"/>
      <c r="T37" s="3822"/>
      <c r="U37" s="3822"/>
      <c r="V37" s="3822"/>
      <c r="W37" s="3822"/>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31" t="s">
        <v>1659</v>
      </c>
      <c r="D1" s="3832"/>
      <c r="E1" s="3832"/>
      <c r="F1" s="3832"/>
      <c r="G1" s="3832"/>
      <c r="H1" s="3832"/>
      <c r="I1" s="3832"/>
      <c r="J1" s="3832"/>
      <c r="K1" s="3832"/>
      <c r="L1" s="3832"/>
      <c r="M1" s="3832"/>
      <c r="N1" s="3832"/>
      <c r="O1" s="3832"/>
      <c r="P1" s="3832"/>
      <c r="Q1" s="3832"/>
      <c r="R1" s="3832"/>
      <c r="S1" s="3833"/>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28" t="s">
        <v>14</v>
      </c>
      <c r="D22" s="3829"/>
      <c r="E22" s="3829"/>
      <c r="F22" s="3829"/>
      <c r="G22" s="3829"/>
      <c r="H22" s="3829"/>
      <c r="I22" s="3829"/>
      <c r="J22" s="3829"/>
      <c r="K22" s="3829"/>
      <c r="L22" s="3829"/>
      <c r="M22" s="3829"/>
      <c r="N22" s="3829"/>
      <c r="O22" s="3829"/>
      <c r="P22" s="3829"/>
      <c r="Q22" s="3830"/>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 ca="1">MATCH(C2,H3:H7,1)+IF(SUMIF(H3:H7,C2,I3:I7)=0,2,1)</f>
        <v>4</v>
      </c>
      <c r="J1" s="2289">
        <f ca="1">MATCH(C3,H3:H7,1)+IF(SUMIF(H3:H7,C3,J3:J7)=0,2,1)</f>
        <v>4</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1</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1</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25" t="s">
        <v>1554</v>
      </c>
      <c r="B1" s="3525"/>
      <c r="C1" s="3525"/>
      <c r="D1" s="3525"/>
      <c r="E1" s="3525"/>
      <c r="F1" s="3525"/>
      <c r="G1" s="3525"/>
      <c r="H1" s="3525"/>
      <c r="I1" s="3525"/>
      <c r="J1" s="3525"/>
      <c r="K1" s="3525"/>
      <c r="L1" s="3525"/>
      <c r="M1" s="3525"/>
      <c r="N1" s="3525"/>
      <c r="O1" s="3525"/>
      <c r="P1" s="3525"/>
      <c r="Q1" s="3525"/>
      <c r="R1" s="3525"/>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26" t="s">
        <v>1545</v>
      </c>
      <c r="B3" s="3526" t="s">
        <v>2010</v>
      </c>
      <c r="C3" s="3527" t="s">
        <v>1546</v>
      </c>
      <c r="D3" s="3526" t="s">
        <v>2014</v>
      </c>
      <c r="E3" s="3528" t="s">
        <v>1547</v>
      </c>
      <c r="F3" s="3528"/>
      <c r="G3" s="3528"/>
      <c r="H3" s="3528" t="s">
        <v>1548</v>
      </c>
      <c r="I3" s="3528"/>
      <c r="J3" s="3528"/>
      <c r="K3" s="3527" t="s">
        <v>1549</v>
      </c>
      <c r="L3" s="3527" t="s">
        <v>1550</v>
      </c>
      <c r="M3" s="3526" t="s">
        <v>2011</v>
      </c>
      <c r="N3" s="3526" t="str">
        <f>"（分摊）"&amp;项目基本情况!A17&amp;"国有建设用地使用权面积/㎡"</f>
        <v>（分摊）划拨国有建设用地使用权面积/㎡</v>
      </c>
      <c r="O3" s="3526" t="s">
        <v>1579</v>
      </c>
      <c r="P3" s="3527" t="s">
        <v>1559</v>
      </c>
      <c r="Q3" s="3527" t="s">
        <v>1580</v>
      </c>
      <c r="R3" s="3527" t="s">
        <v>1551</v>
      </c>
    </row>
    <row r="4" spans="1:18" ht="36.75" customHeight="1">
      <c r="A4" s="3526"/>
      <c r="B4" s="3526"/>
      <c r="C4" s="3527"/>
      <c r="D4" s="3526"/>
      <c r="E4" s="1504" t="s">
        <v>1558</v>
      </c>
      <c r="F4" s="1504" t="s">
        <v>2023</v>
      </c>
      <c r="G4" s="1504" t="s">
        <v>1552</v>
      </c>
      <c r="H4" s="1504" t="s">
        <v>1553</v>
      </c>
      <c r="I4" s="1504" t="s">
        <v>2024</v>
      </c>
      <c r="J4" s="1504" t="s">
        <v>1552</v>
      </c>
      <c r="K4" s="3527"/>
      <c r="L4" s="3527"/>
      <c r="M4" s="3526"/>
      <c r="N4" s="3526"/>
      <c r="O4" s="3526"/>
      <c r="P4" s="3527"/>
      <c r="Q4" s="3527"/>
      <c r="R4" s="3527"/>
    </row>
    <row r="5" spans="1:18" ht="135" customHeight="1">
      <c r="A5" s="1601" t="s">
        <v>1934</v>
      </c>
      <c r="B5" s="2171" t="s">
        <v>1932</v>
      </c>
      <c r="C5" s="2088">
        <v>22</v>
      </c>
      <c r="D5" s="2087" t="s">
        <v>1933</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9316.8700000000008</v>
      </c>
      <c r="O5" s="1504">
        <f>项目基本情况!C21</f>
        <v>1</v>
      </c>
      <c r="P5" s="1504" t="e">
        <f ca="1">结果表!E42</f>
        <v>#REF!</v>
      </c>
      <c r="Q5" s="1504" t="e">
        <f ca="1">结果表!D42</f>
        <v>#REF!</v>
      </c>
      <c r="R5" s="1505" t="e">
        <f ca="1">结果表!C42</f>
        <v>#REF!</v>
      </c>
    </row>
    <row r="6" spans="1:18">
      <c r="A6" s="3529" t="str">
        <f>IF(项目基本情况!B9="市场价格","——","抵押价格")</f>
        <v>——</v>
      </c>
      <c r="B6" s="3530"/>
      <c r="C6" s="3530"/>
      <c r="D6" s="3530"/>
      <c r="E6" s="3530"/>
      <c r="F6" s="3530"/>
      <c r="G6" s="3530"/>
      <c r="H6" s="3530"/>
      <c r="I6" s="3530"/>
      <c r="J6" s="3530"/>
      <c r="K6" s="3530"/>
      <c r="L6" s="3530"/>
      <c r="M6" s="3530"/>
      <c r="N6" s="3530"/>
      <c r="O6" s="3530"/>
      <c r="P6" s="3530"/>
      <c r="Q6" s="3531"/>
      <c r="R6" s="1506" t="str">
        <f>结果表!O39</f>
        <v>——</v>
      </c>
    </row>
    <row r="7" spans="1:18">
      <c r="A7" s="3529" t="str">
        <f>IF(项目基本情况!B9="市场价格","——",IF(项目基本情况!E8="已注销及未注销","抵押担保权已注销时的抵押价格","——"))</f>
        <v>——</v>
      </c>
      <c r="B7" s="3530"/>
      <c r="C7" s="3530"/>
      <c r="D7" s="3530"/>
      <c r="E7" s="3530"/>
      <c r="F7" s="3530"/>
      <c r="G7" s="3530"/>
      <c r="H7" s="3530"/>
      <c r="I7" s="3530"/>
      <c r="J7" s="3530"/>
      <c r="K7" s="3530"/>
      <c r="L7" s="3530"/>
      <c r="M7" s="3530"/>
      <c r="N7" s="3530"/>
      <c r="O7" s="3530"/>
      <c r="P7" s="3530"/>
      <c r="Q7" s="3531"/>
      <c r="R7" s="1506" t="str">
        <f>结果表!O40</f>
        <v>——</v>
      </c>
    </row>
    <row r="8" spans="1:18">
      <c r="A8" s="3529" t="str">
        <f>IF(项目基本情况!B9="市场价格","——",项目基本情况!E9)</f>
        <v>——</v>
      </c>
      <c r="B8" s="3530"/>
      <c r="C8" s="3530"/>
      <c r="D8" s="3530"/>
      <c r="E8" s="3530"/>
      <c r="F8" s="3530"/>
      <c r="G8" s="3530"/>
      <c r="H8" s="3530"/>
      <c r="I8" s="3530"/>
      <c r="J8" s="3530"/>
      <c r="K8" s="3530"/>
      <c r="L8" s="3530"/>
      <c r="M8" s="3530"/>
      <c r="N8" s="3530"/>
      <c r="O8" s="3530"/>
      <c r="P8" s="3530"/>
      <c r="Q8" s="3531"/>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32" t="s">
        <v>1581</v>
      </c>
      <c r="B1" s="3532"/>
      <c r="C1" s="3532"/>
      <c r="D1" s="3532"/>
    </row>
    <row r="2" spans="1:4" ht="47.25" customHeight="1">
      <c r="A2" s="3535" t="str">
        <f>"1.权利限制："&amp;项目基本情况!L24&amp;"未设定租赁等其他他项权利。"</f>
        <v>1.权利限制：根据估价对象《房屋所有权证》复印件、《国有土地使用权》复印件，截至估价期日，估价对象抵押权未见登记。未设定租赁等其他他项权利。</v>
      </c>
      <c r="B2" s="3535"/>
      <c r="C2" s="3535"/>
      <c r="D2" s="3535"/>
    </row>
    <row r="3" spans="1:4" ht="48" customHeight="1">
      <c r="A3" s="353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32"/>
      <c r="C3" s="3532"/>
      <c r="D3" s="3532"/>
    </row>
    <row r="4" spans="1:4" ht="36.75" customHeight="1">
      <c r="A4" s="3532" t="str">
        <f>"3.估价规划限制条件：详见"&amp;项目基本情况!E21&amp;"。"</f>
        <v>3.估价规划限制条件：详见。</v>
      </c>
      <c r="B4" s="3532"/>
      <c r="C4" s="3532"/>
      <c r="D4" s="3532"/>
    </row>
    <row r="5" spans="1:4">
      <c r="A5" s="3534" t="s">
        <v>1582</v>
      </c>
      <c r="B5" s="3534"/>
      <c r="C5" s="3534"/>
      <c r="D5" s="3534"/>
    </row>
    <row r="6" spans="1:4">
      <c r="A6" s="3532" t="s">
        <v>1560</v>
      </c>
      <c r="B6" s="3532"/>
      <c r="C6" s="3532"/>
      <c r="D6" s="3532"/>
    </row>
    <row r="7" spans="1:4" ht="33" customHeight="1">
      <c r="A7" s="3532" t="s">
        <v>1854</v>
      </c>
      <c r="B7" s="3532"/>
      <c r="C7" s="3532"/>
      <c r="D7" s="3532"/>
    </row>
    <row r="8" spans="1:4" ht="32.25" customHeight="1">
      <c r="A8" s="35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2"/>
      <c r="C8" s="3532"/>
      <c r="D8" s="3532"/>
    </row>
    <row r="9" spans="1:4" ht="33.75" customHeight="1">
      <c r="A9" s="3532" t="str">
        <f>IF(项目基本情况!B8="抵押","3.抵押双方在办理抵押登记手续时，应使用本公司出具的正式《土地估价报告》，特提请报告使用者注意。","——")</f>
        <v>——</v>
      </c>
      <c r="B9" s="3532"/>
      <c r="C9" s="3532"/>
      <c r="D9" s="3532"/>
    </row>
    <row r="10" spans="1:4">
      <c r="A10" s="3532" t="str">
        <f>IF(项目基本情况!B8="抵押","4.估价师所知悉的法定优先受偿款情况为：","——")</f>
        <v>——</v>
      </c>
      <c r="B10" s="3532"/>
      <c r="C10" s="3532"/>
      <c r="D10" s="3532"/>
    </row>
    <row r="11" spans="1:4" ht="37.5" customHeight="1">
      <c r="A11" s="3532" t="str">
        <f>IF(项目基本情况!B8="抵押","（1）"&amp;CONCATENATE(项目基本情况!L24,项目基本情况!L25,项目基本情况!L26),"——")</f>
        <v>——</v>
      </c>
      <c r="B11" s="3532"/>
      <c r="C11" s="3532"/>
      <c r="D11" s="3532"/>
    </row>
    <row r="12" spans="1:4" ht="168" customHeight="1">
      <c r="A12" s="3534" t="s">
        <v>1584</v>
      </c>
      <c r="B12" s="3534"/>
      <c r="C12" s="3534"/>
      <c r="D12" s="3534"/>
    </row>
    <row r="13" spans="1:4">
      <c r="A13" s="3533" t="s">
        <v>2025</v>
      </c>
      <c r="B13" s="3533"/>
      <c r="C13" s="3533"/>
      <c r="D13" s="3533"/>
    </row>
    <row r="14" spans="1:4">
      <c r="A14" s="3532" t="str">
        <f>IF(项目基本情况!B8="抵押","综上，"&amp;结果表!K47,"——")</f>
        <v>——</v>
      </c>
      <c r="B14" s="3532"/>
      <c r="C14" s="3532"/>
      <c r="D14" s="3532"/>
    </row>
    <row r="15" spans="1:4" ht="58.5" customHeight="1">
      <c r="A15" s="35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2"/>
      <c r="C15" s="3532"/>
      <c r="D15" s="3532"/>
    </row>
    <row r="16" spans="1:4" ht="70.5" customHeight="1">
      <c r="A16" s="35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2"/>
      <c r="C16" s="3532"/>
      <c r="D16" s="3532"/>
    </row>
    <row r="17" spans="1:4">
      <c r="A17" s="3532" t="s">
        <v>1981</v>
      </c>
      <c r="B17" s="3532"/>
      <c r="C17" s="3532"/>
      <c r="D17" s="3532"/>
    </row>
    <row r="18" spans="1:4">
      <c r="A18" s="3532" t="s">
        <v>1973</v>
      </c>
      <c r="B18" s="3532"/>
      <c r="C18" s="3532"/>
      <c r="D18" s="3532"/>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32" t="s">
        <v>1978</v>
      </c>
      <c r="B23" s="3532"/>
      <c r="C23" s="3532"/>
      <c r="D23" s="3532"/>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43" t="s">
        <v>27</v>
      </c>
      <c r="B15" s="3544" t="s">
        <v>784</v>
      </c>
      <c r="C15" s="3540"/>
    </row>
    <row r="16" spans="1:7" ht="14.25">
      <c r="A16" s="3543"/>
      <c r="B16" s="3541" t="s">
        <v>28</v>
      </c>
      <c r="C16" s="1015" t="s">
        <v>27</v>
      </c>
    </row>
    <row r="17" spans="1:3" ht="14.25">
      <c r="A17" s="3543"/>
      <c r="B17" s="3541"/>
      <c r="C17" s="1015" t="s">
        <v>29</v>
      </c>
    </row>
    <row r="18" spans="1:3" ht="14.25">
      <c r="A18" s="3543"/>
      <c r="B18" s="3541"/>
      <c r="C18" s="1015" t="s">
        <v>30</v>
      </c>
    </row>
    <row r="19" spans="1:3" ht="14.25">
      <c r="A19" s="3543"/>
      <c r="B19" s="3539" t="s">
        <v>31</v>
      </c>
      <c r="C19" s="3540"/>
    </row>
    <row r="20" spans="1:3" ht="14.25">
      <c r="A20" s="1016" t="s">
        <v>32</v>
      </c>
      <c r="B20" s="1017"/>
      <c r="C20" s="1018"/>
    </row>
    <row r="21" spans="1:3" ht="14.25">
      <c r="A21" s="3542" t="s">
        <v>33</v>
      </c>
      <c r="B21" s="3539" t="s">
        <v>34</v>
      </c>
      <c r="C21" s="3540"/>
    </row>
    <row r="22" spans="1:3" ht="14.25">
      <c r="A22" s="3542"/>
      <c r="B22" s="3539" t="s">
        <v>35</v>
      </c>
      <c r="C22" s="3540"/>
    </row>
    <row r="23" spans="1:3" ht="14.25">
      <c r="A23" s="3542"/>
      <c r="B23" s="3539" t="s">
        <v>36</v>
      </c>
      <c r="C23" s="3540"/>
    </row>
    <row r="24" spans="1:3" ht="14.25">
      <c r="A24" s="3542"/>
      <c r="B24" s="3545" t="s">
        <v>37</v>
      </c>
      <c r="C24" s="1019" t="s">
        <v>775</v>
      </c>
    </row>
    <row r="25" spans="1:3" ht="14.25">
      <c r="A25" s="3542"/>
      <c r="B25" s="3546"/>
      <c r="C25" s="1019" t="s">
        <v>776</v>
      </c>
    </row>
    <row r="26" spans="1:3" ht="14.25">
      <c r="A26" s="3542"/>
      <c r="B26" s="3546"/>
      <c r="C26" s="1019" t="s">
        <v>777</v>
      </c>
    </row>
    <row r="27" spans="1:3" ht="14.25">
      <c r="A27" s="3542"/>
      <c r="B27" s="3546"/>
      <c r="C27" s="1019" t="s">
        <v>778</v>
      </c>
    </row>
    <row r="28" spans="1:3" ht="14.25">
      <c r="A28" s="3542"/>
      <c r="B28" s="3546"/>
      <c r="C28" s="1019" t="s">
        <v>779</v>
      </c>
    </row>
    <row r="29" spans="1:3" ht="14.25">
      <c r="A29" s="3542"/>
      <c r="B29" s="3546"/>
      <c r="C29" s="1019" t="s">
        <v>780</v>
      </c>
    </row>
    <row r="30" spans="1:3" ht="14.25">
      <c r="A30" s="3542"/>
      <c r="B30" s="3546"/>
      <c r="C30" s="1019" t="s">
        <v>781</v>
      </c>
    </row>
    <row r="31" spans="1:3" ht="14.25">
      <c r="A31" s="3542"/>
      <c r="B31" s="3546"/>
      <c r="C31" s="1019" t="s">
        <v>782</v>
      </c>
    </row>
    <row r="32" spans="1:3" ht="14.25">
      <c r="A32" s="3542"/>
      <c r="B32" s="3546"/>
      <c r="C32" s="1019" t="s">
        <v>1181</v>
      </c>
    </row>
    <row r="33" spans="1:3" ht="14.25">
      <c r="A33" s="3542"/>
      <c r="B33" s="3536" t="s">
        <v>1187</v>
      </c>
      <c r="C33" s="1019" t="s">
        <v>1182</v>
      </c>
    </row>
    <row r="34" spans="1:3" ht="14.25">
      <c r="A34" s="3542"/>
      <c r="B34" s="3537"/>
      <c r="C34" s="1024" t="s">
        <v>1183</v>
      </c>
    </row>
    <row r="35" spans="1:3" ht="14.25">
      <c r="A35" s="3542"/>
      <c r="B35" s="3537"/>
      <c r="C35" s="1025" t="s">
        <v>1184</v>
      </c>
    </row>
    <row r="36" spans="1:3" ht="14.25">
      <c r="A36" s="3542"/>
      <c r="B36" s="3537"/>
      <c r="C36" s="1025" t="s">
        <v>1185</v>
      </c>
    </row>
    <row r="37" spans="1:3" ht="14.25">
      <c r="A37" s="3542"/>
      <c r="B37" s="3538"/>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45340</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f ca="1">IF(C6&lt;B2,"已过期",1120050019)</f>
        <v>1120050019</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f ca="1">IF(C14&lt;B2,"已过期",1120020033)</f>
        <v>1120020033</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50" t="s">
        <v>1448</v>
      </c>
      <c r="B18" s="3551"/>
      <c r="C18" s="3551"/>
      <c r="D18" s="3551"/>
      <c r="E18" s="3551"/>
      <c r="F18" s="3551"/>
      <c r="G18" s="2559"/>
    </row>
    <row r="19" spans="1:7" ht="20.25" customHeight="1">
      <c r="A19" s="3547" t="s">
        <v>1449</v>
      </c>
      <c r="B19" s="3547"/>
      <c r="C19" s="3548"/>
      <c r="D19" s="3549" t="s">
        <v>1450</v>
      </c>
      <c r="E19" s="3547"/>
      <c r="F19" s="3547"/>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52"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c r="D53" s="1468"/>
      <c r="E53" s="1468"/>
    </row>
    <row r="54" spans="1:5">
      <c r="A54" s="3552"/>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52"/>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52"/>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52"/>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通兴房顺昌门出让-工业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2024-02-18T05:55:37Z</dcterms:modified>
</cp:coreProperties>
</file>