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比较法-办公" sheetId="34" state="hidden" r:id="rId22"/>
    <sheet name="比较法-工业" sheetId="37" state="hidden" r:id="rId23"/>
    <sheet name="基准地价修正" sheetId="43"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3" i="1" l="1"/>
  <c r="N21" i="1"/>
  <c r="N6" i="1"/>
  <c r="B21" i="1" l="1"/>
  <c r="A57" i="31" l="1"/>
  <c r="B57" i="31"/>
  <c r="A58" i="31"/>
  <c r="B58" i="31"/>
  <c r="A54" i="31"/>
  <c r="B54" i="31"/>
  <c r="A55" i="31"/>
  <c r="B55" i="31"/>
  <c r="A56" i="31"/>
  <c r="B56" i="31"/>
  <c r="A51" i="31"/>
  <c r="B51" i="31"/>
  <c r="A52" i="31"/>
  <c r="B52" i="31"/>
  <c r="A53" i="31"/>
  <c r="B53" i="31"/>
  <c r="A45" i="31"/>
  <c r="B45" i="31"/>
  <c r="A46" i="31"/>
  <c r="B46" i="31"/>
  <c r="A47" i="31"/>
  <c r="B47" i="31"/>
  <c r="A48" i="31"/>
  <c r="B48" i="31"/>
  <c r="A49" i="31"/>
  <c r="B49" i="31"/>
  <c r="A50" i="31"/>
  <c r="B5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B25" i="31"/>
  <c r="A25" i="31"/>
  <c r="A24" i="31"/>
  <c r="B24" i="31"/>
  <c r="D4" i="31"/>
  <c r="E4" i="31" s="1"/>
  <c r="F4" i="31" s="1"/>
  <c r="G4" i="31" s="1"/>
  <c r="C30" i="37"/>
  <c r="E92" i="37"/>
  <c r="F92" i="37" s="1"/>
  <c r="G92" i="37" s="1"/>
  <c r="D92" i="37"/>
  <c r="I7" i="37" l="1"/>
  <c r="G7" i="37"/>
  <c r="G41" i="40"/>
  <c r="Y6" i="1"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U21" i="37" s="1"/>
  <c r="F21" i="37"/>
  <c r="AA21" i="37" s="1"/>
  <c r="F84" i="34"/>
  <c r="H21" i="34"/>
  <c r="F83" i="33"/>
  <c r="H21" i="33"/>
  <c r="F21" i="33"/>
  <c r="E83" i="21"/>
  <c r="S21" i="21"/>
  <c r="H1" i="69"/>
  <c r="AC25" i="40"/>
  <c r="W25" i="40"/>
  <c r="AB25" i="40"/>
  <c r="U25" i="40"/>
  <c r="U29" i="39"/>
  <c r="W29" i="39"/>
  <c r="AC18" i="36"/>
  <c r="W18" i="36"/>
  <c r="AB21" i="37"/>
  <c r="S21" i="37"/>
  <c r="AB21" i="34"/>
  <c r="U21" i="34"/>
  <c r="U21" i="33"/>
  <c r="AB21" i="33"/>
  <c r="AA21" i="33"/>
  <c r="S21" i="33"/>
  <c r="AB18" i="35"/>
  <c r="U18" i="35"/>
  <c r="AC18" i="35"/>
  <c r="W18" i="35"/>
  <c r="J21" i="37"/>
  <c r="AC21" i="37" s="1"/>
  <c r="G84" i="34"/>
  <c r="J21" i="34"/>
  <c r="G83" i="33"/>
  <c r="J21" i="33"/>
  <c r="F83" i="21"/>
  <c r="H21" i="21"/>
  <c r="F38" i="69"/>
  <c r="E37" i="69"/>
  <c r="F36" i="69"/>
  <c r="F35" i="69"/>
  <c r="F21" i="69"/>
  <c r="F40" i="69" s="1"/>
  <c r="F20" i="69"/>
  <c r="F39" i="69" s="1"/>
  <c r="E10" i="69"/>
  <c r="E9" i="69"/>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R59" i="31" s="1"/>
  <c r="S59" i="31" s="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76" i="31"/>
  <c r="S74" i="31"/>
  <c r="S72" i="31"/>
  <c r="S70" i="31"/>
  <c r="S68" i="31"/>
  <c r="S66" i="31"/>
  <c r="S64" i="31"/>
  <c r="S62" i="31"/>
  <c r="S60"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AA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s="1"/>
  <c r="AA44" i="33"/>
  <c r="AA13" i="35"/>
  <c r="U31" i="34"/>
  <c r="U46" i="33"/>
  <c r="AA14" i="33"/>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F15" i="37"/>
  <c r="AA15" i="37" s="1"/>
  <c r="E94" i="37"/>
  <c r="F94" i="37" s="1"/>
  <c r="G94" i="37" s="1"/>
  <c r="H94" i="37" s="1"/>
  <c r="I94" i="37" s="1"/>
  <c r="J94" i="37" s="1"/>
  <c r="K94" i="37" s="1"/>
  <c r="L94" i="37" s="1"/>
  <c r="M94" i="37" s="1"/>
  <c r="F31" i="37"/>
  <c r="S31" i="37" s="1"/>
  <c r="F12" i="39"/>
  <c r="S12" i="39" s="1"/>
  <c r="J42" i="39"/>
  <c r="AC42" i="39" s="1"/>
  <c r="H21" i="40"/>
  <c r="AB21" i="40"/>
  <c r="AC12" i="37"/>
  <c r="H31" i="37"/>
  <c r="U31" i="37" s="1"/>
  <c r="F71" i="37"/>
  <c r="G71" i="37"/>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7"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B8" i="76"/>
  <c r="M24" i="15"/>
  <c r="F5" i="73"/>
  <c r="F40" i="67"/>
  <c r="M26" i="67"/>
  <c r="F3" i="73"/>
  <c r="D6" i="73"/>
  <c r="F37" i="15"/>
  <c r="F6" i="73"/>
  <c r="F8" i="15"/>
  <c r="B12" i="76"/>
  <c r="L47" i="15"/>
  <c r="M8" i="67"/>
  <c r="AO13" i="1"/>
  <c r="D3" i="73"/>
  <c r="M24" i="67"/>
  <c r="F9" i="67"/>
  <c r="D5" i="73"/>
  <c r="L48" i="67"/>
  <c r="M23" i="15"/>
  <c r="M9" i="67"/>
  <c r="F37" i="67"/>
  <c r="F4" i="73"/>
  <c r="M8" i="15"/>
  <c r="E11" i="76"/>
  <c r="F36" i="15"/>
  <c r="F43" i="15"/>
  <c r="M29" i="15"/>
  <c r="F16" i="67"/>
  <c r="M6" i="15"/>
  <c r="F8" i="67"/>
  <c r="E7" i="76"/>
  <c r="E12" i="76"/>
  <c r="L47" i="67"/>
  <c r="F7" i="73"/>
  <c r="F13" i="67"/>
  <c r="B9" i="76"/>
  <c r="B13" i="76"/>
  <c r="E9" i="76"/>
  <c r="F36" i="67"/>
  <c r="E8" i="76"/>
  <c r="F6" i="67"/>
  <c r="M23" i="67"/>
  <c r="C76" i="15"/>
  <c r="B7" i="76"/>
  <c r="D4" i="73"/>
  <c r="F7" i="15"/>
  <c r="D7" i="73"/>
  <c r="M28" i="67"/>
  <c r="F26" i="67"/>
  <c r="F16" i="15"/>
  <c r="E10" i="76"/>
  <c r="B11" i="76"/>
  <c r="F13" i="15"/>
  <c r="L48" i="15"/>
  <c r="F6" i="15"/>
  <c r="M22" i="15"/>
  <c r="F38" i="67"/>
  <c r="F42" i="15"/>
  <c r="M28" i="15"/>
  <c r="F26" i="15"/>
  <c r="F40" i="15"/>
  <c r="J15" i="15"/>
  <c r="F42" i="67"/>
  <c r="F7" i="67"/>
  <c r="F43" i="67"/>
  <c r="F9" i="15"/>
  <c r="B10" i="76"/>
  <c r="E2" i="69"/>
  <c r="M26" i="15"/>
  <c r="C76" i="67"/>
  <c r="E2" i="68"/>
  <c r="F20" i="31"/>
  <c r="M22" i="67"/>
  <c r="F38" i="15"/>
  <c r="E13" i="76"/>
  <c r="J15" i="67"/>
  <c r="M6" i="67"/>
  <c r="M9" i="15"/>
  <c r="M29" i="67"/>
  <c r="B13" i="53" l="1"/>
  <c r="B29" i="72" s="1"/>
  <c r="D22" i="15"/>
  <c r="B41" i="1"/>
  <c r="F53" i="9" s="1"/>
  <c r="AZ51" i="3"/>
  <c r="AZ50" i="3"/>
  <c r="BA18" i="3"/>
  <c r="AZ18" i="3" s="1"/>
  <c r="BA19" i="3"/>
  <c r="AZ19" i="3" s="1"/>
  <c r="BA20" i="3"/>
  <c r="AZ20" i="3" s="1"/>
  <c r="BA21" i="3"/>
  <c r="AZ21" i="3" s="1"/>
  <c r="BL25" i="3"/>
  <c r="BA27" i="3"/>
  <c r="AZ27" i="3" s="1"/>
  <c r="BA28" i="3"/>
  <c r="AZ28" i="3" s="1"/>
  <c r="BL31" i="3"/>
  <c r="BL33" i="3"/>
  <c r="AZ33" i="3" s="1"/>
  <c r="BA35" i="3"/>
  <c r="AZ35" i="3" s="1"/>
  <c r="BA36" i="3"/>
  <c r="AZ36" i="3" s="1"/>
  <c r="BL36" i="3"/>
  <c r="BA41" i="3"/>
  <c r="AZ41" i="3" s="1"/>
  <c r="BL41" i="3"/>
  <c r="BA43" i="3"/>
  <c r="AZ43" i="3" s="1"/>
  <c r="BL43" i="3"/>
  <c r="BA44" i="3"/>
  <c r="AZ44" i="3" s="1"/>
  <c r="BA45" i="3"/>
  <c r="AZ45" i="3" s="1"/>
  <c r="BL46" i="3"/>
  <c r="BL15" i="3"/>
  <c r="AZ46" i="3"/>
  <c r="D19" i="53"/>
  <c r="B38" i="72" s="1"/>
  <c r="D21" i="53"/>
  <c r="B39" i="72" s="1"/>
  <c r="G6" i="1"/>
  <c r="G16" i="1" s="1"/>
  <c r="F10" i="39" s="1"/>
  <c r="I24" i="43"/>
  <c r="C24" i="43" s="1"/>
  <c r="C21" i="68"/>
  <c r="AB27" i="37"/>
  <c r="U27" i="37"/>
  <c r="H99" i="37"/>
  <c r="I99" i="37" s="1"/>
  <c r="J99" i="37" s="1"/>
  <c r="K99" i="37" s="1"/>
  <c r="L99" i="37" s="1"/>
  <c r="M99" i="37" s="1"/>
  <c r="J33" i="37"/>
  <c r="AC33" i="37" s="1"/>
  <c r="F33" i="37"/>
  <c r="AA33" i="37" s="1"/>
  <c r="H33" i="37"/>
  <c r="F105" i="37"/>
  <c r="J36" i="37"/>
  <c r="AC36" i="37" s="1"/>
  <c r="F36" i="37"/>
  <c r="AA36" i="37" s="1"/>
  <c r="S36" i="37"/>
  <c r="W36" i="37"/>
  <c r="AC34" i="37"/>
  <c r="S34" i="37"/>
  <c r="W32" i="37"/>
  <c r="W30" i="37"/>
  <c r="AC29" i="37"/>
  <c r="U35" i="37"/>
  <c r="U34" i="37"/>
  <c r="S32" i="37"/>
  <c r="U32" i="37"/>
  <c r="W31" i="37"/>
  <c r="H23" i="37"/>
  <c r="F79" i="37"/>
  <c r="G79" i="37" s="1"/>
  <c r="J23" i="37"/>
  <c r="W23" i="37" s="1"/>
  <c r="F23" i="37"/>
  <c r="S23" i="37" s="1"/>
  <c r="AC23" i="37"/>
  <c r="AA23" i="37"/>
  <c r="W21" i="37"/>
  <c r="J19" i="37"/>
  <c r="AC19" i="37" s="1"/>
  <c r="F75" i="37"/>
  <c r="G75" i="37" s="1"/>
  <c r="H17" i="37"/>
  <c r="U17" i="37" s="1"/>
  <c r="F73" i="37"/>
  <c r="G73" i="37" s="1"/>
  <c r="J17" i="37"/>
  <c r="F17" i="37"/>
  <c r="AB17" i="37"/>
  <c r="AB15" i="37"/>
  <c r="U15" i="37"/>
  <c r="AC15" i="37"/>
  <c r="S15" i="37"/>
  <c r="AZ42" i="3"/>
  <c r="AZ47" i="3"/>
  <c r="AZ40" i="3"/>
  <c r="U30" i="37"/>
  <c r="S30" i="37"/>
  <c r="AZ37" i="3"/>
  <c r="AZ32" i="3"/>
  <c r="AZ31" i="3"/>
  <c r="AZ30" i="3"/>
  <c r="BL5" i="3"/>
  <c r="AZ14" i="3"/>
  <c r="AZ15" i="3"/>
  <c r="G29" i="6"/>
  <c r="F29" i="6"/>
  <c r="AZ22" i="3"/>
  <c r="AZ25" i="3"/>
  <c r="G5" i="3"/>
  <c r="B3" i="3" s="1"/>
  <c r="E496" i="3" s="1"/>
  <c r="G28"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239" i="3"/>
  <c r="E229" i="3"/>
  <c r="E551" i="3"/>
  <c r="E294" i="3"/>
  <c r="E415" i="3"/>
  <c r="E117" i="3"/>
  <c r="E382" i="3"/>
  <c r="E336"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9"/>
  <c r="C36" i="68"/>
  <c r="F27" i="69"/>
  <c r="G1" i="73"/>
  <c r="C16" i="15"/>
  <c r="C16" i="67"/>
  <c r="D9" i="69"/>
  <c r="D9" i="68"/>
  <c r="F48" i="9" l="1"/>
  <c r="O52" i="9" s="1"/>
  <c r="F30" i="68"/>
  <c r="F28" i="67"/>
  <c r="C28" i="67" s="1"/>
  <c r="F52" i="9"/>
  <c r="F32" i="67"/>
  <c r="F60" i="67" s="1"/>
  <c r="F32" i="15"/>
  <c r="F60" i="15" s="1"/>
  <c r="F28" i="15"/>
  <c r="C28" i="15" s="1"/>
  <c r="F54" i="9"/>
  <c r="F30" i="11"/>
  <c r="F31" i="12"/>
  <c r="C31" i="12" s="1"/>
  <c r="M18" i="67"/>
  <c r="F30" i="69"/>
  <c r="M18" i="15"/>
  <c r="D68" i="9"/>
  <c r="P6" i="3"/>
  <c r="E334" i="3"/>
  <c r="E238" i="3"/>
  <c r="B14" i="74"/>
  <c r="AZ5" i="3"/>
  <c r="BA5" i="3"/>
  <c r="F7" i="36"/>
  <c r="J7" i="37"/>
  <c r="H7" i="36"/>
  <c r="S33" i="37"/>
  <c r="AB33" i="37"/>
  <c r="U33" i="37"/>
  <c r="G105" i="37"/>
  <c r="H36" i="37"/>
  <c r="AB23" i="37"/>
  <c r="U23" i="37"/>
  <c r="W19" i="37"/>
  <c r="F19" i="37"/>
  <c r="H19" i="37"/>
  <c r="AA17" i="37"/>
  <c r="S17" i="37"/>
  <c r="W17" i="37"/>
  <c r="AC17" i="37"/>
  <c r="E121" i="3"/>
  <c r="E32" i="3"/>
  <c r="E330" i="3"/>
  <c r="E518" i="3"/>
  <c r="E61" i="3"/>
  <c r="E260" i="3"/>
  <c r="E130" i="3"/>
  <c r="E407" i="3"/>
  <c r="E358" i="3"/>
  <c r="E569" i="3"/>
  <c r="E282" i="3"/>
  <c r="E480" i="3"/>
  <c r="E295" i="3"/>
  <c r="E444" i="3"/>
  <c r="E164" i="3"/>
  <c r="E256" i="3"/>
  <c r="E424" i="3"/>
  <c r="E128" i="3"/>
  <c r="G26" i="43"/>
  <c r="E583" i="3"/>
  <c r="E293" i="3"/>
  <c r="E578" i="3"/>
  <c r="E245" i="3"/>
  <c r="E290" i="3"/>
  <c r="E550" i="3"/>
  <c r="E395" i="3"/>
  <c r="E114" i="3"/>
  <c r="E230" i="3"/>
  <c r="E320" i="3"/>
  <c r="V6" i="3"/>
  <c r="E559" i="3"/>
  <c r="E151" i="3"/>
  <c r="E396" i="3"/>
  <c r="E516" i="3"/>
  <c r="N6" i="3"/>
  <c r="E553" i="3"/>
  <c r="E125" i="3"/>
  <c r="E30" i="3"/>
  <c r="E316" i="3"/>
  <c r="E166" i="3"/>
  <c r="E88" i="3"/>
  <c r="E558" i="3"/>
  <c r="AG6" i="3"/>
  <c r="E236" i="3"/>
  <c r="E394" i="3"/>
  <c r="E73" i="3"/>
  <c r="AE6" i="3"/>
  <c r="E437" i="3"/>
  <c r="E120" i="3"/>
  <c r="E77" i="3"/>
  <c r="D33" i="43"/>
  <c r="D1" i="43" s="1"/>
  <c r="E29" i="6"/>
  <c r="K15" i="1" s="1"/>
  <c r="K16" i="1" s="1"/>
  <c r="E404" i="3"/>
  <c r="E581" i="3"/>
  <c r="E443" i="3"/>
  <c r="E448" i="3"/>
  <c r="E576" i="3"/>
  <c r="E252" i="3"/>
  <c r="I6" i="3"/>
  <c r="E580" i="3"/>
  <c r="E274" i="3"/>
  <c r="E203" i="3"/>
  <c r="E55" i="3"/>
  <c r="E429" i="3"/>
  <c r="E344" i="3"/>
  <c r="E481" i="3"/>
  <c r="Q6" i="3"/>
  <c r="E177" i="3"/>
  <c r="E262" i="3"/>
  <c r="E434" i="3"/>
  <c r="E156" i="3"/>
  <c r="N94" i="46"/>
  <c r="E26" i="43"/>
  <c r="J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522" i="3"/>
  <c r="E35" i="3"/>
  <c r="E86" i="3"/>
  <c r="E34" i="3"/>
  <c r="E49" i="3"/>
  <c r="E206" i="3"/>
  <c r="E232" i="3"/>
  <c r="E251" i="3"/>
  <c r="E370" i="3"/>
  <c r="AF6" i="3"/>
  <c r="E102" i="3"/>
  <c r="E80" i="3"/>
  <c r="E113" i="3"/>
  <c r="E158" i="3"/>
  <c r="E287" i="3"/>
  <c r="E308" i="3"/>
  <c r="E326" i="3"/>
  <c r="E22" i="3"/>
  <c r="E83" i="3"/>
  <c r="E392" i="3"/>
  <c r="AQ6" i="3"/>
  <c r="E52" i="3"/>
  <c r="E36" i="3"/>
  <c r="E112" i="3"/>
  <c r="E123" i="3"/>
  <c r="E147" i="3"/>
  <c r="E289" i="3"/>
  <c r="E340" i="3"/>
  <c r="E364" i="3"/>
  <c r="E50" i="3"/>
  <c r="E20" i="3"/>
  <c r="E62" i="3"/>
  <c r="E176" i="3"/>
  <c r="E218" i="3"/>
  <c r="E265" i="3"/>
  <c r="E365" i="3"/>
  <c r="E524" i="3"/>
  <c r="E101" i="3"/>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8" i="69" l="1"/>
  <c r="C30" i="69"/>
  <c r="C48" i="69"/>
  <c r="F48" i="68"/>
  <c r="C48" i="68"/>
  <c r="C30" i="68"/>
  <c r="C48" i="11"/>
  <c r="C30" i="11"/>
  <c r="AB36" i="37"/>
  <c r="U36" i="37"/>
  <c r="T42" i="37"/>
  <c r="G42" i="37" s="1"/>
  <c r="G46" i="37" s="1"/>
  <c r="H46" i="37" s="1"/>
  <c r="S19" i="37"/>
  <c r="AA19" i="37"/>
  <c r="AB19" i="37"/>
  <c r="U19" i="37"/>
  <c r="E65" i="39"/>
  <c r="AC6" i="3"/>
  <c r="E6" i="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G47" i="37"/>
  <c r="H47" i="3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14" i="67"/>
  <c r="C34" i="69"/>
  <c r="C17" i="15"/>
  <c r="D10" i="68"/>
  <c r="C17" i="67"/>
  <c r="H24" i="6" l="1"/>
  <c r="H22" i="6"/>
  <c r="R22" i="6" s="1"/>
  <c r="R9" i="1" s="1"/>
  <c r="C25" i="11"/>
  <c r="C22" i="11" s="1"/>
  <c r="C31" i="11" s="1"/>
  <c r="D30"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D19" i="69"/>
  <c r="F50" i="69"/>
  <c r="F50" i="11"/>
  <c r="F50" i="68"/>
  <c r="C4" i="52"/>
  <c r="B45" i="72" s="1"/>
  <c r="A10" i="51"/>
  <c r="B9" i="72" s="1"/>
  <c r="A7" i="51"/>
  <c r="B7" i="72" s="1"/>
  <c r="R25" i="6"/>
  <c r="R12" i="1" s="1"/>
  <c r="C10" i="68"/>
  <c r="D19" i="68"/>
  <c r="B2" i="43"/>
  <c r="H69" i="39"/>
  <c r="I67" i="39"/>
  <c r="D10" i="71"/>
  <c r="C9" i="71"/>
  <c r="C8" i="71" s="1"/>
  <c r="G65" i="40"/>
  <c r="H63" i="40"/>
  <c r="C43" i="37"/>
  <c r="C42" i="37"/>
  <c r="R24" i="31" s="1"/>
  <c r="I48" i="35"/>
  <c r="C48" i="33"/>
  <c r="C49" i="33"/>
  <c r="H58" i="21"/>
  <c r="E47" i="37"/>
  <c r="F47" i="37" s="1"/>
  <c r="E46" i="37"/>
  <c r="F46" i="37" s="1"/>
  <c r="I47" i="37"/>
  <c r="J47" i="37" s="1"/>
  <c r="E53" i="33"/>
  <c r="F53" i="33" s="1"/>
  <c r="E52" i="33"/>
  <c r="F52" i="33" s="1"/>
  <c r="C33" i="15"/>
  <c r="C33" i="67"/>
  <c r="J19" i="67"/>
  <c r="E6" i="76"/>
  <c r="B6" i="76"/>
  <c r="C34" i="68"/>
  <c r="C14" i="15"/>
  <c r="C8" i="69" l="1"/>
  <c r="C5" i="69" s="1"/>
  <c r="C23" i="69" s="1"/>
  <c r="B29" i="1"/>
  <c r="C18" i="12" s="1"/>
  <c r="S24" i="31"/>
  <c r="R58" i="31"/>
  <c r="S58" i="31" s="1"/>
  <c r="R54" i="31"/>
  <c r="S54" i="31" s="1"/>
  <c r="R50" i="31"/>
  <c r="S50" i="31" s="1"/>
  <c r="R46" i="31"/>
  <c r="S46" i="31" s="1"/>
  <c r="R42" i="31"/>
  <c r="S42" i="31" s="1"/>
  <c r="R38" i="31"/>
  <c r="S38" i="31" s="1"/>
  <c r="R34" i="31"/>
  <c r="S34" i="31" s="1"/>
  <c r="R30" i="31"/>
  <c r="S30" i="31" s="1"/>
  <c r="R26" i="31"/>
  <c r="S26" i="31" s="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7" i="31"/>
  <c r="S57" i="31" s="1"/>
  <c r="R53" i="31"/>
  <c r="S53" i="31" s="1"/>
  <c r="R49" i="31"/>
  <c r="S49" i="31" s="1"/>
  <c r="R45" i="31"/>
  <c r="S45" i="31" s="1"/>
  <c r="R41" i="31"/>
  <c r="S41" i="31" s="1"/>
  <c r="R37" i="31"/>
  <c r="S37" i="31" s="1"/>
  <c r="R33" i="31"/>
  <c r="S33" i="31" s="1"/>
  <c r="R29" i="31"/>
  <c r="S29" i="31" s="1"/>
  <c r="R25" i="31"/>
  <c r="S25" i="31" s="1"/>
  <c r="B3" i="43"/>
  <c r="C6" i="68"/>
  <c r="C7" i="68" s="1"/>
  <c r="C5" i="68" s="1"/>
  <c r="C23" i="68" s="1"/>
  <c r="D31" i="6"/>
  <c r="I5" i="6"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 i="6"/>
  <c r="E2" i="76"/>
  <c r="B2" i="76"/>
  <c r="I69" i="39"/>
  <c r="J67" i="39"/>
  <c r="D9" i="71"/>
  <c r="I63" i="40"/>
  <c r="H65" i="40"/>
  <c r="I58" i="21"/>
  <c r="J58" i="21" s="1"/>
  <c r="K58" i="21" s="1"/>
  <c r="L58" i="21" s="1"/>
  <c r="M58" i="21" s="1"/>
  <c r="N58" i="21" s="1"/>
  <c r="O58" i="21" s="1"/>
  <c r="H7" i="21" s="1"/>
  <c r="J7" i="21"/>
  <c r="F7" i="21"/>
  <c r="J48" i="35"/>
  <c r="C21" i="12" l="1"/>
  <c r="C22" i="12" s="1"/>
  <c r="S22" i="3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R22" i="31"/>
  <c r="B20" i="31"/>
  <c r="B21" i="3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6"/>
  <c r="D2" i="35"/>
  <c r="L51" i="15"/>
  <c r="Q57" i="67" l="1"/>
  <c r="Q62" i="67" s="1"/>
  <c r="Q66" i="67"/>
  <c r="Q75" i="67" s="1"/>
  <c r="B3" i="67"/>
  <c r="L57" i="15"/>
  <c r="L60" i="15" s="1"/>
  <c r="Q57" i="15" s="1"/>
  <c r="Q67" i="15"/>
  <c r="B2" i="36"/>
  <c r="B3" i="36" s="1"/>
  <c r="B2" i="35"/>
  <c r="B3" i="35" s="1"/>
  <c r="M3" i="35"/>
  <c r="B2" i="37"/>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1" i="1"/>
  <c r="AO9" i="1"/>
  <c r="AO8" i="1"/>
  <c r="C19" i="9"/>
  <c r="AO7" i="1"/>
  <c r="AO6" i="1"/>
  <c r="AO10" i="1"/>
  <c r="AO12" i="1"/>
  <c r="C102" i="9" l="1"/>
  <c r="C21" i="9"/>
  <c r="B3" i="37"/>
  <c r="D102" i="9"/>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35" i="9"/>
  <c r="D34"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H119" i="9" l="1"/>
  <c r="H5" i="52" s="1"/>
  <c r="C104" i="9"/>
  <c r="H101" i="9"/>
  <c r="H107" i="9" s="1"/>
  <c r="M49" i="9" s="1"/>
  <c r="G14" i="74"/>
  <c r="B6" i="74" s="1"/>
  <c r="D6" i="74" s="1"/>
  <c r="H109" i="9"/>
  <c r="C105" i="9"/>
  <c r="H102" i="9"/>
  <c r="I4" i="52"/>
  <c r="M48" i="9"/>
  <c r="D5" i="53"/>
  <c r="D45" i="9" l="1"/>
  <c r="F14" i="74"/>
  <c r="B5" i="74"/>
  <c r="D5" i="74" s="1"/>
  <c r="D124" i="9"/>
  <c r="D16" i="53"/>
  <c r="H110" i="9"/>
  <c r="L68" i="9"/>
  <c r="M68" i="9" s="1"/>
  <c r="L66" i="9"/>
  <c r="M66" i="9" s="1"/>
  <c r="L63" i="9"/>
  <c r="M63" i="9" s="1"/>
  <c r="L65" i="9"/>
  <c r="M65" i="9" s="1"/>
  <c r="L64" i="9"/>
  <c r="M64" i="9" s="1"/>
  <c r="L67" i="9"/>
  <c r="M67" i="9" s="1"/>
  <c r="B20" i="72"/>
  <c r="D6" i="53"/>
  <c r="B22" i="72" s="1"/>
  <c r="D52" i="9"/>
  <c r="D53" i="9"/>
  <c r="C93" i="9"/>
  <c r="C86" i="9" s="1"/>
  <c r="D55" i="9"/>
  <c r="M53" i="9" s="1"/>
  <c r="C78" i="9"/>
  <c r="C73" i="9" s="1"/>
  <c r="C72" i="9"/>
  <c r="C85" i="9"/>
  <c r="C64" i="9"/>
  <c r="C63" i="9" s="1"/>
  <c r="C67" i="9" s="1"/>
  <c r="D13" i="53"/>
  <c r="D122" i="9"/>
  <c r="H108" i="9"/>
  <c r="D7" i="53"/>
  <c r="B21" i="72" s="1"/>
  <c r="C5" i="74" l="1"/>
  <c r="C7" i="74"/>
  <c r="D18" i="53"/>
  <c r="B35" i="72" s="1"/>
  <c r="D125" i="9"/>
  <c r="D11" i="52" s="1"/>
  <c r="D10" i="52"/>
  <c r="B34" i="72"/>
  <c r="D17" i="53"/>
  <c r="B36" i="72" s="1"/>
  <c r="C95" i="9"/>
  <c r="C96" i="9" s="1"/>
  <c r="E96" i="9" s="1"/>
  <c r="E97" i="9" s="1"/>
  <c r="M69" i="9"/>
  <c r="N69" i="9" s="1"/>
  <c r="C79" i="9"/>
  <c r="C80" i="9" s="1"/>
  <c r="E80" i="9" s="1"/>
  <c r="E81" i="9" s="1"/>
  <c r="D123" i="9"/>
  <c r="D9" i="52" s="1"/>
  <c r="D8" i="52"/>
  <c r="D59" i="9"/>
  <c r="M55" i="9" s="1"/>
  <c r="C68" i="9"/>
  <c r="D54" i="9" s="1"/>
  <c r="D15" i="53"/>
  <c r="B31" i="72" s="1"/>
  <c r="C6" i="74"/>
  <c r="D14" i="53"/>
  <c r="B32" i="72" s="1"/>
  <c r="B30" i="72"/>
  <c r="C97" i="9" l="1"/>
  <c r="D58" i="9" s="1"/>
  <c r="D56" i="9" s="1"/>
  <c r="M54" i="9" s="1"/>
  <c r="N57" i="9" s="1"/>
  <c r="P57" i="9" s="1"/>
  <c r="C81" i="9"/>
  <c r="N59" i="9" l="1"/>
  <c r="N60" i="9" s="1"/>
  <c r="N58" i="9"/>
  <c r="N61" i="9" l="1"/>
  <c r="G118" i="9"/>
  <c r="E118" i="9" s="1"/>
  <c r="D118" i="9" s="1"/>
  <c r="F118" i="9"/>
  <c r="F4" i="52" s="1"/>
  <c r="B51" i="72" s="1"/>
  <c r="G4" i="52"/>
  <c r="B52" i="72"/>
  <c r="F119" i="9" l="1"/>
  <c r="F5" i="52" s="1"/>
  <c r="B53" i="72" s="1"/>
  <c r="D4" i="52"/>
  <c r="B47" i="72" s="1"/>
  <c r="D119" i="9"/>
  <c r="D5" i="52" s="1"/>
  <c r="B49" i="72" s="1"/>
  <c r="E4" i="52"/>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<sst xmlns="http://schemas.openxmlformats.org/spreadsheetml/2006/main" count="7923" uniqueCount="3447">
  <si>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</si>
  <si>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</si>
  <si>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</si>
  <si>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</si>
  <si>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</si>
  <si>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</si>
  <si>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</si>
  <si>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</si>
  <si>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</si>
  <si>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</si>
  <si>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</si>
  <si>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</si>
  <si>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</si>
  <si>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</si>
  <si>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</si>
  <si>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</si>
  <si>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</si>
  <si>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</si>
  <si>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</si>
  <si>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</si>
  <si>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</si>
  <si>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</si>
  <si>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</si>
  <si>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</si>
  <si>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</si>
  <si>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</si>
  <si>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</si>
  <si>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</si>
  <si>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</si>
  <si>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</si>
  <si>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</si>
  <si>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</si>
  <si>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</si>
  <si>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</si>
  <si>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</si>
  <si>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</si>
  <si>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</si>
  <si>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</si>
  <si>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</si>
  <si>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</si>
  <si>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</si>
  <si>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</si>
  <si>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</si>
  <si>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</si>
  <si>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</si>
  <si>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</si>
  <si>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</si>
  <si>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</si>
  <si>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</si>
  <si>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</si>
  <si>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</si>
  <si>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</si>
  <si>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</si>
  <si>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</si>
  <si>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</si>
  <si>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</si>
  <si>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</si>
  <si>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</si>
  <si>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</si>
  <si>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</si>
  <si>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</si>
  <si>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</si>
  <si>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</si>
  <si>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</si>
  <si>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</si>
  <si>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</si>
  <si>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</si>
  <si>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</si>
  <si>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</si>
  <si>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</si>
  <si>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</si>
  <si>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</si>
  <si>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</si>
  <si>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</si>
  <si>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</si>
  <si>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</si>
  <si>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</si>
  <si>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</si>
  <si>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</si>
  <si>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</si>
  <si>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</si>
  <si>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</si>
  <si>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</si>
  <si>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</si>
  <si>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</si>
  <si>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</si>
  <si>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</si>
  <si>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</si>
  <si>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</si>
  <si>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</si>
  <si>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</si>
  <si>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</si>
  <si>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</si>
  <si>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</si>
  <si>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</si>
  <si>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</si>
  <si>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</si>
  <si>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</si>
  <si>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</si>
  <si>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</si>
  <si>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</si>
  <si>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</si>
  <si>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</si>
  <si>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</si>
  <si>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</si>
  <si>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</si>
  <si>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</si>
  <si>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</si>
  <si>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</si>
  <si>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</si>
  <si>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</si>
  <si>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</si>
  <si>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</si>
  <si>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</si>
  <si>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</si>
  <si>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</si>
  <si>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</si>
  <si>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</si>
  <si>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</si>
  <si>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</si>
  <si>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</si>
  <si>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</si>
  <si>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</si>
  <si>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</si>
  <si>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</si>
  <si>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</si>
  <si>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</si>
  <si>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</si>
  <si>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</si>
  <si>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</si>
  <si>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</si>
  <si>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</si>
  <si>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</si>
  <si>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</si>
  <si>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</si>
  <si>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</si>
  <si>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</si>
  <si>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</si>
  <si>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</si>
  <si>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</si>
  <si>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</si>
  <si>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</si>
  <si>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</si>
  <si>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</si>
  <si>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</si>
  <si>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</si>
  <si>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</si>
  <si>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</si>
  <si>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</si>
  <si>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</si>
  <si>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</si>
  <si>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</si>
  <si>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</si>
  <si>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</si>
  <si>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</si>
  <si>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</si>
  <si>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</si>
  <si>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</si>
  <si>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</si>
  <si>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</si>
  <si>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</si>
  <si>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</si>
  <si>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</si>
  <si>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</si>
  <si>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</si>
  <si>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</si>
  <si>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</si>
  <si>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</si>
  <si>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</si>
  <si>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</si>
  <si>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</si>
  <si>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</si>
  <si>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</si>
  <si>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</si>
  <si>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</si>
  <si>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</si>
  <si>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</si>
  <si>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</si>
  <si>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</si>
  <si>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</si>
  <si>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</si>
  <si>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</si>
  <si>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</si>
  <si>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</si>
  <si>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</si>
  <si>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</si>
  <si>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</si>
  <si>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</si>
  <si>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</si>
  <si>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</si>
  <si>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</si>
  <si>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</si>
  <si>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</si>
  <si>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</si>
  <si>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</si>
  <si>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</si>
  <si>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</si>
  <si>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</si>
  <si>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</si>
  <si>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</si>
  <si>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</si>
  <si>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</si>
  <si>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</si>
  <si>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</si>
  <si>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</si>
  <si>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</si>
  <si>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</si>
  <si>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</si>
  <si>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</si>
  <si>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</si>
  <si>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</si>
  <si>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</si>
  <si>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</si>
  <si>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</si>
  <si>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</si>
  <si>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</si>
  <si>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</si>
  <si>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</si>
  <si>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</si>
  <si>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</si>
  <si>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</si>
  <si>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</si>
  <si>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</si>
  <si>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</si>
  <si>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</si>
  <si>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</si>
  <si>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</si>
  <si>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</si>
  <si>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</si>
  <si>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</si>
  <si>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</si>
  <si>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</si>
  <si>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</si>
  <si>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</si>
  <si>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</si>
  <si>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</si>
  <si>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</si>
  <si>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</si>
  <si>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</si>
  <si>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</si>
  <si>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</si>
  <si>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</si>
  <si>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</si>
  <si>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</si>
  <si>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</si>
  <si>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</si>
  <si>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</si>
  <si>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</si>
  <si>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</si>
  <si>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</si>
  <si>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</si>
  <si>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</si>
  <si>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</si>
  <si>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</si>
  <si>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</si>
  <si>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</si>
  <si>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</si>
  <si>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</si>
  <si>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</si>
  <si>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</si>
  <si>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</si>
  <si>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</si>
  <si>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</si>
  <si>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</si>
  <si>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</si>
  <si>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</si>
  <si>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</si>
  <si>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</si>
  <si>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</si>
  <si>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</si>
  <si>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</si>
  <si>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</si>
  <si>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</si>
  <si>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</si>
  <si>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</si>
  <si>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</si>
  <si>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</si>
  <si>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</si>
  <si>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</si>
  <si>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</si>
  <si>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</si>
  <si>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</si>
  <si>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</si>
  <si>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</si>
  <si>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</si>
  <si>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</si>
  <si>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</si>
  <si>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</si>
  <si>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</si>
  <si>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</si>
  <si>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</si>
  <si>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</si>
  <si>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</si>
  <si>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</si>
  <si>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</si>
  <si>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</si>
  <si>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</si>
  <si>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</si>
  <si>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</si>
  <si>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</si>
  <si>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</si>
  <si>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</si>
  <si>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</si>
  <si>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</si>
  <si>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</si>
  <si>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</si>
  <si>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</si>
  <si>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</si>
  <si>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</si>
  <si>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</si>
  <si>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</si>
  <si>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</si>
  <si>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</si>
  <si>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</si>
  <si>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</si>
  <si>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</si>
  <si>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</si>
  <si>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</si>
  <si>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</si>
  <si>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</si>
  <si>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</si>
  <si>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</si>
  <si>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</si>
  <si>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</si>
  <si>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</si>
  <si>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</si>
  <si>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</si>
  <si>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</si>
  <si>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</si>
  <si>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</si>
  <si>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</si>
  <si>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</si>
  <si>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</si>
  <si>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</si>
  <si>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</si>
  <si>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</si>
  <si>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</si>
  <si>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</si>
  <si>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</si>
  <si>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</si>
  <si>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</si>
  <si>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</si>
  <si>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</si>
  <si>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</si>
  <si>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</si>
  <si>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</si>
  <si>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</si>
  <si>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</si>
  <si>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</si>
  <si>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</si>
  <si>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</si>
  <si>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</si>
  <si>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</si>
  <si>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</si>
  <si>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</si>
  <si>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</si>
  <si>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</si>
  <si>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</si>
  <si>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</si>
  <si>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</si>
  <si>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</si>
  <si>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</si>
  <si>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</si>
  <si>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</si>
  <si>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</si>
  <si>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</si>
  <si>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</si>
  <si>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</si>
  <si>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</si>
  <si>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</si>
  <si>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</si>
  <si>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</si>
  <si>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</si>
  <si>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</si>
  <si>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</si>
  <si>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</si>
  <si>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</si>
  <si>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</si>
  <si>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</si>
  <si>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</si>
  <si>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</si>
  <si>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</si>
  <si>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</si>
  <si>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</si>
  <si>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</si>
  <si>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</si>
  <si>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</si>
  <si>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</si>
  <si>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</si>
  <si>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</si>
  <si>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</si>
  <si>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</si>
  <si>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</si>
  <si>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</si>
  <si>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</si>
  <si>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</si>
  <si>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</si>
  <si>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</si>
  <si>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</si>
  <si>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</si>
  <si>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</si>
  <si>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</si>
  <si>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</si>
  <si>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</si>
  <si>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</si>
  <si>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</si>
  <si>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</si>
  <si>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</si>
  <si>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</si>
  <si>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</si>
  <si>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</si>
  <si>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</si>
  <si>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</si>
  <si>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</si>
  <si>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</si>
  <si>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</si>
  <si>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</si>
  <si>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</si>
  <si>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</si>
  <si>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</si>
  <si>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</si>
  <si>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</si>
  <si>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</si>
  <si>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</si>
  <si>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</si>
  <si>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</si>
  <si>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</si>
  <si>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</si>
  <si>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</si>
  <si>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</si>
  <si>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</si>
  <si>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</si>
  <si>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</si>
  <si>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</si>
  <si>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</si>
  <si>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</si>
  <si>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</si>
  <si>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</si>
  <si>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</si>
  <si>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</si>
  <si>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</si>
  <si>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</si>
  <si>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</si>
  <si>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</si>
  <si>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</si>
  <si>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</si>
  <si>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</si>
  <si>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</si>
  <si>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</si>
  <si>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</si>
  <si>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</si>
  <si>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</si>
  <si>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</si>
  <si>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</si>
  <si>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</si>
  <si>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</si>
  <si>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</si>
  <si>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</si>
  <si>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</si>
  <si>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</si>
  <si>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</si>
  <si>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</si>
  <si>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</si>
  <si>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</si>
  <si>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</si>
  <si>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</si>
  <si>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</si>
  <si>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</si>
  <si>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</si>
  <si>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</si>
  <si>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</si>
  <si>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</si>
  <si>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</si>
  <si>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</si>
  <si>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</si>
  <si>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</si>
  <si>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</si>
  <si>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</si>
  <si>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</si>
  <si>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</si>
  <si>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</si>
  <si>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</si>
  <si>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</si>
  <si>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</si>
  <si>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</si>
  <si>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</si>
  <si>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</si>
  <si>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</si>
  <si>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</si>
  <si>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</si>
  <si>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</si>
  <si>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</si>
  <si>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</si>
  <si>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</si>
  <si>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</si>
  <si>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</si>
  <si>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</si>
  <si>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</si>
  <si>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</si>
  <si>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</si>
  <si>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</si>
  <si>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</si>
  <si>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</si>
  <si>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</si>
  <si>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</si>
  <si>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</si>
  <si>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</si>
  <si>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</si>
  <si>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</si>
  <si>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</si>
  <si>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</si>
  <si>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</si>
  <si>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</si>
  <si>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</si>
  <si>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</si>
  <si>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</si>
  <si>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</si>
  <si>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</si>
  <si>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</si>
  <si>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</si>
  <si>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</si>
  <si>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</si>
  <si>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</si>
  <si>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</si>
  <si>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</si>
  <si>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</si>
  <si>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</si>
  <si>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</si>
  <si>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</si>
  <si>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</si>
  <si>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</si>
  <si>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</si>
  <si>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</si>
  <si>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</si>
  <si>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</si>
  <si>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</si>
  <si>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</si>
  <si>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</si>
  <si>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</si>
  <si>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</si>
  <si>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</si>
  <si>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</si>
  <si>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</si>
  <si>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</si>
  <si>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</si>
  <si>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</si>
  <si>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</si>
  <si>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</si>
  <si>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</si>
  <si>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</si>
  <si>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</si>
  <si>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</si>
  <si>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</si>
  <si>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</si>
  <si>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</si>
  <si>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</si>
  <si>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</si>
  <si>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</si>
  <si>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</si>
  <si>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</si>
  <si>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</si>
  <si>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</si>
  <si>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</si>
  <si>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</si>
  <si>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</si>
  <si>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</si>
  <si>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</si>
  <si>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</si>
  <si>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</si>
  <si>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</si>
  <si>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</si>
  <si>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</si>
  <si>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</si>
  <si>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</si>
  <si>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</si>
  <si>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</si>
  <si>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</si>
  <si>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</si>
  <si>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</si>
  <si>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</si>
  <si>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</si>
  <si>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</si>
  <si>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</si>
  <si>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</si>
  <si>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</si>
  <si>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</si>
  <si>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</si>
  <si>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</si>
  <si>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</si>
  <si>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</si>
  <si>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</si>
  <si>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</si>
  <si>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</si>
  <si>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</si>
  <si>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</si>
  <si>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</si>
  <si>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</si>
  <si>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</si>
  <si>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</si>
  <si>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</si>
  <si>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</si>
  <si>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</si>
  <si>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</si>
  <si>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</si>
  <si>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</si>
  <si>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</si>
  <si>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</si>
  <si>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</si>
  <si>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</si>
  <si>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</si>
  <si>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</si>
  <si>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</si>
  <si>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</si>
  <si>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</si>
  <si>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</si>
  <si>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</si>
  <si>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</si>
  <si>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</si>
  <si>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</si>
  <si>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</si>
  <si>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</si>
  <si>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</si>
  <si>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</si>
  <si>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</si>
  <si>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</si>
  <si>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</si>
  <si>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</si>
  <si>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</si>
  <si>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</si>
  <si>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</si>
  <si>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</si>
  <si>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</si>
  <si>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</si>
  <si>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</si>
  <si>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</si>
  <si>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</si>
  <si>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</si>
  <si>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</si>
  <si>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</si>
  <si>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</si>
  <si>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</si>
  <si>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</si>
  <si>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</si>
  <si>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</si>
  <si>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</si>
  <si>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</si>
  <si>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</si>
  <si>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</si>
  <si>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</si>
  <si>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</si>
  <si>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</si>
  <si>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</si>
  <si>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</si>
  <si>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</si>
  <si>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</si>
  <si>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</si>
  <si>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</si>
  <si>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</si>
  <si>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</si>
  <si>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</si>
  <si>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</si>
  <si>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</si>
  <si>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</si>
  <si>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</si>
  <si>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</si>
  <si>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</si>
  <si>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</si>
  <si>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</si>
  <si>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</si>
  <si>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</si>
  <si>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</si>
  <si>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</si>
  <si>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</si>
  <si>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</si>
  <si>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</si>
  <si>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</si>
  <si>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</si>
  <si>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</si>
  <si>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</si>
  <si>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</si>
  <si>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</si>
  <si>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</si>
  <si>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</si>
  <si>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</si>
  <si>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</si>
  <si>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</si>
  <si>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</si>
  <si>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</si>
  <si>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</si>
  <si>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</si>
  <si>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</si>
  <si>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</si>
  <si>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</si>
  <si>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</si>
  <si>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</si>
  <si>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</si>
  <si>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</si>
  <si>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</si>
  <si>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</si>
  <si>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</si>
  <si>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</si>
  <si>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</si>
  <si>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</si>
  <si>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</si>
  <si>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</si>
  <si>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</si>
  <si>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</si>
  <si>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</si>
  <si>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</si>
  <si>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</si>
  <si>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</si>
  <si>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</si>
  <si>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</si>
  <si>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</si>
  <si>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</si>
  <si>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</si>
  <si>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</si>
  <si>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</si>
  <si>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</si>
  <si>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</si>
  <si>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</si>
  <si>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</si>
  <si>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</si>
  <si>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</si>
  <si>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</si>
  <si>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</si>
  <si>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</si>
  <si>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</si>
  <si>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</si>
  <si>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</si>
  <si>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</si>
  <si>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</si>
  <si>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</si>
  <si>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</si>
  <si>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</si>
  <si>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</si>
  <si>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</si>
  <si>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</si>
  <si>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</si>
  <si>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</si>
  <si>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</si>
  <si>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</si>
  <si>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</si>
  <si>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</si>
  <si>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</si>
  <si>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</si>
  <si>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</si>
  <si>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</si>
  <si>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</si>
  <si>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</si>
  <si>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</si>
  <si>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</si>
  <si>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</si>
  <si>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</si>
  <si>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</si>
  <si>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</si>
  <si>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</si>
  <si>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</si>
  <si>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</si>
  <si>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</si>
  <si>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</si>
  <si>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</si>
  <si>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</si>
  <si>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</si>
  <si>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</si>
  <si>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</si>
  <si>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</si>
  <si>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</si>
  <si>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</si>
  <si>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</si>
  <si>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</si>
  <si>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</si>
  <si>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</si>
  <si>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</si>
  <si>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</si>
  <si>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</si>
  <si>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</si>
  <si>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</si>
  <si>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</si>
  <si>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</si>
  <si>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</si>
  <si>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</si>
  <si>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</si>
  <si>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</si>
  <si>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</si>
  <si>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</si>
  <si>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</si>
  <si>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</si>
  <si>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</si>
  <si>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</si>
  <si>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</si>
  <si>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</si>
  <si>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</si>
  <si>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</si>
  <si>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</si>
  <si>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</si>
  <si>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</si>
  <si>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</si>
  <si>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</si>
  <si>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</si>
  <si>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</si>
  <si>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</si>
  <si>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</si>
  <si>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</si>
  <si>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</si>
  <si>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</si>
  <si>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</si>
  <si>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</si>
  <si>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</si>
  <si>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</si>
  <si>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</si>
  <si>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</si>
  <si>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</si>
  <si>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</si>
  <si>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</si>
  <si>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</si>
  <si>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</si>
  <si>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</si>
  <si>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</si>
  <si>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</si>
  <si>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</si>
  <si>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</si>
  <si>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</si>
  <si>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</si>
  <si>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</si>
  <si>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</si>
  <si>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</si>
  <si>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</si>
  <si>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</si>
  <si>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</si>
  <si>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</si>
  <si>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</si>
  <si>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</si>
  <si>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</si>
  <si>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</si>
  <si>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</si>
  <si>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</si>
  <si>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</si>
  <si>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</si>
  <si>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</si>
  <si>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</si>
  <si>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</si>
  <si>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</si>
  <si>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</si>
  <si>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</si>
  <si>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</si>
  <si>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</si>
  <si>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</si>
  <si>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</si>
  <si>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</si>
  <si>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</si>
  <si>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</si>
  <si>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</si>
  <si>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</si>
  <si>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</si>
  <si>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</si>
  <si>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</si>
  <si>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</si>
  <si>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</si>
  <si>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</si>
  <si>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</si>
  <si>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</si>
  <si>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</si>
  <si>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</si>
  <si>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</si>
  <si>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</si>
  <si>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</si>
  <si>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</si>
  <si>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</si>
  <si>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</si>
  <si>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</si>
  <si>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</si>
  <si>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</si>
  <si>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</si>
  <si>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</si>
  <si>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</si>
  <si>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</si>
  <si>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</si>
  <si>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</si>
  <si>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</si>
  <si>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</si>
  <si>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</si>
  <si>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</si>
  <si>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</si>
  <si>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</si>
  <si>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</si>
  <si>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</si>
  <si>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</si>
  <si>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</si>
  <si>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</si>
  <si>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</si>
  <si>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</si>
  <si>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</si>
  <si>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</si>
  <si>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</si>
  <si>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</si>
  <si>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</si>
  <si>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</si>
  <si>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</si>
  <si>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</si>
  <si>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</si>
  <si>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</si>
  <si>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</si>
  <si>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</si>
  <si>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</si>
  <si>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</si>
  <si>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</si>
  <si>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</si>
  <si>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</si>
  <si>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</si>
  <si>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</si>
  <si>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</si>
  <si>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</si>
  <si>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</si>
  <si>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</si>
  <si>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</si>
  <si>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</si>
  <si>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</si>
  <si>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</si>
  <si>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</si>
  <si>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</si>
  <si>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</si>
  <si>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</si>
  <si>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</si>
  <si>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</si>
  <si>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</si>
  <si>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</si>
  <si>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</si>
  <si>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</si>
  <si>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</si>
  <si>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</si>
  <si>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</si>
  <si>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</si>
  <si>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</si>
  <si>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</si>
  <si>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</si>
  <si>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</si>
  <si>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</si>
  <si>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</si>
  <si>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</si>
  <si>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</si>
  <si>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</si>
  <si>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</si>
  <si>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</si>
  <si>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</si>
  <si>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</si>
  <si>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</si>
  <si>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</si>
  <si>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</si>
  <si>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</si>
  <si>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</si>
  <si>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</si>
  <si>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</si>
  <si>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</si>
  <si>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</si>
  <si>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</si>
  <si>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</si>
  <si>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</si>
  <si>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</si>
  <si>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</si>
  <si>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</si>
  <si>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</si>
  <si>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</si>
  <si>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</si>
  <si>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</si>
  <si>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</si>
  <si>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</si>
  <si>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</si>
  <si>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</si>
  <si>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</si>
  <si>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</si>
  <si>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</si>
  <si>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</si>
  <si>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</si>
  <si>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</si>
  <si>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</si>
  <si>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</si>
  <si>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</si>
  <si>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</si>
  <si>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</si>
  <si>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</si>
  <si>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</si>
  <si>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</si>
  <si>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</si>
  <si>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</si>
  <si>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</si>
  <si>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</si>
  <si>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</si>
  <si>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</si>
  <si>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</si>
  <si>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</si>
  <si>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</si>
  <si>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</si>
  <si>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</si>
  <si>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</si>
  <si>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</si>
  <si>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</si>
  <si>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</si>
  <si>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</si>
  <si>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</si>
  <si>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</si>
  <si>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</si>
  <si>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</si>
  <si>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</si>
  <si>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</si>
  <si>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</si>
  <si>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</si>
  <si>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</si>
  <si>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</si>
  <si>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</si>
  <si>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</si>
  <si>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</si>
  <si>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</si>
  <si>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</si>
  <si>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</si>
  <si>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</si>
  <si>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</si>
  <si>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</si>
  <si>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</si>
  <si>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</si>
  <si>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</si>
  <si>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</si>
  <si>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</si>
  <si>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</si>
  <si>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</si>
  <si>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</si>
  <si>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</si>
  <si>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</si>
  <si>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</si>
  <si>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</si>
  <si>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</si>
  <si>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</si>
  <si>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</si>
  <si>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</si>
  <si>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</si>
  <si>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</si>
  <si>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</si>
  <si>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</si>
  <si>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</si>
  <si>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</si>
  <si>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</si>
  <si>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</si>
  <si>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</si>
  <si>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</si>
  <si>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</si>
  <si>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</si>
  <si>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</si>
  <si>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</si>
  <si>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</si>
  <si>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</si>
  <si>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</si>
  <si>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</si>
  <si>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</si>
  <si>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</si>
  <si>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</si>
  <si>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</si>
  <si>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</si>
  <si>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</si>
  <si>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</si>
  <si>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</si>
  <si>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</si>
  <si>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</si>
  <si>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</si>
  <si>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</si>
  <si>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</si>
  <si>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</si>
  <si>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</si>
  <si>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</si>
  <si>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</si>
  <si>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</si>
  <si>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</si>
  <si>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</si>
  <si>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</si>
  <si>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</si>
  <si>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</si>
  <si>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</si>
  <si>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</si>
  <si>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</si>
  <si>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</si>
  <si>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</si>
  <si>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</si>
  <si>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</si>
  <si>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</si>
  <si>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</si>
  <si>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</si>
  <si>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</si>
  <si>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</si>
  <si>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</si>
  <si>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</si>
  <si>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</si>
  <si>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</si>
  <si>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</si>
  <si>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</si>
  <si>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</si>
  <si>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</si>
  <si>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</si>
  <si>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</si>
  <si>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</si>
  <si>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</si>
  <si>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</si>
  <si>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</si>
  <si>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</si>
  <si>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</si>
  <si>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</si>
  <si>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</si>
  <si>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</si>
  <si>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</si>
  <si>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</si>
  <si>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</si>
  <si>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</si>
  <si>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</si>
  <si>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</si>
  <si>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</si>
  <si>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</si>
  <si>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</si>
  <si>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</si>
  <si>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</si>
  <si>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</si>
  <si>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</si>
  <si>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</si>
  <si>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</si>
  <si>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</si>
  <si>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</si>
  <si>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</si>
  <si>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</si>
  <si>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</si>
  <si>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</si>
  <si>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</si>
  <si>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</si>
  <si>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</si>
  <si>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</si>
  <si>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</si>
  <si>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</si>
  <si>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</si>
  <si>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</si>
  <si>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</si>
  <si>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</si>
  <si>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</si>
  <si>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</si>
  <si>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</si>
  <si>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</si>
  <si>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</si>
  <si>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</si>
  <si>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</si>
  <si>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</si>
  <si>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</si>
  <si>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</si>
  <si>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</si>
  <si>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</si>
  <si>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</si>
  <si>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</si>
  <si>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</si>
  <si>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</si>
  <si>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</si>
  <si>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</si>
  <si>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</si>
  <si>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</si>
  <si>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</si>
  <si>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</si>
  <si>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</si>
  <si>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</si>
  <si>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</si>
  <si>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</si>
  <si>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</si>
  <si>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</si>
  <si>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</si>
  <si>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</si>
  <si>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</si>
  <si>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</si>
  <si>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</si>
  <si>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</si>
  <si>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</si>
  <si>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</si>
  <si>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</si>
  <si>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</si>
  <si>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</si>
  <si>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</si>
  <si>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</si>
  <si>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</si>
  <si>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</si>
  <si>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</si>
  <si>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</si>
  <si>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</si>
  <si>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</si>
  <si>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</si>
  <si>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</si>
  <si>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</si>
  <si>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</si>
  <si>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</si>
  <si>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</si>
  <si>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</si>
  <si>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</si>
  <si>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</si>
  <si>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</si>
  <si>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</si>
  <si>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</si>
  <si>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</si>
  <si>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</si>
  <si>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</si>
  <si>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</si>
  <si>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</si>
  <si>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</si>
  <si>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</si>
  <si>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</si>
  <si>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</si>
  <si>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</si>
  <si>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</si>
  <si>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</si>
  <si>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</si>
  <si>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</si>
  <si>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</si>
  <si>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</si>
  <si>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</si>
  <si>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</si>
  <si>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</si>
  <si>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</si>
  <si>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</si>
  <si>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</si>
  <si>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</si>
  <si>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</si>
  <si>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</si>
  <si>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</si>
  <si>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</si>
  <si>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</si>
  <si>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</si>
  <si>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</si>
  <si>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</si>
  <si>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</si>
  <si>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</si>
  <si>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</si>
  <si>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</si>
  <si>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</si>
  <si>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</si>
  <si>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</si>
  <si>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</si>
  <si>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</si>
  <si>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</si>
  <si>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</si>
  <si>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</si>
  <si>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</si>
  <si>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</si>
  <si>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</si>
  <si>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</si>
  <si>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</si>
  <si>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</si>
  <si>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</si>
  <si>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</si>
  <si>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</si>
  <si>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</si>
  <si>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</si>
  <si>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</si>
  <si>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</si>
  <si>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</si>
  <si>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</si>
  <si>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</si>
  <si>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</si>
  <si>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</si>
  <si>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</si>
  <si>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</si>
  <si>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</si>
  <si>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</si>
  <si>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</si>
  <si>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</si>
  <si>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</si>
  <si>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</si>
  <si>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</si>
  <si>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</si>
  <si>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</si>
  <si>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</si>
  <si>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</si>
  <si>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</si>
  <si>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</si>
  <si>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</si>
  <si>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</si>
  <si>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</si>
  <si>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</si>
  <si>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</si>
  <si>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</si>
  <si>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</si>
  <si>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</si>
  <si>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</si>
  <si>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</si>
  <si>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</si>
  <si>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</si>
  <si>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</si>
  <si>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</si>
  <si>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</si>
  <si>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</si>
  <si>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</si>
  <si>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</si>
  <si>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</si>
  <si>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</si>
  <si>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</si>
  <si>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</si>
  <si>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</si>
  <si>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</si>
  <si>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</si>
  <si>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</si>
  <si>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</si>
  <si>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</si>
  <si>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</si>
  <si>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</si>
  <si>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</si>
  <si>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</si>
  <si>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</si>
  <si>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</si>
  <si>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</si>
  <si>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</si>
  <si>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</si>
  <si>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</si>
  <si>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</si>
  <si>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</si>
  <si>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</si>
  <si>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</si>
  <si>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</si>
  <si>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</si>
  <si>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</si>
  <si>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</si>
  <si>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</si>
  <si>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</si>
  <si>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</si>
  <si>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</si>
  <si>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</si>
  <si>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</si>
  <si>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</si>
  <si>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</si>
  <si>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</si>
  <si>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</si>
  <si>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</si>
  <si>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</si>
  <si>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</si>
  <si>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</si>
  <si>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</si>
  <si>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</si>
  <si>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</si>
  <si>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</si>
  <si>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</si>
  <si>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</si>
  <si>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</si>
  <si>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</si>
  <si>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</si>
  <si>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</si>
  <si>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</si>
  <si>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</si>
  <si>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</si>
  <si>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</si>
  <si>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</si>
  <si>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</si>
  <si>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</si>
  <si>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</si>
  <si>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</si>
  <si>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</si>
  <si>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</si>
  <si>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</si>
  <si>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</si>
  <si>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</si>
  <si>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</si>
  <si>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</si>
  <si>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</si>
  <si>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</si>
  <si>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</si>
  <si>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</si>
  <si>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</si>
  <si>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</si>
  <si>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</si>
  <si>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</si>
  <si>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</si>
  <si>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</si>
  <si>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</si>
  <si>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</si>
  <si>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</si>
  <si>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</si>
  <si>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</si>
  <si>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</si>
  <si>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</si>
  <si>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</si>
  <si>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</si>
  <si>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</si>
  <si>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</si>
  <si>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</si>
  <si>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</si>
  <si>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</si>
  <si>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</si>
  <si>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</si>
  <si>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</si>
  <si>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</si>
  <si>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</si>
  <si>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</si>
  <si>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</si>
  <si>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</si>
  <si>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</si>
  <si>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</si>
  <si>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</si>
  <si>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</si>
  <si>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</si>
  <si>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</si>
  <si>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</si>
  <si>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</si>
  <si>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</si>
  <si>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</si>
  <si>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</si>
  <si>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</si>
  <si>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</si>
  <si>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</si>
  <si>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</si>
  <si>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</si>
  <si>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</si>
  <si>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</si>
  <si>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</si>
  <si>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</si>
  <si>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</si>
  <si>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</si>
  <si>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</si>
  <si>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</si>
  <si>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</si>
  <si>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</si>
  <si>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</si>
  <si>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</si>
  <si>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</si>
  <si>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</si>
  <si>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</si>
  <si>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</si>
  <si>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</si>
  <si>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</si>
  <si>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</si>
  <si>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</si>
  <si>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</si>
  <si>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</si>
  <si>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</si>
  <si>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</si>
  <si>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</si>
  <si>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</si>
  <si>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</si>
  <si>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</si>
  <si>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</si>
  <si>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</si>
  <si>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</si>
  <si>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</si>
  <si>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</si>
  <si>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</si>
  <si>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</si>
  <si>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</si>
  <si>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</si>
  <si>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</si>
  <si>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</si>
  <si>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</si>
  <si>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</si>
  <si>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</si>
  <si>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</si>
  <si>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</si>
  <si>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</si>
  <si>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</si>
  <si>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</si>
  <si>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</si>
  <si>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</si>
  <si>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</si>
  <si>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</si>
  <si>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</si>
  <si>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</si>
  <si>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</si>
  <si>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</si>
  <si>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</si>
  <si>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</si>
  <si>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</si>
  <si>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</si>
  <si>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</si>
  <si>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</si>
  <si>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</si>
  <si>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</si>
  <si>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</si>
  <si>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</si>
  <si>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</si>
  <si>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</si>
  <si>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</si>
  <si>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</si>
  <si>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</si>
  <si>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</si>
  <si>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</si>
  <si>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</si>
  <si>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</si>
  <si>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</si>
  <si>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</si>
  <si>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</si>
  <si>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</si>
  <si>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</si>
  <si>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</si>
  <si>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</si>
  <si>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</si>
  <si>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</si>
  <si>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</si>
  <si>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</si>
  <si>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</si>
  <si>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</si>
  <si>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</si>
  <si>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</si>
  <si>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</si>
  <si>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</si>
  <si>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</si>
  <si>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</si>
  <si>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</si>
  <si>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</si>
  <si>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</si>
  <si>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</si>
  <si>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</si>
  <si>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</si>
  <si>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</si>
  <si>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</si>
  <si>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</si>
  <si>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</si>
  <si>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</si>
  <si>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</si>
  <si>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</si>
  <si>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</si>
  <si>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</si>
  <si>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</si>
  <si>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</si>
  <si>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</si>
  <si>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</si>
  <si>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</si>
  <si>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</si>
  <si>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</si>
  <si>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</si>
  <si>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</si>
  <si>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</si>
  <si>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</si>
  <si>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</si>
  <si>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</si>
  <si>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</si>
  <si>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</si>
  <si>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</si>
  <si>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</si>
  <si>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</si>
  <si>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</si>
  <si>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</si>
  <si>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</si>
  <si>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</si>
  <si>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</si>
  <si>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</si>
  <si>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</si>
  <si>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</si>
  <si>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</si>
  <si>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</si>
  <si>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</si>
  <si>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</si>
  <si>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</si>
  <si>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</si>
  <si>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</si>
  <si>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</si>
  <si>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</si>
  <si>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</si>
  <si>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</si>
  <si>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</si>
  <si>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</si>
  <si>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</si>
  <si>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</si>
  <si>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</si>
  <si>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</si>
  <si>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</si>
  <si>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</si>
  <si>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</si>
  <si>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</si>
  <si>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</si>
  <si>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</si>
  <si>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</si>
  <si>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</si>
  <si>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</si>
  <si>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</si>
  <si>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</si>
  <si>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</si>
  <si>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</si>
  <si>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</si>
  <si>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</si>
  <si>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</si>
  <si>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</si>
  <si>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</si>
  <si>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</si>
  <si>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</si>
  <si>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</si>
  <si>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</si>
  <si>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</si>
  <si>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</si>
  <si>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</si>
  <si>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</si>
  <si>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</si>
  <si>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</si>
  <si>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</si>
  <si>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</si>
  <si>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</si>
  <si>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</si>
  <si>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</si>
  <si>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</si>
  <si>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</si>
  <si>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</si>
  <si>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</si>
  <si>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</si>
  <si>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</si>
  <si>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</si>
  <si>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</si>
  <si>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</si>
  <si>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</si>
  <si>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</si>
  <si>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</si>
  <si>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</si>
  <si>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</si>
  <si>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</si>
  <si>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</si>
  <si>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</si>
  <si>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</si>
  <si>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</si>
  <si>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</si>
  <si>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</si>
  <si>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</si>
  <si>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</si>
  <si>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</si>
  <si>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</si>
  <si>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</si>
  <si>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</si>
  <si>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</si>
  <si>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</si>
  <si>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</si>
  <si>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</si>
  <si>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</si>
  <si>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</si>
  <si>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</si>
  <si>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</si>
  <si>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</si>
  <si>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</si>
  <si>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</si>
  <si>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</si>
  <si>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</si>
  <si>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</si>
  <si>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</si>
  <si>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</si>
  <si>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</si>
  <si>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</si>
  <si>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</si>
  <si>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</si>
  <si>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</si>
  <si>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</si>
  <si>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</si>
  <si>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</si>
  <si>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</si>
  <si>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</si>
  <si>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</si>
  <si>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</si>
  <si>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</si>
  <si>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</si>
  <si>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</si>
  <si>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</si>
  <si>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</si>
  <si>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</si>
  <si>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</si>
  <si>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</si>
  <si>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</si>
  <si>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</si>
  <si>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</si>
  <si>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</si>
  <si>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</si>
  <si>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</si>
  <si>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</si>
  <si>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</si>
  <si>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</si>
  <si>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</si>
  <si>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</si>
  <si>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</si>
  <si>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</si>
  <si>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</si>
  <si>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</si>
  <si>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</si>
  <si>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</si>
  <si>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</si>
  <si>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</si>
  <si>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</si>
  <si>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</si>
  <si>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</si>
  <si>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</si>
  <si>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</si>
  <si>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</si>
  <si>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</si>
  <si>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</si>
  <si>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</si>
  <si>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</si>
  <si>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</si>
  <si>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</si>
  <si>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</si>
  <si>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</si>
  <si>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</si>
  <si>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</si>
  <si>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</si>
  <si>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</si>
  <si>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</si>
  <si>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</si>
  <si>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</si>
  <si>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</si>
  <si>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</si>
  <si>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</si>
  <si>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</si>
  <si>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</si>
  <si>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</si>
  <si>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</si>
  <si>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</si>
  <si>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</si>
  <si>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</si>
  <si>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</si>
  <si>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</si>
  <si>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</si>
  <si>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</si>
  <si>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</si>
  <si>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</si>
  <si>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</si>
  <si>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</si>
  <si>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</si>
  <si>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</si>
  <si>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</si>
  <si>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</si>
  <si>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</si>
  <si>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</si>
  <si>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</si>
  <si>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</si>
  <si>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</si>
  <si>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</si>
  <si>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</si>
  <si>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</si>
  <si>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</si>
  <si>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</si>
  <si>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</si>
  <si>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</si>
  <si>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</si>
  <si>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</si>
  <si>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</si>
  <si>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</si>
  <si>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</si>
  <si>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</si>
  <si>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</si>
  <si>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</si>
  <si>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</si>
  <si>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</si>
  <si>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</si>
  <si>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</si>
  <si>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</si>
  <si>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</si>
  <si>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</si>
  <si>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</si>
  <si>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</si>
  <si>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</si>
  <si>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</si>
  <si>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</si>
  <si>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</si>
  <si>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</si>
  <si>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</si>
  <si>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</si>
  <si>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</si>
  <si>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</si>
  <si>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</si>
  <si>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</si>
  <si>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</si>
  <si>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</si>
  <si>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</si>
  <si>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</si>
  <si>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</si>
  <si>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</si>
  <si>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</si>
  <si>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</si>
  <si>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</si>
  <si>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</si>
  <si>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</si>
  <si>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</si>
  <si>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</si>
  <si>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</si>
  <si>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</si>
  <si>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</si>
  <si>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</si>
  <si>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</si>
  <si>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</si>
  <si>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</si>
  <si>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</si>
  <si>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</si>
  <si>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</si>
  <si>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</si>
  <si>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</si>
  <si>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</si>
  <si>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</si>
  <si>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</si>
  <si>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</si>
  <si>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</si>
  <si>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</si>
  <si>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</si>
  <si>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</si>
  <si>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</si>
  <si>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</si>
  <si>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</si>
  <si>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</si>
  <si>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</si>
  <si>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</si>
  <si>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</si>
  <si>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</si>
  <si>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</si>
  <si>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</si>
  <si>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</si>
  <si>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</si>
  <si>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</si>
  <si>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</si>
  <si>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</si>
  <si>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</si>
  <si>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</si>
  <si>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</si>
  <si>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</si>
  <si>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</si>
  <si>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</si>
  <si>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</si>
  <si>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</si>
  <si>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</si>
  <si>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</si>
  <si>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</si>
  <si>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</si>
  <si>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</si>
  <si>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</si>
  <si>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</si>
  <si>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</si>
  <si>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</si>
  <si>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</si>
  <si>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</si>
  <si>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</si>
  <si>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</si>
  <si>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</si>
  <si>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</si>
  <si>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</si>
  <si>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</si>
  <si>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</si>
  <si>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</si>
  <si>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</si>
  <si>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</si>
  <si>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</si>
  <si>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</si>
  <si>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</si>
  <si>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</si>
  <si>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</si>
  <si>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</si>
  <si>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</si>
  <si>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</si>
  <si>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</si>
  <si>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</si>
  <si>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</si>
  <si>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</si>
  <si>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</si>
  <si>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</si>
  <si>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</si>
  <si>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</si>
  <si>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</si>
  <si>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</si>
  <si>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</si>
  <si>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</si>
  <si>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</si>
  <si>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</si>
  <si>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</si>
  <si>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</si>
  <si>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</si>
  <si>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</si>
  <si>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</si>
  <si>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</si>
  <si>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</si>
  <si>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</si>
  <si>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</si>
  <si>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</si>
  <si>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</si>
  <si>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</si>
  <si>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</si>
  <si>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</si>
  <si>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</si>
  <si>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</si>
  <si>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</si>
  <si>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</si>
  <si>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</si>
  <si>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</si>
  <si>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</si>
  <si>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</si>
  <si>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</si>
  <si>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</si>
  <si>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</si>
  <si>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</si>
  <si>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</si>
  <si>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</si>
  <si>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</si>
  <si>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</si>
  <si>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</si>
  <si>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</si>
  <si>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</si>
  <si>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</si>
  <si>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</si>
  <si>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</si>
  <si>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</si>
  <si>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</si>
  <si>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</si>
  <si>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</si>
  <si>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</si>
  <si>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</si>
  <si>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</si>
  <si>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</si>
  <si>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</si>
  <si>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</si>
  <si>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</si>
  <si>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</si>
  <si>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</si>
  <si>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</si>
  <si>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</si>
  <si>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</si>
  <si>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</si>
  <si>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</si>
  <si>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</si>
  <si>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</si>
  <si>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</si>
  <si>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</si>
  <si>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</si>
  <si>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</si>
  <si>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</si>
  <si>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</si>
  <si>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</si>
  <si>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</si>
  <si>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</si>
  <si>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</si>
  <si>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</si>
  <si>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</si>
  <si>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</si>
  <si>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</si>
  <si>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</si>
  <si>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</si>
  <si>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</si>
  <si>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</si>
  <si>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</si>
  <si>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</si>
  <si>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</si>
  <si>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</si>
  <si>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</si>
  <si>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</si>
  <si>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</si>
  <si>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</si>
  <si>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</si>
  <si>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</si>
  <si>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</si>
  <si>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</si>
  <si>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</si>
  <si>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</si>
  <si>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</si>
  <si>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</si>
  <si>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</si>
  <si>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</si>
  <si>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</si>
  <si>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</si>
  <si>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</si>
  <si>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</si>
  <si>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</si>
  <si>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</si>
  <si>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</si>
  <si>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</si>
  <si>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</si>
  <si>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</si>
  <si>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</si>
  <si>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</si>
  <si>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</si>
  <si>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</si>
  <si>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</si>
  <si>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</si>
  <si>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</si>
  <si>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</si>
  <si>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</si>
  <si>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</si>
  <si>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</si>
  <si>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</si>
  <si>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</si>
  <si>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</si>
  <si>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</si>
  <si>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</si>
  <si>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</si>
  <si>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</si>
  <si>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</si>
  <si>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</si>
  <si>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</si>
  <si>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</si>
  <si>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</si>
  <si>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</si>
  <si>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</si>
  <si>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</si>
  <si>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</si>
  <si>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</si>
  <si>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</si>
  <si>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</si>
  <si>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</si>
  <si>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</si>
  <si>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</si>
  <si>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</si>
  <si>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</si>
  <si>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</si>
  <si>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</si>
  <si>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</si>
  <si>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</si>
  <si>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</si>
  <si>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</si>
  <si>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</si>
  <si>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</si>
  <si>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</si>
  <si>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</si>
  <si>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</si>
  <si>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</si>
  <si>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</si>
  <si>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</si>
  <si>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</si>
  <si>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</si>
  <si>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</si>
  <si>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</si>
  <si>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</si>
  <si>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</si>
  <si>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</si>
  <si>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</si>
  <si>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</si>
  <si>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</si>
  <si>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</si>
  <si>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</si>
  <si>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</si>
  <si>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</si>
  <si>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</si>
  <si>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</si>
  <si>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</si>
  <si>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</si>
  <si>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</si>
  <si>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</si>
  <si>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</si>
  <si>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</si>
  <si>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</si>
  <si>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</si>
  <si>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</si>
  <si>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</si>
  <si>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</si>
  <si>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</si>
  <si>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</si>
  <si>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</si>
  <si>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</si>
  <si>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</si>
  <si>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</si>
  <si>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</si>
  <si>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</si>
  <si>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</si>
  <si>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</si>
  <si>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</si>
  <si>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</si>
  <si>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</si>
  <si>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</si>
  <si>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</si>
  <si>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</si>
  <si>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</si>
  <si>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</si>
  <si>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</si>
  <si>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</si>
  <si>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</si>
  <si>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</si>
  <si>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</si>
  <si>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</si>
  <si>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</si>
  <si>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</si>
  <si>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</si>
  <si>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</si>
  <si>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</si>
  <si>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</si>
  <si>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</si>
  <si>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</si>
  <si>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</si>
  <si>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</si>
  <si>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</si>
  <si>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</si>
  <si>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</si>
  <si>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</si>
  <si>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</si>
  <si>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</si>
  <si>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</si>
  <si>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</si>
  <si>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</si>
  <si>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</si>
  <si>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</si>
  <si>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</si>
  <si>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</si>
  <si>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</si>
  <si>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</si>
  <si>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</si>
  <si>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</si>
  <si>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</si>
  <si>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</si>
  <si>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</si>
  <si>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</si>
  <si>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</si>
  <si>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</si>
  <si>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</si>
  <si>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</si>
  <si>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</si>
  <si>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</si>
  <si>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</si>
  <si>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</si>
  <si>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</si>
  <si>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</si>
  <si>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</si>
  <si>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</si>
  <si>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</si>
  <si>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</si>
  <si>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</si>
  <si>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</si>
  <si>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</si>
  <si>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</si>
  <si>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</si>
  <si>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</si>
  <si>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</si>
  <si>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</si>
  <si>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</si>
  <si>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</si>
  <si>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</si>
  <si>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</si>
  <si>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</si>
  <si>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</si>
  <si>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</si>
  <si>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</si>
  <si>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</si>
  <si>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</si>
  <si>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</si>
  <si>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</si>
  <si>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</si>
  <si>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</si>
  <si>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</si>
  <si>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</si>
  <si>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</si>
  <si>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</si>
  <si>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</si>
  <si>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</si>
  <si>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</si>
  <si>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</si>
  <si>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</si>
  <si>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</si>
  <si>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</si>
  <si>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</si>
  <si>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</si>
  <si>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</si>
  <si>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</si>
  <si>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</si>
  <si>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</si>
  <si>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</si>
  <si>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</si>
  <si>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</si>
  <si>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</si>
  <si>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</si>
  <si>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</si>
  <si>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</si>
  <si>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</si>
  <si>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</si>
  <si>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</si>
  <si>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</si>
  <si>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</si>
  <si>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</si>
  <si>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</si>
  <si>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</si>
  <si>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</si>
  <si>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</si>
  <si>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</si>
  <si>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</si>
  <si>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</si>
  <si>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</si>
  <si>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</si>
  <si>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</si>
  <si>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</si>
  <si>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</si>
  <si>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</si>
  <si>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</si>
  <si>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</si>
  <si>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</si>
  <si>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</si>
  <si>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</si>
  <si>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</si>
  <si>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</si>
  <si>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</si>
  <si>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</si>
  <si>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</si>
  <si>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</si>
  <si>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</si>
  <si>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</si>
  <si>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</si>
  <si>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</si>
  <si>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</si>
  <si>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</si>
  <si>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</si>
  <si>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</si>
  <si>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</si>
  <si>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</si>
  <si>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</si>
  <si>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</si>
  <si>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</si>
  <si>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</si>
  <si>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</si>
  <si>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</si>
  <si>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</si>
  <si>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</si>
  <si>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</si>
  <si>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</si>
  <si>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</si>
  <si>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</si>
  <si>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</si>
  <si>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</si>
  <si>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</si>
  <si>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</si>
  <si>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</si>
  <si>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</si>
  <si>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</si>
  <si>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</si>
  <si>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</si>
  <si>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</si>
  <si>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</si>
  <si>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</si>
  <si>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</si>
  <si>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</si>
  <si>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</si>
  <si>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</si>
  <si>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</si>
  <si>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</si>
  <si>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</si>
  <si>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</si>
  <si>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</si>
  <si>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</si>
  <si>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</si>
  <si>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</si>
  <si>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</si>
  <si>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</si>
  <si>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</si>
  <si>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</si>
  <si>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</si>
  <si>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</si>
  <si>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</si>
  <si>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</si>
  <si>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</si>
  <si>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</si>
  <si>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</si>
  <si>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</si>
  <si>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</si>
  <si>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</si>
  <si>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</si>
  <si>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</si>
  <si>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</si>
  <si>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</si>
  <si>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</si>
  <si>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</si>
  <si>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</si>
  <si>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</si>
  <si>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</si>
  <si>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</si>
  <si>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</si>
  <si>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</si>
  <si>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</si>
  <si>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</si>
  <si>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</si>
  <si>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</si>
  <si>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</si>
  <si>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</si>
  <si>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</si>
  <si>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</si>
  <si>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</si>
  <si>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</si>
  <si>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</si>
  <si>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</si>
  <si>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</si>
  <si>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</si>
  <si>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</si>
  <si>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</si>
  <si>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</si>
  <si>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</si>
  <si>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</si>
  <si>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</si>
  <si>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</si>
  <si>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</si>
  <si>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</si>
  <si>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</si>
  <si>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</si>
  <si>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</si>
  <si>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</si>
  <si>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</si>
  <si>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</si>
  <si>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</si>
  <si>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</si>
  <si>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</si>
  <si>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</si>
  <si>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</si>
  <si>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</si>
  <si>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</si>
  <si>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</si>
  <si>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</si>
  <si>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</si>
  <si>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</si>
  <si>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</si>
  <si>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</si>
  <si>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</si>
  <si>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</si>
  <si>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</si>
  <si>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</si>
  <si>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</si>
  <si>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</si>
  <si>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</si>
  <si>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</si>
  <si>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</si>
  <si>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</si>
  <si>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</si>
  <si>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</si>
  <si>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</si>
  <si>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</si>
  <si>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</si>
  <si>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</si>
  <si>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</si>
  <si>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</si>
  <si>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</si>
  <si>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</si>
  <si>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</si>
  <si>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</si>
  <si>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</si>
  <si>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</si>
  <si>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</si>
  <si>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</si>
  <si>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</si>
  <si>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</si>
  <si>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</si>
  <si>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</si>
  <si>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</si>
  <si>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</si>
  <si>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</si>
  <si>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</si>
  <si>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</si>
  <si>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</si>
  <si>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</si>
  <si>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</si>
  <si>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</si>
  <si>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</si>
  <si>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</si>
  <si>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</si>
  <si>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</si>
  <si>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</si>
  <si>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</si>
  <si>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</si>
  <si>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</si>
  <si>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</si>
  <si>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</si>
  <si>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</si>
  <si>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</si>
  <si>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</si>
  <si>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</si>
  <si>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</si>
  <si>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</si>
  <si>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</si>
  <si>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</si>
  <si>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</si>
  <si>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</si>
  <si>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</si>
  <si>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</si>
  <si>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</si>
  <si>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</si>
  <si>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</si>
  <si>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</si>
  <si>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</si>
  <si>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</si>
  <si>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</si>
  <si>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</si>
  <si>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</si>
  <si>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</si>
  <si>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</si>
  <si>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</si>
  <si>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</si>
  <si>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</si>
  <si>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</si>
  <si>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</si>
  <si>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</si>
  <si>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</si>
  <si>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</si>
  <si>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</si>
  <si>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</si>
  <si>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</si>
  <si>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</si>
  <si>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</si>
  <si>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</si>
  <si>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</si>
  <si>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</si>
  <si>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</si>
  <si>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</si>
  <si>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</si>
  <si>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</si>
  <si>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</si>
  <si>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</si>
  <si>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</si>
  <si>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</si>
  <si>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</si>
  <si>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</si>
  <si>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</si>
  <si>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</si>
  <si>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</si>
  <si>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</si>
  <si>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</si>
  <si>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</si>
  <si>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</si>
  <si>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</si>
  <si>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</si>
  <si>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</si>
  <si>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</si>
  <si>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</si>
  <si>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</si>
  <si>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</si>
  <si>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</si>
  <si>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</si>
  <si>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</si>
  <si>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</si>
  <si>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</si>
  <si>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</si>
  <si>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</si>
  <si>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</si>
  <si>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</si>
  <si>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</si>
  <si>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</si>
  <si>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</si>
  <si>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</si>
  <si>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</si>
  <si>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</si>
  <si>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</si>
  <si>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</si>
  <si>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</si>
  <si>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</si>
  <si>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</si>
  <si>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</si>
  <si>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</si>
  <si>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</si>
  <si>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</si>
  <si>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</si>
  <si>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</si>
  <si>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</si>
  <si>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</si>
  <si>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</si>
  <si>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</si>
  <si>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</si>
  <si>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</si>
  <si>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</si>
  <si>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</si>
  <si>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</si>
  <si>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</si>
  <si>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</si>
  <si>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</si>
  <si>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</si>
  <si>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</si>
  <si>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</si>
  <si>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</si>
  <si>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</si>
  <si>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</si>
  <si>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</si>
  <si>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</si>
  <si>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</si>
  <si>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</si>
  <si>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</si>
  <si>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</si>
  <si>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</si>
  <si>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</si>
  <si>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</si>
  <si>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</si>
  <si>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</si>
  <si>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</si>
  <si>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</si>
  <si>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</si>
  <si>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</si>
  <si>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</si>
  <si>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</si>
  <si>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</si>
  <si>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</si>
  <si>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</si>
  <si>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</si>
  <si>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</si>
  <si>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</si>
  <si>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</si>
  <si>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</si>
  <si>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</si>
  <si>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</si>
  <si>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</si>
  <si>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</si>
  <si>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</si>
  <si>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</si>
  <si>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</si>
  <si>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</si>
  <si>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</si>
  <si>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</si>
  <si>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</si>
  <si>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</si>
  <si>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</si>
  <si>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</si>
  <si>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</si>
  <si>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</si>
  <si>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</si>
  <si>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</si>
  <si>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</si>
  <si>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</si>
  <si>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</si>
  <si>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</si>
  <si>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</si>
  <si>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</si>
  <si>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</si>
  <si>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</si>
  <si>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</si>
  <si>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</si>
  <si>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</si>
  <si>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</si>
  <si>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</si>
  <si>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</si>
  <si>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</si>
  <si>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</si>
  <si>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</si>
  <si>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</si>
  <si>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</si>
  <si>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</si>
  <si>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</si>
  <si>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</si>
  <si>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</si>
  <si>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</si>
  <si>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</si>
  <si>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</si>
  <si>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</si>
  <si>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</si>
  <si>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</si>
  <si>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</si>
  <si>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</si>
  <si>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</si>
  <si>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</si>
  <si>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</si>
  <si>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</si>
  <si>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</si>
  <si>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</si>
  <si>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</si>
  <si>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</si>
  <si>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</si>
  <si>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</si>
  <si>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</si>
  <si>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</si>
  <si>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</si>
  <si>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</si>
  <si>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</si>
  <si>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</si>
  <si>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</si>
  <si>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</si>
  <si>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</si>
  <si>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</si>
  <si>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</si>
  <si>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</si>
  <si>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</si>
  <si>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</si>
  <si>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</si>
  <si>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</si>
  <si>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</si>
  <si>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</si>
  <si>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</si>
  <si>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</si>
  <si>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</si>
  <si>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</si>
  <si>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</si>
  <si>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</si>
  <si>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</si>
  <si>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</si>
  <si>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</si>
  <si>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</si>
  <si>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</si>
  <si>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</si>
  <si>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</si>
  <si>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</si>
  <si>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</si>
  <si>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</si>
  <si>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</si>
  <si>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</si>
  <si>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</si>
  <si>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</si>
  <si>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</si>
  <si>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</si>
  <si>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</si>
  <si>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</si>
  <si>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</si>
  <si>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</si>
  <si>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</si>
  <si>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</si>
  <si>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</si>
  <si>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</si>
  <si>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</si>
  <si>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</si>
  <si>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</si>
  <si>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</si>
  <si>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</si>
  <si>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</si>
  <si>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</si>
  <si>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</si>
  <si>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</si>
  <si>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</si>
  <si>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</si>
  <si>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</si>
  <si>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</si>
  <si>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</si>
  <si>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</si>
  <si>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</si>
  <si>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</si>
  <si>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</si>
  <si>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</si>
  <si>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</si>
  <si>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</si>
  <si>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</si>
  <si>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</si>
  <si>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</si>
  <si>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</si>
  <si>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</si>
  <si>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</si>
  <si>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</si>
  <si>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</si>
  <si>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</si>
  <si>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</si>
  <si>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</si>
  <si>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</si>
  <si>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</si>
  <si>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</si>
  <si>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</si>
  <si>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</si>
  <si>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</si>
  <si>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</si>
  <si>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</si>
  <si>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</si>
  <si>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</si>
  <si>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</si>
  <si>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</si>
  <si>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</si>
  <si>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</si>
  <si>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</si>
  <si>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</si>
  <si>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</si>
  <si>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</si>
  <si>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</si>
  <si>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</si>
  <si>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</si>
  <si>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</si>
  <si>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</si>
  <si>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</si>
  <si>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</si>
  <si>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</si>
  <si>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</si>
  <si>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</si>
  <si>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</si>
  <si>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</si>
  <si>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</si>
  <si>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</si>
  <si>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</si>
  <si>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</si>
  <si>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</si>
  <si>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</si>
  <si>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</si>
  <si>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</si>
  <si>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</si>
  <si>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</si>
  <si>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</si>
  <si>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</si>
  <si>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</si>
  <si>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</si>
  <si>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</si>
  <si>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</si>
  <si>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</si>
  <si>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</si>
  <si>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</si>
  <si>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</si>
  <si>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</si>
  <si>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</si>
  <si>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</si>
  <si>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</si>
  <si>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</si>
  <si>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</si>
  <si>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</si>
  <si>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</si>
  <si>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</si>
  <si>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</si>
  <si>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</si>
  <si>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</si>
  <si>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</si>
  <si>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</si>
  <si>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</si>
  <si>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</si>
  <si>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</si>
  <si>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</si>
  <si>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</si>
  <si>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</si>
  <si>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</si>
  <si>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</si>
  <si>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</si>
  <si>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</si>
  <si>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</si>
  <si>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</si>
  <si>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</si>
  <si>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</si>
  <si>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</si>
  <si>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</si>
  <si>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</si>
  <si>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</si>
  <si>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</si>
  <si>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</si>
  <si>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</si>
  <si>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</si>
  <si>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</si>
  <si>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</si>
  <si>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</si>
  <si>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</si>
  <si>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</si>
  <si>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</si>
  <si>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</si>
  <si>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</si>
  <si>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</si>
  <si>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</si>
  <si>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</si>
  <si>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</si>
  <si>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</si>
  <si>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</si>
  <si>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</si>
  <si>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</si>
  <si>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</si>
  <si>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</si>
  <si>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</si>
  <si>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</si>
  <si>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</si>
  <si>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</si>
  <si>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</si>
  <si>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</si>
  <si>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</si>
  <si>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</si>
  <si>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</si>
  <si>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</si>
  <si>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</si>
  <si>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</si>
  <si>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</si>
  <si>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</si>
  <si>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</si>
  <si>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</si>
  <si>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</si>
  <si>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</si>
  <si>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</si>
  <si>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</si>
  <si>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</si>
  <si>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</si>
  <si>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</si>
  <si>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</si>
  <si>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</si>
  <si>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</si>
  <si>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</si>
  <si>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</si>
  <si>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</si>
  <si>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</si>
  <si>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</si>
  <si>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</si>
  <si>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</si>
  <si>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</si>
  <si>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</si>
  <si>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</si>
  <si>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</si>
  <si>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</si>
  <si>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</si>
  <si>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</si>
  <si>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</si>
  <si>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</si>
  <si>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</si>
  <si>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</si>
  <si>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</si>
  <si>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</si>
  <si>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</si>
  <si>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</si>
  <si>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</si>
  <si>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</si>
  <si>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</si>
  <si>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</si>
  <si>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</si>
  <si>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</si>
  <si>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</si>
  <si>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</si>
  <si>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</si>
  <si>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</si>
  <si>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</si>
  <si>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</si>
  <si>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</si>
  <si>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</si>
  <si>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</si>
  <si>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</si>
  <si>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</si>
  <si>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</si>
  <si>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</si>
  <si>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</si>
  <si>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</si>
  <si>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</si>
  <si>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</si>
  <si>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</si>
  <si>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</si>
  <si>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</si>
  <si>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</si>
  <si>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</si>
  <si>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</si>
  <si>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</si>
  <si>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</si>
  <si>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</si>
  <si>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</si>
  <si>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</si>
  <si>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</si>
  <si>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</si>
  <si>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</si>
  <si>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</si>
  <si>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</si>
  <si>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</si>
  <si>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</si>
  <si>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</si>
  <si>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</si>
  <si>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</si>
  <si>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</si>
  <si>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</si>
  <si>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</si>
  <si>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</si>
  <si>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</si>
  <si>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</si>
  <si>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</si>
  <si>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</si>
  <si>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</si>
  <si>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</si>
  <si>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</si>
  <si>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</si>
  <si>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</si>
  <si>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</si>
  <si>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</si>
  <si>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</si>
  <si>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</si>
  <si>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</si>
  <si>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</si>
  <si>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</si>
  <si>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</si>
  <si>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</si>
  <si>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</si>
  <si>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</si>
  <si>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</si>
  <si>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</si>
  <si>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</si>
  <si>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</si>
  <si>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</si>
  <si>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</si>
  <si>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</si>
  <si>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</si>
  <si>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</si>
  <si>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</si>
  <si>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</si>
  <si>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</si>
  <si>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</si>
  <si>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</si>
  <si>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</si>
  <si>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</si>
  <si>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</si>
  <si>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</si>
  <si>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</si>
  <si>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</si>
  <si>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</si>
  <si>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</si>
  <si>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</si>
  <si>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</si>
  <si>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</si>
  <si>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</si>
  <si>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</si>
  <si>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</si>
  <si>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</si>
  <si>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</si>
  <si>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</si>
  <si>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</si>
  <si>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</si>
  <si>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</si>
  <si>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</si>
  <si>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</si>
  <si>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</si>
  <si>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</si>
  <si>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</si>
  <si>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</si>
  <si>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</si>
  <si>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</si>
  <si>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</si>
  <si>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</si>
  <si>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</si>
  <si>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</si>
  <si>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</si>
  <si>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</si>
  <si>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</si>
  <si>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</si>
  <si>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</si>
  <si>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</si>
  <si>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</si>
  <si>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</si>
  <si>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</si>
  <si>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</si>
  <si>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</si>
  <si>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</si>
  <si>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</si>
  <si>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</si>
  <si>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</si>
  <si>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</si>
  <si>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</si>
  <si>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</si>
  <si>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</si>
  <si>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</si>
  <si>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</si>
  <si>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</si>
  <si>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</si>
  <si>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</si>
  <si>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</si>
  <si>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</si>
  <si>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</si>
  <si>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</si>
  <si>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</si>
  <si>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</si>
  <si>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</si>
  <si>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</si>
  <si>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</si>
  <si>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</si>
  <si>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</si>
  <si>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</si>
  <si>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</si>
  <si>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</si>
  <si>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</si>
  <si>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</si>
  <si>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</si>
  <si>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</si>
  <si>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</si>
  <si>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</si>
  <si>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</si>
  <si>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</si>
  <si>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</si>
  <si>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</si>
  <si>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</si>
  <si>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</si>
  <si>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</si>
  <si>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</si>
  <si>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</si>
  <si>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</si>
  <si>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</si>
  <si>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</si>
  <si>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</si>
  <si>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</si>
  <si>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</si>
  <si>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</si>
  <si>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</si>
  <si>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</si>
  <si>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</si>
  <si>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</si>
  <si>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</si>
  <si>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</si>
  <si>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</si>
  <si>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</si>
  <si>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</si>
  <si>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</si>
  <si>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</si>
  <si>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</si>
  <si>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</si>
  <si>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</si>
  <si>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</si>
  <si>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</si>
  <si>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</si>
  <si>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</si>
  <si>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</si>
  <si>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</si>
  <si>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</si>
  <si>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</si>
  <si>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</si>
  <si>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</si>
  <si>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</si>
  <si>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</si>
  <si>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</si>
  <si>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</si>
  <si>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</si>
  <si>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</si>
  <si>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</si>
  <si>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</si>
  <si>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</si>
  <si>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</si>
  <si>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</si>
  <si>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</si>
  <si>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</si>
  <si>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</si>
  <si>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</si>
  <si>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</si>
  <si>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</si>
  <si>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</si>
  <si>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</si>
  <si>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</si>
  <si>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</si>
  <si>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</si>
  <si>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</si>
  <si>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</si>
  <si>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</si>
  <si>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</si>
  <si>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</si>
  <si>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</si>
  <si>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</si>
  <si>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</si>
  <si>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</si>
  <si>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</si>
  <si>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</si>
  <si>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</si>
  <si>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</si>
  <si>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</si>
  <si>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</si>
  <si>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</si>
  <si>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</si>
  <si>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</si>
  <si>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</si>
  <si>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</si>
  <si>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</si>
  <si>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</si>
  <si>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</si>
  <si>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</si>
  <si>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</si>
  <si>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</si>
  <si>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</si>
  <si>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</si>
  <si>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</si>
  <si>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</si>
  <si>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</si>
  <si>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</si>
  <si>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</si>
  <si>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</si>
  <si>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</si>
  <si>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</si>
  <si>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</si>
  <si>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</si>
  <si>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</si>
  <si>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</si>
  <si>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</si>
  <si>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</si>
  <si>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</si>
  <si>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</si>
  <si>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</si>
  <si>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</si>
  <si>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</si>
  <si>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</si>
  <si>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</si>
  <si>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</si>
  <si>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</si>
  <si>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</si>
  <si>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</si>
  <si>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</si>
  <si>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</si>
  <si>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</si>
  <si>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</si>
  <si>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</si>
  <si>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</si>
  <si>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</si>
  <si>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</si>
  <si>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</si>
  <si>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</si>
  <si>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</si>
  <si>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</si>
  <si>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</si>
  <si>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</si>
  <si>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</si>
  <si>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</si>
  <si>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</si>
  <si>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</si>
  <si>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</si>
  <si>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</si>
  <si>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</si>
  <si>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</si>
  <si>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</si>
  <si>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</si>
  <si>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</si>
  <si>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</si>
  <si>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</si>
  <si>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</si>
  <si>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</si>
  <si>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</si>
  <si>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</si>
  <si>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</si>
  <si>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</si>
  <si>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</si>
  <si>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</si>
  <si>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</si>
  <si>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</si>
  <si>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</si>
  <si>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</si>
  <si>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</si>
  <si>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</si>
  <si>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</si>
  <si>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</si>
  <si>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</si>
  <si>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</si>
  <si>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</si>
  <si>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</si>
  <si>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</si>
  <si>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</si>
  <si>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</si>
  <si>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</si>
  <si>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</si>
  <si>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</si>
  <si>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</si>
  <si>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</si>
  <si>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</si>
  <si>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</si>
  <si>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</si>
  <si>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</si>
  <si>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</si>
  <si>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</si>
  <si>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</si>
  <si>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</si>
  <si>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</si>
  <si>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</si>
  <si>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</si>
  <si>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</si>
  <si>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</si>
  <si>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</si>
  <si>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</si>
  <si>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</si>
  <si>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</si>
  <si>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</si>
  <si>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</si>
  <si>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</si>
  <si>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</si>
  <si>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</si>
  <si>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</si>
  <si>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</si>
  <si>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</si>
  <si>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</si>
  <si>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</si>
  <si>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</si>
  <si>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</si>
  <si>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</si>
  <si>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</si>
  <si>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</si>
  <si>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</si>
  <si>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</si>
  <si>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</si>
  <si>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</si>
  <si>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</si>
  <si>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</si>
  <si>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</si>
  <si>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</si>
  <si>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</si>
  <si>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</si>
  <si>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</si>
  <si>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</si>
  <si>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</si>
  <si>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</si>
  <si>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</si>
  <si>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</si>
  <si>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</si>
  <si>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</si>
  <si>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</si>
  <si>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</si>
  <si>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</si>
  <si>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</si>
  <si>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</si>
  <si>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</si>
  <si>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</si>
  <si>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</si>
  <si>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</si>
  <si>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</si>
  <si>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</si>
  <si>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</si>
  <si>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</si>
  <si>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</si>
  <si>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</si>
  <si>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</si>
  <si>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</si>
  <si>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</si>
  <si>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</si>
  <si>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</si>
  <si>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</si>
  <si>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</si>
  <si>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</si>
  <si>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</si>
  <si>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</si>
  <si>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</si>
  <si>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</si>
  <si>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</si>
  <si>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</si>
  <si>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</si>
  <si>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</si>
  <si>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</si>
  <si>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</si>
  <si>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</si>
  <si>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</si>
  <si>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</si>
  <si>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</si>
  <si>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</si>
  <si>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</si>
  <si>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</si>
  <si>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</si>
  <si>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</si>
  <si>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</si>
  <si>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</si>
  <si>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</si>
  <si>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</si>
  <si>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</si>
  <si>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</si>
  <si>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</si>
  <si>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</si>
  <si>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</si>
  <si>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</si>
  <si>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</si>
  <si>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</si>
  <si>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</si>
  <si>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</si>
  <si>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</si>
  <si>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</si>
  <si>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</si>
  <si>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</si>
  <si>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</si>
  <si>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</si>
  <si>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</si>
  <si>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</si>
  <si>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</si>
  <si>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</si>
  <si>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</si>
  <si>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</si>
  <si>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</si>
  <si>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</si>
  <si>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</si>
  <si>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</si>
  <si>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</si>
  <si>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</si>
  <si>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</si>
  <si>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</si>
  <si>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</si>
  <si>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</si>
  <si>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</si>
  <si>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</si>
  <si>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</si>
  <si>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</si>
  <si>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</si>
  <si>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</si>
  <si>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</si>
  <si>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</si>
  <si>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</si>
  <si>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</si>
  <si>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</si>
  <si>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</si>
  <si>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</si>
  <si>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</si>
  <si>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</si>
  <si>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</si>
  <si>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</si>
  <si>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</si>
  <si>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</si>
  <si>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</si>
  <si>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</si>
  <si>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</si>
  <si>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</si>
  <si>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</si>
  <si>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</si>
  <si>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</si>
  <si>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</si>
  <si>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</si>
  <si>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</si>
  <si>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</si>
  <si>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</si>
  <si>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</si>
  <si>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</si>
  <si>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</si>
  <si>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</si>
  <si>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</si>
  <si>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</si>
  <si>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</si>
  <si>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</si>
  <si>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</si>
  <si>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</si>
  <si>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</si>
  <si>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</si>
  <si>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</si>
  <si>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</si>
  <si>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</si>
  <si>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</si>
  <si>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</si>
  <si>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</si>
  <si>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</si>
  <si>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</si>
  <si>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</si>
  <si>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</si>
  <si>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</si>
  <si>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</si>
  <si>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</si>
  <si>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</si>
  <si>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</si>
  <si>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</si>
  <si>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</si>
  <si>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</si>
  <si>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</si>
  <si>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</si>
  <si>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</si>
  <si>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</si>
  <si>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</si>
  <si>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</si>
  <si>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</si>
  <si>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</si>
  <si>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</si>
  <si>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</si>
  <si>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</si>
  <si>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</si>
  <si>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</si>
  <si>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</si>
  <si>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</si>
  <si>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</si>
  <si>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</si>
  <si>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</si>
  <si>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</si>
  <si>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</si>
  <si>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</si>
  <si>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</si>
  <si>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</si>
  <si>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</si>
  <si>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</si>
  <si>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</si>
  <si>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</si>
  <si>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</si>
  <si>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</si>
  <si>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</si>
  <si>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</si>
  <si>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</si>
  <si>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</si>
  <si>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</si>
  <si>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</si>
  <si>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</si>
  <si>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</si>
  <si>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</si>
  <si>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</si>
  <si>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</si>
  <si>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</si>
  <si>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</si>
  <si>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</si>
  <si>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</si>
  <si>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</si>
  <si>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</si>
  <si>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</si>
  <si>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</si>
  <si>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</si>
  <si>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</si>
  <si>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</si>
  <si>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</si>
  <si>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</si>
  <si>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</si>
  <si>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</si>
  <si>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</si>
  <si>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</si>
  <si>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</si>
  <si>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</si>
  <si>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</si>
  <si>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</si>
  <si>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</si>
  <si>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</si>
  <si>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</si>
  <si>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</si>
  <si>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</si>
  <si>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</si>
  <si>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</si>
  <si>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</si>
  <si>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</si>
  <si>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</si>
  <si>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</si>
  <si>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</si>
  <si>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</si>
  <si>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</si>
  <si>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</si>
  <si>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</si>
  <si>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</si>
  <si>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</si>
  <si>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</si>
  <si>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</si>
  <si>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</si>
  <si>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</si>
  <si>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</si>
  <si>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</si>
  <si>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</si>
  <si>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</si>
  <si>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</si>
  <si>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</si>
  <si>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</si>
  <si>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</si>
  <si>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</si>
  <si>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</si>
  <si>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</si>
  <si>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</si>
  <si>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</si>
  <si>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</si>
  <si>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</si>
  <si>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</si>
  <si>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</si>
  <si>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</si>
  <si>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</si>
  <si>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</si>
  <si>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标准厂房</t>
  </si>
  <si>
    <t>是</t>
  </si>
  <si>
    <t>工业厂房</t>
  </si>
  <si>
    <t>成新度</t>
  </si>
  <si>
    <t>直线</t>
    <phoneticPr fontId="3" type="noConversion"/>
  </si>
  <si>
    <t>观察</t>
    <phoneticPr fontId="3" type="noConversion"/>
  </si>
  <si>
    <t>收益法</t>
  </si>
  <si>
    <t>押一</t>
  </si>
  <si>
    <t>钢混</t>
  </si>
  <si>
    <t>非生产用房</t>
  </si>
  <si>
    <t>否</t>
  </si>
  <si>
    <t>自定义容积率</t>
  </si>
  <si>
    <t>通路</t>
  </si>
  <si>
    <t>通电</t>
  </si>
  <si>
    <t>通讯</t>
  </si>
  <si>
    <t>通上水</t>
  </si>
  <si>
    <t>通下水</t>
  </si>
  <si>
    <t>平整</t>
  </si>
  <si>
    <t>季度增幅（自定义）</t>
  </si>
  <si>
    <t>较好</t>
  </si>
  <si>
    <t>较差</t>
  </si>
  <si>
    <t>一般</t>
  </si>
  <si>
    <t>未包含在土地购买价格中</t>
  </si>
  <si>
    <t>已包含在土地取得成本中</t>
  </si>
  <si>
    <t>现房</t>
  </si>
  <si>
    <t>项目全部</t>
  </si>
  <si>
    <t>项目模式</t>
  </si>
  <si>
    <t>售价</t>
  </si>
  <si>
    <t>马驹桥联东U谷</t>
    <phoneticPr fontId="3" type="noConversion"/>
  </si>
  <si>
    <t>工业</t>
    <phoneticPr fontId="31" type="noConversion"/>
  </si>
  <si>
    <t>报价</t>
  </si>
  <si>
    <t>报价</t>
    <phoneticPr fontId="31" type="noConversion"/>
  </si>
  <si>
    <t>正常</t>
  </si>
  <si>
    <t>七通</t>
  </si>
  <si>
    <t>企业独栋</t>
  </si>
  <si>
    <t>企业独栋</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</si>
  <si>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</si>
  <si>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</si>
  <si>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</si>
  <si>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</si>
  <si>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</si>
  <si>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</si>
  <si>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</si>
  <si>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</si>
  <si>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专业</t>
  </si>
  <si>
    <t>专业</t>
    <phoneticPr fontId="31" type="noConversion"/>
  </si>
  <si>
    <t>六通</t>
  </si>
  <si>
    <t>五通</t>
  </si>
  <si>
    <t>四通</t>
  </si>
  <si>
    <t>三通</t>
  </si>
  <si>
    <t>收益比率</t>
  </si>
  <si>
    <t>郑燚</t>
  </si>
  <si>
    <r>
      <rPr>
        <sz val="10"/>
        <color theme="9" tint="-0.249977111117893"/>
        <rFont val="宋体"/>
        <family val="3"/>
        <charset val="134"/>
      </rPr>
      <t>东城区东四十条甲</t>
    </r>
    <r>
      <rPr>
        <sz val="10"/>
        <color theme="9" tint="-0.249977111117893"/>
        <rFont val="Arial"/>
        <family val="2"/>
      </rPr>
      <t>22</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phoneticPr fontId="6" type="noConversion"/>
  </si>
  <si>
    <t>A1502</t>
    <phoneticPr fontId="3" type="noConversion"/>
  </si>
  <si>
    <t>办公</t>
    <phoneticPr fontId="7" type="noConversion"/>
  </si>
  <si>
    <t>收益法 (元)</t>
  </si>
  <si>
    <t>商务金融用地</t>
  </si>
  <si>
    <t>好</t>
  </si>
  <si>
    <t>成本法 (元)</t>
  </si>
  <si>
    <t>办公项目</t>
  </si>
  <si>
    <t>无</t>
  </si>
  <si>
    <t>与级别开发程度不一致</t>
  </si>
  <si>
    <t>不临65条商业街</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</si>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</sst>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北京市东城区东四十条甲22号1号楼房地产抵押价值预评估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受贵公司委托，我公司对北京市东城区东四十条甲22号1号楼房地产抵押价值进行了预评估。</v>
      </c>
    </row>
    <row r="7" spans="1:2" s="1201" customFormat="1">
      <c r="A7" s="1199" t="s">
        <v>566</v>
      </c>
      <c r="B7" s="1200" t="str">
        <f>'预评函-1'!A7</f>
        <v>估价对象为北京市东城区东四十条甲22号1号楼房地产，为所有。根据《国有土地使用证》[]，估价对象（分摊）出让国有建设用地使用权面积为0平方米，建筑面积为176.09平方米。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东四十条甲22号1号楼房地产,为开发建设的办公项目，该项目尚在开发建设中。根据《国有土地使用证》[]，估价对象（分摊）出让国有建设用地使用权面积为0平方米，规划建筑面积为176.09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640</v>
      </c>
    </row>
    <row r="21" spans="1:2" s="1201" customFormat="1">
      <c r="A21" s="1199" t="s">
        <v>537</v>
      </c>
      <c r="B21" s="1200">
        <f ca="1">'预评函-2'!D7</f>
        <v>36340</v>
      </c>
    </row>
    <row r="22" spans="1:2" s="1201" customFormat="1">
      <c r="A22" s="1199" t="s">
        <v>538</v>
      </c>
      <c r="B22" s="1200" t="str">
        <f ca="1">'预评函-2'!D6</f>
        <v>陆佰肆拾万元整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640</v>
      </c>
    </row>
    <row r="31" spans="1:2" s="1201" customFormat="1">
      <c r="A31" s="1199" t="s">
        <v>576</v>
      </c>
      <c r="B31" s="1200">
        <f ca="1">'预评函-2'!D15</f>
        <v>36340</v>
      </c>
    </row>
    <row r="32" spans="1:2" s="1201" customFormat="1">
      <c r="A32" s="1199" t="s">
        <v>543</v>
      </c>
      <c r="B32" s="1200" t="str">
        <f ca="1">'预评函-2'!D14</f>
        <v>陆佰肆拾万元整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北京市东城区东四十条甲22号1号楼房地产</v>
      </c>
    </row>
    <row r="42" spans="1:2" s="1201" customFormat="1">
      <c r="A42" s="1199" t="s">
        <v>590</v>
      </c>
      <c r="B42" s="1200" t="str">
        <f>'预评函-3'!B2</f>
        <v>建筑面积</v>
      </c>
    </row>
    <row r="43" spans="1:2" s="1201" customFormat="1">
      <c r="A43" s="1199" t="s">
        <v>591</v>
      </c>
      <c r="B43" s="1200">
        <f>'预评函-3'!B4</f>
        <v>176.09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512</v>
      </c>
    </row>
    <row r="48" spans="1:2" s="1201" customFormat="1">
      <c r="A48" s="1199" t="s">
        <v>549</v>
      </c>
      <c r="B48" s="1200">
        <f ca="1">'预评函-3'!E4</f>
        <v>29072</v>
      </c>
    </row>
    <row r="49" spans="1:2" s="1201" customFormat="1">
      <c r="A49" s="1199" t="s">
        <v>550</v>
      </c>
      <c r="B49" s="1200" t="str">
        <f ca="1">'预评函-3'!D5</f>
        <v>伍佰壹拾贰万元整</v>
      </c>
    </row>
    <row r="50" spans="1:2" s="1201" customFormat="1">
      <c r="A50" s="1199" t="s">
        <v>574</v>
      </c>
      <c r="B50" s="1200" t="str">
        <f>'预评函-3'!F2</f>
        <v>在建建筑物价值</v>
      </c>
    </row>
    <row r="51" spans="1:2" s="1201" customFormat="1">
      <c r="A51" s="1199" t="s">
        <v>551</v>
      </c>
      <c r="B51" s="1200">
        <f ca="1">'预评函-3'!F4</f>
        <v>128</v>
      </c>
    </row>
    <row r="52" spans="1:2" s="1201" customFormat="1">
      <c r="A52" s="1199" t="s">
        <v>552</v>
      </c>
      <c r="B52" s="1200">
        <f ca="1">'预评函-3'!G4</f>
        <v>7268</v>
      </c>
    </row>
    <row r="53" spans="1:2" s="1201" customFormat="1">
      <c r="A53" s="1199" t="s">
        <v>580</v>
      </c>
      <c r="B53" s="1200" t="str">
        <f ca="1">'预评函-3'!F5</f>
        <v>壹佰贰拾捌万元整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7" t="s">
        <v>2583</v>
      </c>
      <c r="J2" s="3497"/>
      <c r="K2" s="3497"/>
      <c r="L2" s="3497"/>
      <c r="M2" s="3497"/>
      <c r="N2" s="3497"/>
      <c r="O2" s="3497"/>
      <c r="P2" s="3497"/>
      <c r="Q2" s="3497"/>
      <c r="R2" s="3497"/>
    </row>
    <row r="3" spans="1:18">
      <c r="A3" s="3018" t="s">
        <v>2504</v>
      </c>
      <c r="B3" s="3019">
        <f>项目基本情况!D3</f>
        <v>45160</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3.32</v>
      </c>
      <c r="D5" s="3023">
        <f>IF(ISERROR(ROUND(POWER(1+E5,A5-C5)*(POWER(1+E5,C5)-1)/(POWER(1+E5,A5)-1),3)),0,ROUND(POWER(1+E5,A5-C5)*(POWER(1+E5,C5)-1)/(POWER(1+E5,A5)-1),4))</f>
        <v>0.1542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5" sqref="B5:D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北京市东城区东四十条甲22号1号楼房地产抵押价值预评估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北京市东城区东四十条甲22号1号楼房地产抵押价值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北京市东城区东四十条甲22号1号楼房地产</v>
      </c>
      <c r="T2" s="1743"/>
      <c r="U2" s="1743"/>
      <c r="V2" s="1743"/>
      <c r="W2" s="1743"/>
      <c r="X2" s="1743"/>
      <c r="Y2" s="1743"/>
      <c r="Z2" s="1743"/>
      <c r="AA2" s="1743"/>
      <c r="AB2" s="1743"/>
    </row>
    <row r="3" spans="1:30">
      <c r="A3" s="302" t="s">
        <v>2169</v>
      </c>
      <c r="B3" s="2371">
        <v>45160</v>
      </c>
      <c r="C3" s="2372" t="s">
        <v>2170</v>
      </c>
      <c r="D3" s="2371">
        <v>45160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t="s">
        <v>3434</v>
      </c>
      <c r="C4" s="2374">
        <f ca="1">SUMIF(注册房地产估价师,B4,估价师及机构信息!B3:B24)</f>
        <v>1120070131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1"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0"/>
      <c r="E10" s="2398" t="s">
        <v>2179</v>
      </c>
      <c r="F10" s="2664" t="s">
        <v>3435</v>
      </c>
      <c r="G10" s="2665"/>
      <c r="H10" s="2666"/>
      <c r="I10" s="2667"/>
      <c r="J10" s="2437"/>
      <c r="K10" s="2614"/>
      <c r="L10" s="2611"/>
      <c r="M10" s="2611"/>
      <c r="N10" s="2437"/>
      <c r="O10" s="2448"/>
      <c r="P10" s="2437"/>
      <c r="Q10" s="2437"/>
      <c r="R10" s="2437"/>
    </row>
    <row r="11" spans="1:30">
      <c r="A11" s="2399" t="s">
        <v>2180</v>
      </c>
      <c r="B11" s="2400" t="s">
        <v>3381</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4"/>
      <c r="D13" s="854"/>
      <c r="E13" s="854">
        <v>56117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v>50</v>
      </c>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30.01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176.09</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3442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t="s">
        <v>3443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3407</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3395</v>
      </c>
      <c r="C34" s="2024" t="s">
        <v>3396</v>
      </c>
      <c r="D34" s="2024" t="s">
        <v>3397</v>
      </c>
      <c r="E34" s="2024" t="s">
        <v>3398</v>
      </c>
      <c r="F34" s="2024" t="s">
        <v>3399</v>
      </c>
      <c r="G34" s="2024" t="s">
        <v>3400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137</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176.09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176.09</v>
      </c>
      <c r="H5" s="13">
        <f t="shared" ref="H5:AT5" si="0">SUM(H13:H656)</f>
        <v>176.09</v>
      </c>
      <c r="I5" s="13">
        <f t="shared" si="0"/>
        <v>176.09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176.09</v>
      </c>
      <c r="BA5" s="15">
        <f t="shared" si="1"/>
        <v>176.09</v>
      </c>
      <c r="BB5" s="15">
        <f t="shared" si="1"/>
        <v>176.09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3383</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工业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标准厂房</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3450"/>
      <c r="C13" s="1049" t="s">
        <v>3436</v>
      </c>
      <c r="D13" s="1623" t="s">
        <v>3384</v>
      </c>
      <c r="E13" s="13">
        <f>IF($C$3="是",ROUND($A$3*G13/$B$3,2),ROUND($A$3*(G13-AT13)/$B$3,2))</f>
        <v>0</v>
      </c>
      <c r="F13" s="29"/>
      <c r="G13" s="30">
        <f>H13+AC13+AT13</f>
        <v>176.09</v>
      </c>
      <c r="H13" s="17">
        <f>SUMIF(I$12:AB$12,"总值",I13:AB13)</f>
        <v>176.09</v>
      </c>
      <c r="I13" s="1624">
        <v>176.09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A1502</v>
      </c>
      <c r="AY13" s="1347">
        <f>ROUND($AY$6*AZ13/$AZ$5,2)</f>
        <v>0</v>
      </c>
      <c r="AZ13" s="13">
        <f>BA13+BL13</f>
        <v>176.09</v>
      </c>
      <c r="BA13" s="13">
        <f>SUM(BB13:BK13)</f>
        <v>176.09</v>
      </c>
      <c r="BB13" s="13">
        <f>IF($D13="是",I13-J13,0)</f>
        <v>176.09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c r="D18" s="1623"/>
      <c r="E18" s="32">
        <f t="shared" ref="E18:E112" si="7">IF($C$3="是",ROUND($A$3*G18/$B$3,2),ROUND($A$3*(G18-AT18)/$B$3,2))</f>
        <v>0</v>
      </c>
      <c r="F18" s="33"/>
      <c r="G18" s="34">
        <f t="shared" ref="G18:G109" si="8">H18+AC18+AT18</f>
        <v>0</v>
      </c>
      <c r="H18" s="35">
        <f t="shared" ref="H18:H109" si="9">SUMIF(I$12:AB$12,"总值",I18:AB18)</f>
        <v>0</v>
      </c>
      <c r="I18" s="162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c r="D19" s="1623"/>
      <c r="E19" s="32">
        <f t="shared" si="7"/>
        <v>0</v>
      </c>
      <c r="F19" s="33"/>
      <c r="G19" s="34">
        <f t="shared" si="8"/>
        <v>0</v>
      </c>
      <c r="H19" s="35">
        <f t="shared" si="9"/>
        <v>0</v>
      </c>
      <c r="I19" s="162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9"/>
      <c r="D20" s="1623"/>
      <c r="E20" s="32">
        <f t="shared" si="7"/>
        <v>0</v>
      </c>
      <c r="F20" s="33"/>
      <c r="G20" s="34">
        <f t="shared" si="8"/>
        <v>0</v>
      </c>
      <c r="H20" s="35">
        <f t="shared" si="9"/>
        <v>0</v>
      </c>
      <c r="I20" s="162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9"/>
      <c r="D21" s="1623"/>
      <c r="E21" s="32">
        <f t="shared" si="7"/>
        <v>0</v>
      </c>
      <c r="F21" s="33"/>
      <c r="G21" s="34">
        <f t="shared" si="8"/>
        <v>0</v>
      </c>
      <c r="H21" s="35">
        <f t="shared" si="9"/>
        <v>0</v>
      </c>
      <c r="I21" s="162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9"/>
      <c r="D22" s="1623"/>
      <c r="E22" s="32">
        <f t="shared" si="7"/>
        <v>0</v>
      </c>
      <c r="F22" s="33"/>
      <c r="G22" s="34">
        <f t="shared" si="8"/>
        <v>0</v>
      </c>
      <c r="H22" s="35">
        <f t="shared" si="9"/>
        <v>0</v>
      </c>
      <c r="I22" s="1624"/>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9"/>
      <c r="D23" s="1623"/>
      <c r="E23" s="32">
        <f t="shared" si="7"/>
        <v>0</v>
      </c>
      <c r="F23" s="33"/>
      <c r="G23" s="34">
        <f t="shared" si="8"/>
        <v>0</v>
      </c>
      <c r="H23" s="35">
        <f t="shared" si="9"/>
        <v>0</v>
      </c>
      <c r="I23" s="1624"/>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9"/>
      <c r="D24" s="1623"/>
      <c r="E24" s="32">
        <f t="shared" si="7"/>
        <v>0</v>
      </c>
      <c r="F24" s="33"/>
      <c r="G24" s="34">
        <f t="shared" si="8"/>
        <v>0</v>
      </c>
      <c r="H24" s="35">
        <f t="shared" si="9"/>
        <v>0</v>
      </c>
      <c r="I24" s="1624"/>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9"/>
      <c r="D25" s="1623"/>
      <c r="E25" s="32">
        <f t="shared" si="7"/>
        <v>0</v>
      </c>
      <c r="F25" s="33"/>
      <c r="G25" s="34">
        <f t="shared" si="8"/>
        <v>0</v>
      </c>
      <c r="H25" s="35">
        <f t="shared" si="9"/>
        <v>0</v>
      </c>
      <c r="I25" s="1624"/>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9"/>
      <c r="D26" s="1628"/>
      <c r="E26" s="32">
        <f t="shared" si="7"/>
        <v>0</v>
      </c>
      <c r="F26" s="33"/>
      <c r="G26" s="34">
        <f t="shared" si="8"/>
        <v>0</v>
      </c>
      <c r="H26" s="35">
        <f t="shared" si="9"/>
        <v>0</v>
      </c>
      <c r="I26" s="1624"/>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49"/>
      <c r="C27" s="1049"/>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9"/>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9"/>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176.09</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176.09</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v>6.11</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176.09</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176.09</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3437</v>
      </c>
      <c r="D19" s="45">
        <f>ROUND($D$3*E19/$E$3,2)</f>
        <v>0</v>
      </c>
      <c r="E19" s="53">
        <f t="shared" ref="E19:E26" si="1">SUM(F19:G19)</f>
        <v>176.09</v>
      </c>
      <c r="F19" s="2793">
        <f>'数据-基础表'!I5</f>
        <v>176.09</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176.09</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176.09</v>
      </c>
      <c r="F27" s="1138">
        <f>IF(SUM(F19:F26)=E8,SUM(F19:F26),"地上面积有误")</f>
        <v>176.09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176.09</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176.09</v>
      </c>
      <c r="F31" s="675">
        <f>F27+F30</f>
        <v>176.09</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45160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3386</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56117</v>
      </c>
      <c r="F6" s="64">
        <f>SUMIF(项目基本情况!C$12:I$12,C6,项目基本情况!C$15:I$15)</f>
        <v>30.01</v>
      </c>
      <c r="G6" s="65">
        <f>IF(ISERROR(ROUND(POWER(1+H6,D6-F6)*(POWER(1+H6,F6)-1)/(POWER(1+H6,D6)-1),3)),0,ROUND(POWER(1+H6,D6-F6)*(POWER(1+H6,F6)-1)/(POWER(1+H6,D6)-1),3))</f>
        <v>0.84199999999999997</v>
      </c>
      <c r="H6" s="730">
        <v>0.05</v>
      </c>
      <c r="I6" s="730">
        <v>5.5E-2</v>
      </c>
      <c r="J6" s="66">
        <v>7.0000000000000007E-2</v>
      </c>
      <c r="K6" s="1028">
        <f>SUMIF('数据-汇总表'!C$19:C$33,A6,'数据-汇总表'!E$19:E$33)</f>
        <v>176.09</v>
      </c>
      <c r="L6" s="731">
        <v>4000</v>
      </c>
      <c r="M6" s="67">
        <f t="shared" ref="M6:M14" si="0">ROUND(K6*L6/10000,0)</f>
        <v>70</v>
      </c>
      <c r="N6" s="729">
        <f>N23</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6.5</v>
      </c>
      <c r="V6" s="70">
        <v>0.02</v>
      </c>
      <c r="W6" s="70">
        <v>0.1</v>
      </c>
      <c r="X6" s="1038"/>
      <c r="Y6" s="71">
        <f>N6</f>
        <v>0.8</v>
      </c>
      <c r="Z6" s="72"/>
      <c r="AA6" s="66"/>
      <c r="AB6" s="66"/>
      <c r="AC6" s="1038"/>
      <c r="AD6" s="73"/>
      <c r="AE6" s="1039">
        <f ca="1">IF(AN6="",0,SUMIF(INDIRECT("'"&amp;AN6&amp;"'"&amp;"!E:E"),$AE$5,INDIRECT("'"&amp;AN6&amp;"'"&amp;"!F:F")))</f>
        <v>30.01</v>
      </c>
      <c r="AF6" s="1346"/>
      <c r="AG6" s="138">
        <f>IF(AF6="",0,AE6-AF6)</f>
        <v>0</v>
      </c>
      <c r="AH6" s="74"/>
      <c r="AI6" s="76">
        <v>365</v>
      </c>
      <c r="AJ6" s="77"/>
      <c r="AK6" s="78">
        <v>1.4999999999999999E-2</v>
      </c>
      <c r="AL6" s="79">
        <v>1.5E-3</v>
      </c>
      <c r="AM6" s="80">
        <v>0.01</v>
      </c>
      <c r="AN6" s="1713" t="s">
        <v>3438</v>
      </c>
      <c r="AO6" s="52">
        <f ca="1">SUMIF(INDIRECT("'"&amp;AN6&amp;"'"&amp;"!A:A"),"总价",INDIRECT("'"&amp;AN6&amp;"'"&amp;"!B:B"))</f>
        <v>538.19029999999998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0.84199999999999997</v>
      </c>
      <c r="H16" s="90">
        <f>ROUND(SUMPRODUCT(H6:H13,K6:K13)/SUMPRODUCT((H6:H13&gt;0)*(K6:K13)),3)</f>
        <v>0.05</v>
      </c>
      <c r="I16" s="91"/>
      <c r="J16" s="91"/>
      <c r="K16" s="92">
        <f>SUM(K6:K15)</f>
        <v>176.09</v>
      </c>
      <c r="L16" s="93">
        <f>ROUND(M16*10000/SUM(K6:K14),0)</f>
        <v>3975</v>
      </c>
      <c r="M16" s="93">
        <f>SUM(M6:M14)</f>
        <v>70</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v>2005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8" t="s">
        <v>3387</v>
      </c>
      <c r="N21" s="2669">
        <f>ROUND(1-(2023-2005)/60,2)</f>
        <v>0.7</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8" t="s">
        <v>3388</v>
      </c>
      <c r="N22" s="2669">
        <v>0.9</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f>(N21+N22)/2</f>
        <v>0.8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(元)'!C10</f>
        <v>35218</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2285</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176.09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45160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639.91110000000003</v>
      </c>
      <c r="C5" s="2510">
        <f ca="1">IF(B5=D14,结果表!H102,ROUND(B5*10000/$B$1,0))</f>
        <v>36340</v>
      </c>
      <c r="D5" s="2510" t="e">
        <f ca="1">ROUND(B5*10000/$B$2,0)</f>
        <v>#DIV/0!</v>
      </c>
      <c r="E5" s="2684"/>
      <c r="F5" s="2685"/>
      <c r="G5" s="2685"/>
      <c r="H5" s="2686"/>
      <c r="I5" s="2686"/>
      <c r="J5" s="2686"/>
      <c r="K5" s="2686"/>
    </row>
    <row r="6" spans="1:11" ht="16.5">
      <c r="A6" s="2510" t="s">
        <v>656</v>
      </c>
      <c r="B6" s="2510">
        <f ca="1">SUM(G14:G23)</f>
        <v>639.91110000000003</v>
      </c>
      <c r="C6" s="2510">
        <f ca="1">IF(B6=G14,结果表!H108,ROUND(B6*10000/$B$1,0))</f>
        <v>36340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'数据-基础表'!B3</f>
        <v>176.09</v>
      </c>
      <c r="C14" s="2516"/>
      <c r="D14" s="2516">
        <f ca="1">ROUND(E14*B14/10000,4)</f>
        <v>639.91110000000003</v>
      </c>
      <c r="E14" s="2516">
        <f ca="1">结果表!G20</f>
        <v>36340</v>
      </c>
      <c r="F14" s="2516" t="e">
        <f ca="1">ROUND(D14*10000/C14,0)</f>
        <v>#DIV/0!</v>
      </c>
      <c r="G14" s="2516">
        <f ca="1">D14</f>
        <v>639.91110000000003</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G20" sqref="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3407</v>
      </c>
      <c r="H1" s="1748" t="str">
        <f>IF(G1="现房","——","估价对象范围")</f>
        <v>——</v>
      </c>
      <c r="I1" s="1749" t="s">
        <v>3408</v>
      </c>
    </row>
    <row r="2" spans="1:12" ht="21.75" customHeight="1" thickBot="1">
      <c r="A2" s="3612" t="str">
        <f>项目基本情况!S2</f>
        <v>北京市东城区东四十条甲22号1号楼房地产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3441</v>
      </c>
      <c r="D4" s="1754" t="s">
        <v>3438</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3</v>
      </c>
      <c r="D14" s="3606">
        <v>7</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37" t="s">
        <v>2130</v>
      </c>
      <c r="F18" s="3638"/>
      <c r="G18" s="3638"/>
      <c r="H18" s="3638"/>
      <c r="I18" s="3638"/>
      <c r="K18" s="302" t="s">
        <v>1289</v>
      </c>
      <c r="L18" s="302">
        <f>IF(C1="",'数据-汇总表'!E3,SUMIF(项目类型,C1,'数据-汇总表'!E17:E26)+SUMIF(项目类型,C1,'数据-汇总表'!I17:I26))</f>
        <v>176.09</v>
      </c>
      <c r="M18" s="302">
        <f>IF(C1="",'数据-汇总表'!E3,SUMIF(项目类型,C1,'数据-汇总表'!E17:E26))</f>
        <v>176.09</v>
      </c>
    </row>
    <row r="19" spans="1:36" ht="15">
      <c r="A19" s="1759" t="s">
        <v>1290</v>
      </c>
      <c r="B19" s="1760" t="s">
        <v>1291</v>
      </c>
      <c r="C19" s="134">
        <f ca="1">SUMIF(INDIRECT("'"&amp;C4&amp;"'"&amp;"!A:A"),结果表!B19,INDIRECT("'"&amp;C4&amp;"'"&amp;"!B:B"))</f>
        <v>877.25310000000002</v>
      </c>
      <c r="D19" s="135">
        <f ca="1">SUMIF(INDIRECT("'"&amp;D4&amp;"'"&amp;"!A:A"),结果表!B19,INDIRECT("'"&amp;D4&amp;"'"&amp;"!B:B"))</f>
        <v>538.19029999999998</v>
      </c>
      <c r="E19" s="1759" t="s">
        <v>1292</v>
      </c>
      <c r="F19" s="1760" t="s">
        <v>1291</v>
      </c>
      <c r="G19" s="136">
        <f ca="1">ROUND(C19*$C$18+D19*$D$18,0)</f>
        <v>640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49818</v>
      </c>
      <c r="D20" s="138">
        <f ca="1">SUMIF(INDIRECT("'"&amp;D4&amp;"'"&amp;"!A:A"),结果表!B20,INDIRECT("'"&amp;D4&amp;"'"&amp;"!B:B"))</f>
        <v>30563</v>
      </c>
      <c r="E20" s="1762"/>
      <c r="F20" s="1024" t="s">
        <v>1295</v>
      </c>
      <c r="G20" s="139">
        <f ca="1">ROUND(C20*$C$18+D20*$D$18,0)</f>
        <v>36340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0.63000540886745826</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36340</v>
      </c>
      <c r="D32" s="1773" t="s">
        <v>3446</v>
      </c>
      <c r="E32" s="129"/>
      <c r="F32" s="129"/>
      <c r="G32" s="129"/>
      <c r="H32" s="129"/>
      <c r="I32" s="129"/>
    </row>
    <row r="33" spans="1:15" ht="15">
      <c r="A33" s="784" t="s">
        <v>1306</v>
      </c>
      <c r="B33" s="1774"/>
      <c r="C33" s="1775" t="s">
        <v>3433</v>
      </c>
      <c r="D33" s="1776" t="s">
        <v>3389</v>
      </c>
      <c r="E33" s="1777" t="s">
        <v>1307</v>
      </c>
      <c r="F33" s="1778" t="str">
        <f>IF(D32="楼面单价","取值（单价）","取值（总价）")</f>
        <v>取值（单价）</v>
      </c>
      <c r="G33" s="129"/>
      <c r="H33" s="129"/>
      <c r="I33" s="129"/>
    </row>
    <row r="34" spans="1:15" ht="15">
      <c r="A34" s="1779"/>
      <c r="B34" s="1780" t="s">
        <v>1308</v>
      </c>
      <c r="C34" s="148">
        <f ca="1">IF(C33="自定义",F34,C32-C35)</f>
        <v>29072</v>
      </c>
      <c r="D34" s="859">
        <f ca="1">IF(C33="自定义",ROUND(C34/C32,3),IF(C33="收益比率",SUMIF(INDIRECT("'"&amp;D33&amp;"'"&amp;"!b:b"),"土地收益比率",INDIRECT("'"&amp;D33&amp;"'"&amp;"!c:c")),SUMIF(INDIRECT("'"&amp;D33&amp;"'"&amp;"!b:b"),"土地成本比率",INDIRECT("'"&amp;D33&amp;"'"&amp;"!c:c"))))</f>
        <v>0.8</v>
      </c>
      <c r="E34" s="1781" t="s">
        <v>1309</v>
      </c>
      <c r="F34" s="1328"/>
      <c r="G34" s="129"/>
      <c r="H34" s="129"/>
      <c r="I34" s="129"/>
    </row>
    <row r="35" spans="1:15" ht="15.75" thickBot="1">
      <c r="A35" s="1782"/>
      <c r="B35" s="1783" t="s">
        <v>1310</v>
      </c>
      <c r="C35" s="1168">
        <f ca="1">IF(C33="自定义",F35,ROUND(C32*D35,0))</f>
        <v>7268</v>
      </c>
      <c r="D35" s="1169">
        <f ca="1">IF(C33="自定义",ROUND(C35/C32,3),IF(C33="收益比率",SUMIF(INDIRECT("'"&amp;D33&amp;"'"&amp;"!b:b"),"建筑物收益比率",INDIRECT("'"&amp;D33&amp;"'"&amp;"!c:c")),SUMIF(INDIRECT("'"&amp;D33&amp;"'"&amp;"!b:b"),"建筑物成本比率",INDIRECT("'"&amp;D33&amp;"'"&amp;"!c:c"))))</f>
        <v>0.2</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640</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45160</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48" t="s">
        <v>1340</v>
      </c>
      <c r="L48" s="3548"/>
      <c r="M48" s="3551">
        <f ca="1">H101</f>
        <v>640</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640</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34</v>
      </c>
      <c r="E52" s="2332" t="s">
        <v>1354</v>
      </c>
      <c r="F52" s="2552">
        <f>'数据-取费表'!B41</f>
        <v>5.6000000000000001E-2</v>
      </c>
      <c r="G52" s="2553"/>
      <c r="H52" s="2542"/>
      <c r="I52" s="1805"/>
      <c r="J52" s="2521">
        <v>1</v>
      </c>
      <c r="K52" s="3573" t="s">
        <v>1355</v>
      </c>
      <c r="L52" s="3573"/>
      <c r="M52" s="2523" t="b">
        <f>D48</f>
        <v>0</v>
      </c>
      <c r="N52" s="2521" t="str">
        <f>E48</f>
        <v>销售额×税（费）率</v>
      </c>
      <c r="O52" s="2524">
        <f>F48</f>
        <v>5.6000000000000001E-2</v>
      </c>
    </row>
    <row r="53" spans="1:35" ht="12" customHeight="1">
      <c r="A53" s="2333" t="s">
        <v>1356</v>
      </c>
      <c r="B53" s="3597" t="s">
        <v>2290</v>
      </c>
      <c r="C53" s="3598"/>
      <c r="D53" s="1085">
        <f ca="1">ROUND(D45*'数据-取费表'!B41/(1+'数据-取费表'!C42),0)</f>
        <v>34</v>
      </c>
      <c r="E53" s="2332" t="s">
        <v>1354</v>
      </c>
      <c r="F53" s="2552">
        <f>'数据-取费表'!B41</f>
        <v>5.6000000000000001E-2</v>
      </c>
      <c r="G53" s="2553"/>
      <c r="H53" s="2542"/>
      <c r="I53" s="1805"/>
      <c r="J53" s="2521">
        <v>2</v>
      </c>
      <c r="K53" s="3573" t="s">
        <v>1357</v>
      </c>
      <c r="L53" s="3573"/>
      <c r="M53" s="2523">
        <f t="shared" ref="M53:O54" ca="1" si="0">D55</f>
        <v>0</v>
      </c>
      <c r="N53" s="2521" t="str">
        <f t="shared" si="0"/>
        <v>销售额×税（费）率</v>
      </c>
      <c r="O53" s="2524" t="str">
        <f t="shared" si="0"/>
        <v>免征</v>
      </c>
    </row>
    <row r="54" spans="1:35" ht="12" customHeight="1">
      <c r="A54" s="2333" t="s">
        <v>1358</v>
      </c>
      <c r="B54" s="3597" t="s">
        <v>2291</v>
      </c>
      <c r="C54" s="3598"/>
      <c r="D54" s="1085">
        <f ca="1">C68</f>
        <v>34</v>
      </c>
      <c r="E54" s="327" t="s">
        <v>1359</v>
      </c>
      <c r="F54" s="2552">
        <f>'数据-取费表'!B41</f>
        <v>5.6000000000000001E-2</v>
      </c>
      <c r="G54" s="2553"/>
      <c r="H54" s="2554"/>
      <c r="I54" s="1805"/>
      <c r="J54" s="2521">
        <v>3</v>
      </c>
      <c r="K54" s="3573" t="s">
        <v>1360</v>
      </c>
      <c r="L54" s="3573"/>
      <c r="M54" s="2523">
        <f t="shared" ca="1" si="0"/>
        <v>362</v>
      </c>
      <c r="N54" s="2521" t="str">
        <f t="shared" si="0"/>
        <v>增值额×税（费）率</v>
      </c>
      <c r="O54" s="2525" t="str">
        <f t="shared" si="0"/>
        <v>免征</v>
      </c>
    </row>
    <row r="55" spans="1:35" ht="24" customHeight="1">
      <c r="A55" s="3633" t="s">
        <v>1361</v>
      </c>
      <c r="B55" s="3611"/>
      <c r="C55" s="3611"/>
      <c r="D55" s="2322">
        <f ca="1">IF(H55="个人住宅",0,ROUND(D45*I55,0))</f>
        <v>0</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6</v>
      </c>
      <c r="N55" s="2038" t="str">
        <f>E59</f>
        <v>差额计税</v>
      </c>
      <c r="O55" s="2527">
        <f>F59</f>
        <v>0.01</v>
      </c>
    </row>
    <row r="56" spans="1:35" ht="24.75">
      <c r="A56" s="3633" t="s">
        <v>1363</v>
      </c>
      <c r="B56" s="3611"/>
      <c r="C56" s="3611"/>
      <c r="D56" s="2322">
        <f ca="1">IF(H56="个人住宅",D57,D58)</f>
        <v>362</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368</v>
      </c>
      <c r="O57" s="2531"/>
      <c r="P57" s="2688">
        <f ca="1">N57/M49</f>
        <v>0.57499999999999996</v>
      </c>
    </row>
    <row r="58" spans="1:35" ht="24.75">
      <c r="A58" s="2333" t="s">
        <v>1352</v>
      </c>
      <c r="B58" s="3597" t="s">
        <v>1369</v>
      </c>
      <c r="C58" s="3596"/>
      <c r="D58" s="2322">
        <f ca="1">IF(H58="转让取得",C81,C97)</f>
        <v>362</v>
      </c>
      <c r="E58" s="2332" t="s">
        <v>1364</v>
      </c>
      <c r="F58" s="302" t="s">
        <v>28</v>
      </c>
      <c r="G58" s="2553"/>
      <c r="H58" s="2556"/>
      <c r="I58" s="1806"/>
      <c r="J58" s="3573"/>
      <c r="K58" s="3573"/>
      <c r="L58" s="2528" t="s">
        <v>1370</v>
      </c>
      <c r="M58" s="2532"/>
      <c r="N58" s="2533" t="str">
        <f ca="1">NUMBERSTRING(INT(N57*10000),2)&amp;"元整"</f>
        <v>叁佰陆拾捌万元整</v>
      </c>
      <c r="O58" s="2534"/>
    </row>
    <row r="59" spans="1:35" ht="24.75" thickBot="1">
      <c r="A59" s="3577" t="s">
        <v>1371</v>
      </c>
      <c r="B59" s="3578"/>
      <c r="C59" s="3578"/>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272</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贰佰柒拾贰万元整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15447</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610</v>
      </c>
      <c r="D63" s="167"/>
      <c r="E63" s="168"/>
      <c r="F63" s="1806"/>
      <c r="G63" s="1806"/>
      <c r="H63" s="1808"/>
      <c r="I63" s="129"/>
      <c r="J63" s="3556" t="s">
        <v>1379</v>
      </c>
      <c r="K63" s="1330" t="s">
        <v>1380</v>
      </c>
      <c r="L63" s="1330">
        <f ca="1">IF(M49&gt;10000,M49*0.5%,IF(AND(M49&gt;1000,M49&lt;=10000),M49*1%,IF(AND(M49&gt;100,M49&lt;=1000),M49*3%,IF(AND(M49&gt;10,M49&lt;=100),M49*5%,M49*8%))))</f>
        <v>19.2</v>
      </c>
      <c r="M63" s="302">
        <f ca="1">ROUND(L63,1)</f>
        <v>19.2</v>
      </c>
      <c r="N63" s="2541"/>
      <c r="Z63" s="1750"/>
      <c r="AI63" s="1751"/>
    </row>
    <row r="64" spans="1:35" ht="14.25" customHeight="1">
      <c r="A64" s="169" t="s">
        <v>325</v>
      </c>
      <c r="B64" s="170" t="s">
        <v>1381</v>
      </c>
      <c r="C64" s="2563">
        <f ca="1">D45</f>
        <v>640</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4.4799999999999995</v>
      </c>
      <c r="M64" s="302">
        <f t="shared" ref="M64:M65" ca="1" si="1">ROUND(L64,1)</f>
        <v>4.5</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3.2</v>
      </c>
      <c r="M65" s="302">
        <f t="shared" ca="1" si="1"/>
        <v>3.2</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3.2</v>
      </c>
      <c r="M66" s="302">
        <f ca="1">IF(L66&gt;0.5,0.5,ROUND(L66,0))</f>
        <v>0.5</v>
      </c>
      <c r="N66" s="2542" t="s">
        <v>1388</v>
      </c>
      <c r="Z66" s="1750"/>
      <c r="AI66" s="1751"/>
    </row>
    <row r="67" spans="1:35" ht="14.25" customHeight="1">
      <c r="A67" s="173" t="s">
        <v>328</v>
      </c>
      <c r="B67" s="174" t="s">
        <v>1389</v>
      </c>
      <c r="C67" s="2566">
        <f ca="1">C63-C66</f>
        <v>610</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1.85</v>
      </c>
      <c r="M67" s="302">
        <f ca="1">ROUND(L67*0.9,1)</f>
        <v>1.7</v>
      </c>
      <c r="N67" s="2541"/>
      <c r="Z67" s="1750"/>
      <c r="AI67" s="1751"/>
    </row>
    <row r="68" spans="1:35" ht="14.25" customHeight="1" thickBot="1">
      <c r="A68" s="176" t="s">
        <v>329</v>
      </c>
      <c r="B68" s="177" t="s">
        <v>1391</v>
      </c>
      <c r="C68" s="2567">
        <f ca="1">IF(C67&lt;=0,0,ROUND(C67*D68,0))</f>
        <v>34</v>
      </c>
      <c r="D68" s="2568">
        <f>'数据-取费表'!B41</f>
        <v>5.6000000000000001E-2</v>
      </c>
      <c r="E68" s="178"/>
      <c r="F68" s="1806"/>
      <c r="G68" s="1806"/>
      <c r="H68" s="1808"/>
      <c r="I68" s="129"/>
      <c r="J68" s="3556"/>
      <c r="K68" s="1330" t="s">
        <v>1392</v>
      </c>
      <c r="L68" s="1330">
        <f ca="1">IF(M49&gt;10000,M49*0.5%,IF(AND(M49&gt;5000,M49&lt;=10000),M49*1%,IF(AND(M49&gt;1000,M49&lt;=5000),M49*2%,IF(AND(M49&gt;200,M49&lt;=1000),M49*3%,M49*5%))))</f>
        <v>19.2</v>
      </c>
      <c r="M68" s="302">
        <f ca="1">ROUND(L68,1)</f>
        <v>19.2</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48</v>
      </c>
      <c r="N69" s="2543">
        <f ca="1">M69/M49</f>
        <v>7.4999999999999997E-2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610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4</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4</v>
      </c>
      <c r="D78" s="2575">
        <f>'数据-取费表'!B43</f>
        <v>6.000000000000001E-3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606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151.5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362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610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4</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4</v>
      </c>
      <c r="D93" s="2575">
        <f>'数据-取费表'!B43</f>
        <v>6.000000000000001E-3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606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151.5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362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成本法 (元)</v>
      </c>
      <c r="D101" s="2584" t="str">
        <f>D4</f>
        <v>收益法 (元)</v>
      </c>
      <c r="E101" s="3552" t="s">
        <v>1431</v>
      </c>
      <c r="F101" s="3553"/>
      <c r="G101" s="1825" t="s">
        <v>1432</v>
      </c>
      <c r="H101" s="2593">
        <f ca="1">H118</f>
        <v>640</v>
      </c>
      <c r="I101" s="129"/>
    </row>
    <row r="102" spans="1:35" ht="18.75" customHeight="1">
      <c r="A102" s="3584" t="s">
        <v>1433</v>
      </c>
      <c r="B102" s="2582" t="s">
        <v>1432</v>
      </c>
      <c r="C102" s="2583">
        <f ca="1">IF(D32="楼面单价",ROUND(C19,0),C19)</f>
        <v>877</v>
      </c>
      <c r="D102" s="2584">
        <f ca="1">IF(D32="楼面单价",ROUND(D19,0),D19)</f>
        <v>538</v>
      </c>
      <c r="E102" s="3552"/>
      <c r="F102" s="3553"/>
      <c r="G102" s="1825" t="s">
        <v>1434</v>
      </c>
      <c r="H102" s="2553">
        <f ca="1">I118</f>
        <v>36340</v>
      </c>
      <c r="I102" s="129"/>
    </row>
    <row r="103" spans="1:35" ht="42.75" customHeight="1">
      <c r="A103" s="3584"/>
      <c r="B103" s="2582" t="s">
        <v>1434</v>
      </c>
      <c r="C103" s="2585">
        <f ca="1">C20</f>
        <v>49818</v>
      </c>
      <c r="D103" s="2586">
        <f ca="1">D20</f>
        <v>30563</v>
      </c>
      <c r="E103" s="3545" t="s">
        <v>1435</v>
      </c>
      <c r="F103" s="3546"/>
      <c r="G103" s="1826" t="s">
        <v>1436</v>
      </c>
      <c r="H103" s="2593">
        <f>IF(D36="正常操作",H104+H105+H106,H105+H106)</f>
        <v>0</v>
      </c>
      <c r="I103" s="129"/>
    </row>
    <row r="104" spans="1:35" ht="18.75" customHeight="1">
      <c r="A104" s="3584" t="s">
        <v>1437</v>
      </c>
      <c r="B104" s="2587" t="s">
        <v>1432</v>
      </c>
      <c r="C104" s="2588">
        <f ca="1">H118</f>
        <v>640</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36340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640</v>
      </c>
      <c r="I107" s="129"/>
    </row>
    <row r="108" spans="1:35" ht="18.75" customHeight="1">
      <c r="A108" s="129"/>
      <c r="B108" s="129"/>
      <c r="C108" s="129"/>
      <c r="D108" s="129"/>
      <c r="E108" s="3585"/>
      <c r="F108" s="3553"/>
      <c r="G108" s="1825" t="s">
        <v>1434</v>
      </c>
      <c r="H108" s="2553">
        <f ca="1">IF(H107=H101,H102,ROUND(H107*10000/'数据-汇总表'!E3,0))</f>
        <v>36340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北京市东城区东四十条甲22号1号楼房地产</v>
      </c>
      <c r="B118" s="2327">
        <f>M18</f>
        <v>176.09</v>
      </c>
      <c r="C118" s="2327">
        <f>M19</f>
        <v>0</v>
      </c>
      <c r="D118" s="2327">
        <f ca="1">ROUND(IF(D32="总价",C34,E118*B118/10000),0)</f>
        <v>512</v>
      </c>
      <c r="E118" s="2327">
        <f ca="1">ROUND(IF(C33="自定义",IF(D32="楼面单价",C34,D118*10000/B118),I118-G118),0)</f>
        <v>29072</v>
      </c>
      <c r="F118" s="2327">
        <f ca="1">ROUND(IF(D32="总价",C35,G118*B118/10000),0)</f>
        <v>128</v>
      </c>
      <c r="G118" s="2327">
        <f ca="1">ROUND(IF(D32="楼面单价",C35,F118*10000/B118),0)</f>
        <v>7268</v>
      </c>
      <c r="H118" s="2327">
        <f ca="1">ROUND(IF(D32="总价",C32,I118*B118/10000),0)</f>
        <v>640</v>
      </c>
      <c r="I118" s="2327">
        <f ca="1">ROUND(IF(D32="楼面单价",C32,H118*10000/B118),0)</f>
        <v>36340</v>
      </c>
    </row>
    <row r="119" spans="1:27" ht="18.75" customHeight="1">
      <c r="A119" s="3560" t="s">
        <v>1452</v>
      </c>
      <c r="B119" s="3560"/>
      <c r="C119" s="3560"/>
      <c r="D119" s="3566" t="str">
        <f ca="1">NUMBERSTRING(INT(D118*10000),2)&amp;"元整"</f>
        <v>伍佰壹拾贰万元整</v>
      </c>
      <c r="E119" s="3567"/>
      <c r="F119" s="3566" t="str">
        <f ca="1">NUMBERSTRING(INT(F118*10000),2)&amp;"元整"</f>
        <v>壹佰贰拾捌万元整</v>
      </c>
      <c r="G119" s="3567"/>
      <c r="H119" s="3566" t="str">
        <f ca="1">NUMBERSTRING(INT(H118*10000),2)&amp;"元整"</f>
        <v>陆佰肆拾万元整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640</v>
      </c>
      <c r="E122" s="3562"/>
      <c r="F122" s="3562"/>
      <c r="G122" s="3562"/>
      <c r="H122" s="3562"/>
      <c r="I122" s="3563"/>
      <c r="AA122" s="723"/>
    </row>
    <row r="123" spans="1:27" ht="18.75" customHeight="1">
      <c r="A123" s="3560" t="s">
        <v>1452</v>
      </c>
      <c r="B123" s="3560"/>
      <c r="C123" s="3560"/>
      <c r="D123" s="3566" t="str">
        <f ca="1">NUMBERSTRING(INT(D122*10000),2)&amp;"元整"</f>
        <v>陆佰肆拾万元整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41" sqref="G4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t="s">
        <v>3385</v>
      </c>
      <c r="C1" s="198"/>
      <c r="D1" s="198"/>
      <c r="E1" s="198"/>
      <c r="F1" s="198"/>
      <c r="G1" s="1124" t="e">
        <f>MATCH(B1,'数据-取费表'!A6:A16,0)+5</f>
        <v>#N/A</v>
      </c>
    </row>
    <row r="2" spans="1:9" s="200" customFormat="1" ht="18" customHeight="1">
      <c r="A2" s="201" t="s">
        <v>1462</v>
      </c>
      <c r="B2" s="202" t="e">
        <f ca="1">IF(D2="——",C52,C52-E2)</f>
        <v>#N/A</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t="e">
        <f ca="1">ROUND(B2*10000/(IF(B1="",'数据-汇总表'!E3,INDIRECT("'数据-取费表'!k"&amp;$G$1))),0)</f>
        <v>#N/A</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v>
      </c>
      <c r="D5" s="211" t="s">
        <v>1469</v>
      </c>
      <c r="E5" s="212" t="s">
        <v>1470</v>
      </c>
      <c r="F5" s="212" t="s">
        <v>1471</v>
      </c>
      <c r="G5" s="213"/>
    </row>
    <row r="6" spans="1:9" s="214" customFormat="1" ht="13.5" customHeight="1">
      <c r="A6" s="776" t="s">
        <v>1472</v>
      </c>
      <c r="B6" s="215" t="s">
        <v>1473</v>
      </c>
      <c r="C6" s="216">
        <f>基准地价修正!B2</f>
        <v>570</v>
      </c>
      <c r="D6" s="217"/>
      <c r="E6" s="218"/>
      <c r="F6" s="218"/>
      <c r="G6" s="219"/>
    </row>
    <row r="7" spans="1:9" s="214" customFormat="1" ht="13.5" customHeight="1">
      <c r="A7" s="776" t="s">
        <v>1474</v>
      </c>
      <c r="B7" s="215" t="s">
        <v>1475</v>
      </c>
      <c r="C7" s="220">
        <f>ROUND(C6*F7,0)</f>
        <v>17</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t="s">
        <v>3405</v>
      </c>
    </row>
    <row r="9" spans="1:9" s="214" customFormat="1" ht="13.5" customHeight="1">
      <c r="A9" s="777" t="s">
        <v>355</v>
      </c>
      <c r="B9" s="224" t="s">
        <v>1478</v>
      </c>
      <c r="C9" s="225" t="e">
        <f ca="1">ROUND(D9*E9/10000,0)</f>
        <v>#N/A</v>
      </c>
      <c r="D9" s="843" t="e">
        <f ca="1">IF(B1="",'数据-汇总表'!E5,IF(INDIRECT("'数据-取费表'!c"&amp;$G$1)="住宅",INDIRECT("'数据-取费表'!k"&amp;$G$1),0))</f>
        <v>#N/A</v>
      </c>
      <c r="E9" s="225">
        <f>'数据-取费表'!B27</f>
        <v>0</v>
      </c>
      <c r="F9" s="221"/>
      <c r="G9" s="1855"/>
      <c r="H9" s="1135"/>
      <c r="I9" s="1856" t="s">
        <v>1479</v>
      </c>
    </row>
    <row r="10" spans="1:9" s="214" customFormat="1" ht="13.5" customHeight="1">
      <c r="A10" s="777" t="s">
        <v>356</v>
      </c>
      <c r="B10" s="224" t="s">
        <v>1480</v>
      </c>
      <c r="C10" s="225" t="e">
        <f ca="1">ROUND(D10*E10/10000,0)</f>
        <v>#N/A</v>
      </c>
      <c r="D10" s="843"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t="e">
        <f ca="1">D9+D10</f>
        <v>#N/A</v>
      </c>
      <c r="E19" s="211">
        <f>'数据-取费表'!B31</f>
        <v>200</v>
      </c>
      <c r="F19" s="231"/>
      <c r="G19" s="1854" t="s">
        <v>3406</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ROUND((C5+C19+C20)*F27*'数据-取费表'!B21/'数据-取费表'!B20,0)</f>
        <v>#N/A</v>
      </c>
      <c r="D28" s="235"/>
      <c r="E28" s="236"/>
      <c r="F28" s="246"/>
      <c r="G28" s="247"/>
    </row>
    <row r="29" spans="1:7" s="214" customFormat="1" ht="13.5" customHeight="1">
      <c r="A29" s="778" t="s">
        <v>347</v>
      </c>
      <c r="B29" s="248" t="s">
        <v>1517</v>
      </c>
      <c r="C29" s="238" t="e">
        <f ca="1">ROUND(C21*F27*'数据-取费表'!B21/'数据-取费表'!B20,4)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t="e">
        <f ca="1">SUM(C34:C38)</f>
        <v>#N/A</v>
      </c>
      <c r="D33" s="232"/>
      <c r="E33" s="212"/>
      <c r="F33" s="241"/>
      <c r="G33" s="234"/>
    </row>
    <row r="34" spans="1:7" s="258" customFormat="1" ht="13.5" customHeight="1">
      <c r="A34" s="778" t="s">
        <v>346</v>
      </c>
      <c r="B34" s="215" t="s">
        <v>1525</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1526</v>
      </c>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1530</v>
      </c>
    </row>
    <row r="37" spans="1:7" s="258" customFormat="1" ht="13.5" customHeight="1">
      <c r="A37" s="778" t="s">
        <v>353</v>
      </c>
      <c r="B37" s="215" t="s">
        <v>1531</v>
      </c>
      <c r="C37" s="249" t="e">
        <f ca="1">ROUND(E37*D37*F34/10000,0)</f>
        <v>#N/A</v>
      </c>
      <c r="D37" s="217" t="e">
        <f ca="1">D19</f>
        <v>#N/A</v>
      </c>
      <c r="E37" s="249">
        <f>'数据-取费表'!B35</f>
        <v>200</v>
      </c>
      <c r="F37" s="259"/>
      <c r="G37" s="261" t="s">
        <v>1532</v>
      </c>
    </row>
    <row r="38" spans="1:7" ht="13.5" customHeight="1">
      <c r="A38" s="778"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ROUND(IF('数据-取费表'!B22&lt;=1,C33*F22*'数据-取费表'!B21/2,C33*(POWER((1+F22),'数据-取费表'!B21/2)-1)),0)</f>
        <v>#N/A</v>
      </c>
      <c r="D42" s="238"/>
      <c r="E42" s="238"/>
      <c r="F42" s="239"/>
      <c r="G42" s="3639" t="s">
        <v>1544</v>
      </c>
    </row>
    <row r="43" spans="1:7" ht="13.5" customHeight="1">
      <c r="A43" s="778" t="s">
        <v>347</v>
      </c>
      <c r="B43" s="215" t="s">
        <v>1545</v>
      </c>
      <c r="C43" s="238" t="e">
        <f ca="1">ROUND(IF('数据-取费表'!B22&lt;=1,C39*F22*'数据-取费表'!B21/2,C39*(POWER((1+F22),'数据-取费表'!B21/2)-1)),0)</f>
        <v>#N/A</v>
      </c>
      <c r="D43" s="238"/>
      <c r="E43" s="238"/>
      <c r="F43" s="239"/>
      <c r="G43" s="3640"/>
    </row>
    <row r="44" spans="1:7" ht="13.5" customHeight="1">
      <c r="A44" s="778"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#N/A</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北京市东城区东四十条甲22号1号楼房地产抵押价值预评估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D19" sqref="D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21</v>
      </c>
      <c r="C1" s="1857" t="s">
        <v>1563</v>
      </c>
      <c r="D1" s="198"/>
      <c r="E1" s="198"/>
      <c r="F1" s="198"/>
      <c r="G1" s="1124">
        <f>MATCH(B1,'数据-取费表'!A6:A16,0)+5</f>
        <v>6</v>
      </c>
      <c r="H1" s="1059" t="str">
        <f>IF(ISERROR(FIND("住宅",B1)),"非住宅","住宅")</f>
        <v>非住宅</v>
      </c>
    </row>
    <row r="2" spans="1:8" s="200" customFormat="1" ht="18" customHeight="1">
      <c r="A2" s="201" t="s">
        <v>1462</v>
      </c>
      <c r="B2" s="3422">
        <f ca="1">ROUND(IF(D2="——",C52/10000,C52/10000-E2),4)</f>
        <v>877.25310000000002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49818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5910191</v>
      </c>
      <c r="D5" s="211" t="s">
        <v>1469</v>
      </c>
      <c r="E5" s="212" t="s">
        <v>1470</v>
      </c>
      <c r="F5" s="212" t="s">
        <v>1471</v>
      </c>
      <c r="G5" s="213"/>
    </row>
    <row r="6" spans="1:8" s="214" customFormat="1" ht="13.5" customHeight="1">
      <c r="A6" s="776" t="s">
        <v>1472</v>
      </c>
      <c r="B6" s="215" t="s">
        <v>1473</v>
      </c>
      <c r="C6" s="216">
        <f>ROUND(基准地价修正!C33*基准地价修正!D33,0)</f>
        <v>5701090</v>
      </c>
      <c r="D6" s="217"/>
      <c r="E6" s="218"/>
      <c r="F6" s="218"/>
      <c r="G6" s="219"/>
    </row>
    <row r="7" spans="1:8" s="214" customFormat="1" ht="13.5" customHeight="1">
      <c r="A7" s="776" t="s">
        <v>1474</v>
      </c>
      <c r="B7" s="215" t="s">
        <v>1475</v>
      </c>
      <c r="C7" s="220">
        <f>ROUND(C6*F7,0)</f>
        <v>173883</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35218</v>
      </c>
      <c r="D8" s="222"/>
      <c r="E8" s="220"/>
      <c r="F8" s="221"/>
      <c r="G8" s="1854" t="s">
        <v>3405</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35218</v>
      </c>
      <c r="D10" s="843">
        <f ca="1">IF(B1="",'数据-汇总表'!E6,IF(INDIRECT("'数据-取费表'!c"&amp;$G$1)="住宅",INDIRECT("'数据-取费表'!s"&amp;$G$1),INDIRECT("'数据-取费表'!k"&amp;$G$1)+INDIRECT("'数据-取费表'!s"&amp;$G$1)))</f>
        <v>176.09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176.09</v>
      </c>
      <c r="E19" s="211">
        <f>'数据-取费表'!B31</f>
        <v>200</v>
      </c>
      <c r="F19" s="231"/>
      <c r="G19" s="1854" t="s">
        <v>3406</v>
      </c>
    </row>
    <row r="20" spans="1:7" s="214" customFormat="1" ht="13.5" customHeight="1">
      <c r="A20" s="255" t="s">
        <v>1574</v>
      </c>
      <c r="B20" s="210" t="s">
        <v>1575</v>
      </c>
      <c r="C20" s="232">
        <f ca="1">ROUND((C5+C19)*F20,0)</f>
        <v>118204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418916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414838</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4078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904259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904259</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7964865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771274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704360</v>
      </c>
      <c r="D34" s="217"/>
      <c r="E34" s="220"/>
      <c r="F34" s="257"/>
      <c r="G34" s="219"/>
    </row>
    <row r="35" spans="1:7" ht="13.5" customHeight="1">
      <c r="A35" s="778" t="s">
        <v>351</v>
      </c>
      <c r="B35" s="215" t="s">
        <v>1527</v>
      </c>
      <c r="C35" s="220">
        <f ca="1">ROUND(C34*F35,0)</f>
        <v>21131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35218</v>
      </c>
      <c r="D37" s="217">
        <f ca="1">D19</f>
        <v>176.09</v>
      </c>
      <c r="E37" s="249">
        <f>'数据-取费表'!B35</f>
        <v>200</v>
      </c>
      <c r="F37" s="259"/>
      <c r="G37" s="261"/>
    </row>
    <row r="38" spans="1:7" ht="13.5" customHeight="1">
      <c r="A38" s="778" t="s">
        <v>354</v>
      </c>
      <c r="B38" s="215" t="s">
        <v>1533</v>
      </c>
      <c r="C38" s="220">
        <f ca="1">ROUND(C34*F38,0)</f>
        <v>10565</v>
      </c>
      <c r="D38" s="220"/>
      <c r="E38" s="220"/>
      <c r="F38" s="259">
        <f>'数据-取费表'!B36</f>
        <v>1.4999999999999999E-2</v>
      </c>
      <c r="G38" s="219" t="s">
        <v>1528</v>
      </c>
    </row>
    <row r="39" spans="1:7" s="214" customFormat="1" ht="13.5" customHeight="1">
      <c r="A39" s="255" t="s">
        <v>1534</v>
      </c>
      <c r="B39" s="210" t="s">
        <v>1535</v>
      </c>
      <c r="C39" s="232">
        <f ca="1">ROUND(C33*F20,0)</f>
        <v>15425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27141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26609</v>
      </c>
      <c r="D42" s="238"/>
      <c r="E42" s="238"/>
      <c r="F42" s="239"/>
      <c r="G42" s="3639" t="s">
        <v>1591</v>
      </c>
    </row>
    <row r="43" spans="1:7" ht="13.5" customHeight="1">
      <c r="A43" s="778" t="s">
        <v>347</v>
      </c>
      <c r="B43" s="215" t="s">
        <v>1545</v>
      </c>
      <c r="C43" s="238">
        <f ca="1">ROUND(IF('数据-取费表'!B22&lt;=1,C39*F22*'数据-取费表'!B20/2,C39*(POWER((1+F22),'数据-取费表'!B20/2)-1)),0)</f>
        <v>532</v>
      </c>
      <c r="D43" s="238"/>
      <c r="E43" s="238"/>
      <c r="F43" s="239"/>
      <c r="G43" s="3640"/>
    </row>
    <row r="44" spans="1:7" ht="13.5" customHeight="1">
      <c r="A44" s="778"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118005</v>
      </c>
      <c r="D45" s="235">
        <f ca="1">C47</f>
        <v>3.0000000000000001E-3</v>
      </c>
      <c r="E45" s="236" t="s">
        <v>1539</v>
      </c>
      <c r="F45" s="246">
        <f ca="1">F27</f>
        <v>0.15</v>
      </c>
      <c r="G45" s="247" t="s">
        <v>1548</v>
      </c>
    </row>
    <row r="46" spans="1:7" s="214" customFormat="1" ht="13.5" customHeight="1">
      <c r="A46" s="778" t="s">
        <v>346</v>
      </c>
      <c r="B46" s="248" t="s">
        <v>1549</v>
      </c>
      <c r="C46" s="249">
        <f ca="1">ROUND((C33+C39)*F27,0)</f>
        <v>118005</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1009583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807666</v>
      </c>
      <c r="D51" s="232"/>
      <c r="E51" s="232"/>
      <c r="F51" s="264"/>
      <c r="G51" s="234" t="s">
        <v>1560</v>
      </c>
    </row>
    <row r="52" spans="1:7" s="208" customFormat="1" ht="16.5" thickBot="1">
      <c r="A52" s="265" t="s">
        <v>1561</v>
      </c>
      <c r="B52" s="266"/>
      <c r="C52" s="267">
        <f ca="1">C31+C51</f>
        <v>8772531</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40142</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2279630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176.09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176.09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-35214</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176.09</v>
      </c>
      <c r="E20" s="21">
        <f>'数据-取费表'!B28</f>
        <v>200</v>
      </c>
      <c r="F20" s="802"/>
      <c r="G20" s="12"/>
      <c r="H20" s="807"/>
      <c r="I20" s="807"/>
      <c r="J20" s="807"/>
      <c r="K20" s="808"/>
    </row>
    <row r="21" spans="1:33" s="801" customFormat="1" ht="13.5" customHeight="1">
      <c r="A21" s="788" t="s">
        <v>357</v>
      </c>
      <c r="B21" s="811" t="s">
        <v>1628</v>
      </c>
      <c r="C21" s="812">
        <f ca="1">C16+C17+C18</f>
        <v>-35214</v>
      </c>
      <c r="D21" s="813"/>
      <c r="E21" s="281"/>
      <c r="F21" s="281"/>
      <c r="G21" s="131" t="s">
        <v>1629</v>
      </c>
      <c r="H21" s="805"/>
      <c r="I21" s="805"/>
      <c r="J21" s="805"/>
      <c r="K21" s="806"/>
    </row>
    <row r="22" spans="1:33" s="801" customFormat="1" ht="13.5" customHeight="1">
      <c r="A22" s="788" t="s">
        <v>1601</v>
      </c>
      <c r="B22" s="811" t="s">
        <v>1630</v>
      </c>
      <c r="C22" s="812">
        <f ca="1">ROUND(C21*F22,0)</f>
        <v>-704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-5388</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-5388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40142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F64" sqref="F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176.09</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67" t="s">
        <v>1775</v>
      </c>
      <c r="Q4" s="3668"/>
      <c r="R4" s="3647" t="s">
        <v>1771</v>
      </c>
      <c r="S4" s="3648"/>
      <c r="T4" s="3647" t="s">
        <v>1772</v>
      </c>
      <c r="U4" s="3648"/>
      <c r="V4" s="3675" t="s">
        <v>1773</v>
      </c>
      <c r="W4" s="3675"/>
      <c r="X4" s="1956"/>
      <c r="Y4" s="3647" t="s">
        <v>1775</v>
      </c>
      <c r="Z4" s="3648"/>
      <c r="AA4" s="3642" t="s">
        <v>1771</v>
      </c>
      <c r="AB4" s="3642" t="s">
        <v>1772</v>
      </c>
      <c r="AC4" s="3660" t="s">
        <v>1773</v>
      </c>
    </row>
    <row r="5" spans="1:29" ht="15">
      <c r="A5" s="358"/>
      <c r="B5" s="359"/>
      <c r="C5" s="3653" t="s">
        <v>1673</v>
      </c>
      <c r="D5" s="3654"/>
      <c r="E5" s="3651" t="s">
        <v>1674</v>
      </c>
      <c r="F5" s="3652"/>
      <c r="G5" s="3653" t="s">
        <v>1675</v>
      </c>
      <c r="H5" s="3654"/>
      <c r="I5" s="3653" t="s">
        <v>1676</v>
      </c>
      <c r="J5" s="3654"/>
      <c r="K5" s="559"/>
      <c r="L5" s="2713"/>
      <c r="M5" s="2714"/>
      <c r="N5" s="2714"/>
      <c r="O5" s="2714"/>
      <c r="P5" s="3669"/>
      <c r="Q5" s="3670"/>
      <c r="R5" s="3649"/>
      <c r="S5" s="3650"/>
      <c r="T5" s="3649"/>
      <c r="U5" s="3650"/>
      <c r="V5" s="3676"/>
      <c r="W5" s="3676"/>
      <c r="X5" s="1353"/>
      <c r="Y5" s="3649"/>
      <c r="Z5" s="3650"/>
      <c r="AA5" s="3643"/>
      <c r="AB5" s="3643"/>
      <c r="AC5" s="3661"/>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671"/>
      <c r="Q6" s="3672"/>
      <c r="R6" s="3649"/>
      <c r="S6" s="3650"/>
      <c r="T6" s="3673"/>
      <c r="U6" s="3674"/>
      <c r="V6" s="3676"/>
      <c r="W6" s="3676"/>
      <c r="X6" s="1353"/>
      <c r="Y6" s="3673"/>
      <c r="Z6" s="3674"/>
      <c r="AA6" s="3644"/>
      <c r="AB6" s="3644"/>
      <c r="AC6" s="3662"/>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677"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677" t="s">
        <v>1683</v>
      </c>
      <c r="Q8" s="3646"/>
      <c r="R8" s="699" t="s">
        <v>14</v>
      </c>
      <c r="S8" s="700">
        <f t="shared" si="0"/>
        <v>100</v>
      </c>
      <c r="T8" s="699" t="s">
        <v>14</v>
      </c>
      <c r="U8" s="700">
        <f t="shared" si="1"/>
        <v>100</v>
      </c>
      <c r="V8" s="699" t="s">
        <v>14</v>
      </c>
      <c r="W8" s="700">
        <f t="shared" si="2"/>
        <v>100</v>
      </c>
      <c r="X8" s="701"/>
      <c r="Y8" s="3645" t="s">
        <v>1683</v>
      </c>
      <c r="Z8" s="3646"/>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9"/>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9" t="s">
        <v>1691</v>
      </c>
      <c r="Q15" s="1350" t="str">
        <f t="shared" si="6"/>
        <v>办公集聚程度</v>
      </c>
      <c r="R15" s="703" t="s">
        <v>14</v>
      </c>
      <c r="S15" s="704">
        <f t="shared" si="0"/>
        <v>100</v>
      </c>
      <c r="T15" s="703" t="s">
        <v>14</v>
      </c>
      <c r="U15" s="704">
        <f t="shared" si="1"/>
        <v>100</v>
      </c>
      <c r="V15" s="703" t="s">
        <v>14</v>
      </c>
      <c r="W15" s="704">
        <f t="shared" si="2"/>
        <v>100</v>
      </c>
      <c r="X15" s="1353"/>
      <c r="Y15" s="3681"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80"/>
      <c r="Q22" s="1350"/>
      <c r="R22" s="703"/>
      <c r="S22" s="704"/>
      <c r="T22" s="703"/>
      <c r="U22" s="704"/>
      <c r="V22" s="703"/>
      <c r="W22" s="704"/>
      <c r="X22" s="1353"/>
      <c r="Y22" s="3682"/>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0"/>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0"/>
      <c r="Q25" s="1350" t="str">
        <f>B25</f>
        <v>毗邻道路的类型与等级</v>
      </c>
      <c r="R25" s="703" t="s">
        <v>14</v>
      </c>
      <c r="S25" s="704">
        <f>F25</f>
        <v>100</v>
      </c>
      <c r="T25" s="703" t="s">
        <v>14</v>
      </c>
      <c r="U25" s="704">
        <f>H25</f>
        <v>100</v>
      </c>
      <c r="V25" s="703" t="s">
        <v>14</v>
      </c>
      <c r="W25" s="704">
        <f>J25</f>
        <v>100</v>
      </c>
      <c r="X25" s="1353"/>
      <c r="Y25" s="368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0"/>
      <c r="Q26" s="1350"/>
      <c r="R26" s="703"/>
      <c r="S26" s="704"/>
      <c r="T26" s="703"/>
      <c r="U26" s="704"/>
      <c r="V26" s="703"/>
      <c r="W26" s="704"/>
      <c r="X26" s="1353"/>
      <c r="Y26" s="3682"/>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0"/>
      <c r="Q27" s="1350" t="str">
        <f t="shared" ref="Q27:Q47" si="11">B27</f>
        <v>楼层</v>
      </c>
      <c r="R27" s="703" t="s">
        <v>14</v>
      </c>
      <c r="S27" s="704">
        <f>F27</f>
        <v>100</v>
      </c>
      <c r="T27" s="703" t="s">
        <v>14</v>
      </c>
      <c r="U27" s="704">
        <f>H27</f>
        <v>100</v>
      </c>
      <c r="V27" s="703" t="s">
        <v>14</v>
      </c>
      <c r="W27" s="704">
        <f>J27</f>
        <v>100</v>
      </c>
      <c r="X27" s="1353"/>
      <c r="Y27" s="3682"/>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0"/>
      <c r="Q28" s="1341" t="str">
        <f t="shared" si="11"/>
        <v>朝向</v>
      </c>
      <c r="R28" s="699" t="s">
        <v>14</v>
      </c>
      <c r="S28" s="700">
        <f>F28</f>
        <v>100</v>
      </c>
      <c r="T28" s="699" t="s">
        <v>14</v>
      </c>
      <c r="U28" s="700">
        <f>H28</f>
        <v>100</v>
      </c>
      <c r="V28" s="699" t="s">
        <v>14</v>
      </c>
      <c r="W28" s="700">
        <f>J28</f>
        <v>100</v>
      </c>
      <c r="X28" s="701"/>
      <c r="Y28" s="368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0"/>
      <c r="Q29" s="1350">
        <f t="shared" si="11"/>
        <v>111</v>
      </c>
      <c r="R29" s="703" t="s">
        <v>14</v>
      </c>
      <c r="S29" s="704">
        <f t="shared" ref="S29:S47" si="12">F29</f>
        <v>100</v>
      </c>
      <c r="T29" s="703" t="s">
        <v>14</v>
      </c>
      <c r="U29" s="704">
        <f t="shared" ref="U29:U47" si="13">H29</f>
        <v>100</v>
      </c>
      <c r="V29" s="703" t="s">
        <v>14</v>
      </c>
      <c r="W29" s="704">
        <f t="shared" ref="W29:W47" si="14">J29</f>
        <v>100</v>
      </c>
      <c r="X29" s="1353"/>
      <c r="Y29" s="368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0"/>
      <c r="Q32" s="1350">
        <f t="shared" si="11"/>
        <v>111</v>
      </c>
      <c r="R32" s="703" t="s">
        <v>14</v>
      </c>
      <c r="S32" s="704">
        <f t="shared" si="12"/>
        <v>100</v>
      </c>
      <c r="T32" s="703" t="s">
        <v>14</v>
      </c>
      <c r="U32" s="704">
        <f t="shared" si="13"/>
        <v>100</v>
      </c>
      <c r="V32" s="703" t="s">
        <v>14</v>
      </c>
      <c r="W32" s="704">
        <f t="shared" si="14"/>
        <v>100</v>
      </c>
      <c r="X32" s="1353"/>
      <c r="Y32" s="3682"/>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83" t="s">
        <v>1696</v>
      </c>
      <c r="Q33" s="1350" t="str">
        <f t="shared" si="11"/>
        <v>建筑类型</v>
      </c>
      <c r="R33" s="703" t="s">
        <v>14</v>
      </c>
      <c r="S33" s="704">
        <f t="shared" si="12"/>
        <v>100</v>
      </c>
      <c r="T33" s="703" t="s">
        <v>14</v>
      </c>
      <c r="U33" s="704">
        <f t="shared" si="13"/>
        <v>100</v>
      </c>
      <c r="V33" s="703" t="s">
        <v>14</v>
      </c>
      <c r="W33" s="704">
        <f t="shared" si="14"/>
        <v>100</v>
      </c>
      <c r="X33" s="1353"/>
      <c r="Y33" s="3686"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4"/>
      <c r="Q34" s="705" t="str">
        <f t="shared" si="11"/>
        <v>项目建筑规模</v>
      </c>
      <c r="R34" s="706" t="s">
        <v>14</v>
      </c>
      <c r="S34" s="707" t="e">
        <f t="shared" si="12"/>
        <v>#N/A</v>
      </c>
      <c r="T34" s="706" t="s">
        <v>14</v>
      </c>
      <c r="U34" s="707" t="e">
        <f t="shared" si="13"/>
        <v>#N/A</v>
      </c>
      <c r="V34" s="706" t="s">
        <v>14</v>
      </c>
      <c r="W34" s="707" t="e">
        <f t="shared" si="14"/>
        <v>#N/A</v>
      </c>
      <c r="X34" s="708"/>
      <c r="Y34" s="3686"/>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4"/>
      <c r="Q35" s="1350" t="str">
        <f t="shared" si="11"/>
        <v>建筑结构</v>
      </c>
      <c r="R35" s="703" t="s">
        <v>14</v>
      </c>
      <c r="S35" s="704">
        <f t="shared" si="12"/>
        <v>100</v>
      </c>
      <c r="T35" s="703" t="s">
        <v>14</v>
      </c>
      <c r="U35" s="704">
        <f t="shared" si="13"/>
        <v>100</v>
      </c>
      <c r="V35" s="703" t="s">
        <v>14</v>
      </c>
      <c r="W35" s="704">
        <f t="shared" si="14"/>
        <v>100</v>
      </c>
      <c r="X35" s="1353"/>
      <c r="Y35" s="3686"/>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4"/>
      <c r="Q36" s="1350" t="str">
        <f t="shared" si="11"/>
        <v>公共部分装修</v>
      </c>
      <c r="R36" s="703" t="s">
        <v>14</v>
      </c>
      <c r="S36" s="704">
        <f t="shared" si="12"/>
        <v>100</v>
      </c>
      <c r="T36" s="703" t="s">
        <v>14</v>
      </c>
      <c r="U36" s="704">
        <f t="shared" si="13"/>
        <v>100</v>
      </c>
      <c r="V36" s="703" t="s">
        <v>14</v>
      </c>
      <c r="W36" s="704">
        <f t="shared" si="14"/>
        <v>100</v>
      </c>
      <c r="X36" s="1353"/>
      <c r="Y36" s="3686"/>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4"/>
      <c r="Q37" s="1350" t="str">
        <f t="shared" si="11"/>
        <v>成新度</v>
      </c>
      <c r="R37" s="703" t="s">
        <v>14</v>
      </c>
      <c r="S37" s="704" t="e">
        <f t="shared" si="12"/>
        <v>#N/A</v>
      </c>
      <c r="T37" s="703" t="s">
        <v>14</v>
      </c>
      <c r="U37" s="704" t="e">
        <f t="shared" si="13"/>
        <v>#N/A</v>
      </c>
      <c r="V37" s="703" t="s">
        <v>14</v>
      </c>
      <c r="W37" s="704" t="e">
        <f t="shared" si="14"/>
        <v>#N/A</v>
      </c>
      <c r="X37" s="1353"/>
      <c r="Y37" s="3686"/>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4"/>
      <c r="Q38" s="1341" t="str">
        <f t="shared" si="11"/>
        <v>写字楼等级</v>
      </c>
      <c r="R38" s="699" t="s">
        <v>14</v>
      </c>
      <c r="S38" s="700">
        <f t="shared" si="12"/>
        <v>100</v>
      </c>
      <c r="T38" s="699" t="s">
        <v>14</v>
      </c>
      <c r="U38" s="700">
        <f t="shared" si="13"/>
        <v>100</v>
      </c>
      <c r="V38" s="699" t="s">
        <v>14</v>
      </c>
      <c r="W38" s="700">
        <f t="shared" si="14"/>
        <v>100</v>
      </c>
      <c r="X38" s="701"/>
      <c r="Y38" s="3686"/>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4" t="s">
        <v>1696</v>
      </c>
      <c r="Q39" s="1350" t="str">
        <f t="shared" si="11"/>
        <v>物业管理</v>
      </c>
      <c r="R39" s="703" t="s">
        <v>14</v>
      </c>
      <c r="S39" s="704">
        <f t="shared" si="12"/>
        <v>100</v>
      </c>
      <c r="T39" s="703" t="s">
        <v>14</v>
      </c>
      <c r="U39" s="704">
        <f t="shared" si="13"/>
        <v>100</v>
      </c>
      <c r="V39" s="703" t="s">
        <v>14</v>
      </c>
      <c r="W39" s="704">
        <f t="shared" si="14"/>
        <v>100</v>
      </c>
      <c r="X39" s="1353"/>
      <c r="Y39" s="3686"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4"/>
      <c r="Q40" s="1350" t="str">
        <f t="shared" si="11"/>
        <v>市政基础设施</v>
      </c>
      <c r="R40" s="703" t="s">
        <v>14</v>
      </c>
      <c r="S40" s="704">
        <f t="shared" si="12"/>
        <v>100</v>
      </c>
      <c r="T40" s="703" t="s">
        <v>14</v>
      </c>
      <c r="U40" s="704">
        <f t="shared" si="13"/>
        <v>100</v>
      </c>
      <c r="V40" s="703" t="s">
        <v>14</v>
      </c>
      <c r="W40" s="704">
        <f t="shared" si="14"/>
        <v>100</v>
      </c>
      <c r="X40" s="1353"/>
      <c r="Y40" s="3686"/>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4"/>
      <c r="Q41" s="1350" t="str">
        <f t="shared" si="11"/>
        <v>层高</v>
      </c>
      <c r="R41" s="703" t="s">
        <v>14</v>
      </c>
      <c r="S41" s="704">
        <f t="shared" si="12"/>
        <v>100</v>
      </c>
      <c r="T41" s="703" t="s">
        <v>14</v>
      </c>
      <c r="U41" s="704">
        <f t="shared" si="13"/>
        <v>100</v>
      </c>
      <c r="V41" s="703" t="s">
        <v>14</v>
      </c>
      <c r="W41" s="704">
        <f t="shared" si="14"/>
        <v>100</v>
      </c>
      <c r="X41" s="1353"/>
      <c r="Y41" s="3686"/>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4"/>
      <c r="Q42" s="705" t="str">
        <f t="shared" si="11"/>
        <v>单套建筑面积</v>
      </c>
      <c r="R42" s="706" t="s">
        <v>14</v>
      </c>
      <c r="S42" s="707">
        <f t="shared" si="12"/>
        <v>100</v>
      </c>
      <c r="T42" s="706" t="s">
        <v>14</v>
      </c>
      <c r="U42" s="707">
        <f t="shared" si="13"/>
        <v>100</v>
      </c>
      <c r="V42" s="706" t="s">
        <v>14</v>
      </c>
      <c r="W42" s="707">
        <f t="shared" si="14"/>
        <v>100</v>
      </c>
      <c r="X42" s="708"/>
      <c r="Y42" s="3686"/>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4"/>
      <c r="Q43" s="1350" t="str">
        <f t="shared" si="11"/>
        <v>内部装修</v>
      </c>
      <c r="R43" s="703" t="s">
        <v>14</v>
      </c>
      <c r="S43" s="704">
        <f t="shared" si="12"/>
        <v>100</v>
      </c>
      <c r="T43" s="703" t="s">
        <v>14</v>
      </c>
      <c r="U43" s="704">
        <f t="shared" si="13"/>
        <v>100</v>
      </c>
      <c r="V43" s="703" t="s">
        <v>14</v>
      </c>
      <c r="W43" s="704">
        <f t="shared" si="14"/>
        <v>100</v>
      </c>
      <c r="X43" s="1353"/>
      <c r="Y43" s="3686"/>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84"/>
      <c r="Q44" s="1350" t="str">
        <f t="shared" si="11"/>
        <v>内部装修维护情况</v>
      </c>
      <c r="R44" s="703" t="s">
        <v>14</v>
      </c>
      <c r="S44" s="704">
        <f t="shared" si="12"/>
        <v>100</v>
      </c>
      <c r="T44" s="703" t="s">
        <v>14</v>
      </c>
      <c r="U44" s="704">
        <f t="shared" si="13"/>
        <v>100</v>
      </c>
      <c r="V44" s="703" t="s">
        <v>14</v>
      </c>
      <c r="W44" s="704">
        <f t="shared" si="14"/>
        <v>100</v>
      </c>
      <c r="X44" s="1353"/>
      <c r="Y44" s="368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4"/>
      <c r="Q45" s="1341">
        <f t="shared" si="11"/>
        <v>111</v>
      </c>
      <c r="R45" s="699" t="s">
        <v>14</v>
      </c>
      <c r="S45" s="700">
        <f t="shared" si="12"/>
        <v>100</v>
      </c>
      <c r="T45" s="699" t="s">
        <v>14</v>
      </c>
      <c r="U45" s="700">
        <f t="shared" si="13"/>
        <v>100</v>
      </c>
      <c r="V45" s="699" t="s">
        <v>14</v>
      </c>
      <c r="W45" s="700">
        <f t="shared" si="14"/>
        <v>100</v>
      </c>
      <c r="X45" s="701"/>
      <c r="Y45" s="3686"/>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4"/>
      <c r="Q46" s="1350">
        <f t="shared" si="11"/>
        <v>111</v>
      </c>
      <c r="R46" s="703" t="s">
        <v>14</v>
      </c>
      <c r="S46" s="704">
        <f t="shared" si="12"/>
        <v>100</v>
      </c>
      <c r="T46" s="703" t="s">
        <v>14</v>
      </c>
      <c r="U46" s="704">
        <f t="shared" si="13"/>
        <v>100</v>
      </c>
      <c r="V46" s="703" t="s">
        <v>14</v>
      </c>
      <c r="W46" s="704">
        <f t="shared" si="14"/>
        <v>100</v>
      </c>
      <c r="X46" s="1353"/>
      <c r="Y46" s="368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5"/>
      <c r="Q47" s="1350">
        <f t="shared" si="11"/>
        <v>111</v>
      </c>
      <c r="R47" s="703" t="s">
        <v>14</v>
      </c>
      <c r="S47" s="704">
        <f t="shared" si="12"/>
        <v>100</v>
      </c>
      <c r="T47" s="703" t="s">
        <v>14</v>
      </c>
      <c r="U47" s="704">
        <f t="shared" si="13"/>
        <v>100</v>
      </c>
      <c r="V47" s="703" t="s">
        <v>14</v>
      </c>
      <c r="W47" s="704">
        <f t="shared" si="14"/>
        <v>100</v>
      </c>
      <c r="X47" s="1353"/>
      <c r="Y47" s="3687"/>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59" t="str">
        <f>A48</f>
        <v>成交单价（元/平方米）</v>
      </c>
      <c r="Q48" s="3688"/>
      <c r="R48" s="3689">
        <f>E48</f>
        <v>0</v>
      </c>
      <c r="S48" s="3689"/>
      <c r="T48" s="3689">
        <f>G48</f>
        <v>0</v>
      </c>
      <c r="U48" s="3689"/>
      <c r="V48" s="3689">
        <f>I48</f>
        <v>0</v>
      </c>
      <c r="W48" s="368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5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2" t="s">
        <v>3414</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zoomScaleSheetLayoutView="100" workbookViewId="0">
      <selection activeCell="D55" sqref="D55:D5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t="s">
        <v>3385</v>
      </c>
      <c r="E1" s="3431" t="s">
        <v>3409</v>
      </c>
      <c r="F1" s="1877" t="s">
        <v>3410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e">
        <f>IF(E1="项目模式",IF(C2="——",ROUND(C43*D3/10000,0),ROUND(C43*D3/10000,0)-D2),IF(E1="单套模式",IF(C2="——",ROUND(C43*D3/10000,4),ROUND(C43*D3/10000,4)-D2)))</f>
        <v>#REF!</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t="e">
        <f>IF(C2="——",C43,ROUND(B2*10000/D3,0))</f>
        <v>#REF!</v>
      </c>
      <c r="C3" s="354" t="s">
        <v>1768</v>
      </c>
      <c r="D3" s="353">
        <f>IF(D1="",'数据-汇总表'!E3,SUMIF('数据-汇总表'!$C19:$C33,D1,'数据-汇总表'!$E19:$E33))</f>
        <v>0</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911"/>
      <c r="M4" s="912"/>
      <c r="N4" s="912"/>
      <c r="O4" s="912"/>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96" t="s">
        <v>3411</v>
      </c>
      <c r="F5" s="3654"/>
      <c r="G5" s="3696" t="s">
        <v>3411</v>
      </c>
      <c r="H5" s="3654"/>
      <c r="I5" s="3696" t="s">
        <v>3411</v>
      </c>
      <c r="J5" s="3654"/>
      <c r="K5" s="559"/>
      <c r="L5" s="911"/>
      <c r="M5" s="912"/>
      <c r="N5" s="912"/>
      <c r="O5" s="912"/>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911"/>
      <c r="M6" s="912"/>
      <c r="N6" s="912"/>
      <c r="O6" s="912"/>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v>45159</v>
      </c>
      <c r="F7" s="367">
        <f>SUMIF(52:52,YEAR(E7)&amp;"-"&amp;MONTH(E7),53:53)</f>
        <v>100</v>
      </c>
      <c r="G7" s="366">
        <f>E7</f>
        <v>45159</v>
      </c>
      <c r="H7" s="365">
        <f>SUMIF(52:52,YEAR(G7)&amp;"-"&amp;MONTH(G7),53:53)</f>
        <v>100</v>
      </c>
      <c r="I7" s="366">
        <f>G7</f>
        <v>45159</v>
      </c>
      <c r="J7" s="365">
        <f>SUMIF(52:52,YEAR(I7)&amp;"-"&amp;MONTH(I7),53:53)</f>
        <v>100</v>
      </c>
      <c r="K7" s="560"/>
      <c r="L7" s="913"/>
      <c r="M7" s="914"/>
      <c r="N7" s="914"/>
      <c r="O7" s="914"/>
      <c r="P7" s="3645" t="s">
        <v>1680</v>
      </c>
      <c r="Q7" s="3678"/>
      <c r="R7" s="699" t="s">
        <v>14</v>
      </c>
      <c r="S7" s="700">
        <f t="shared" ref="S7:S15" si="0">F7</f>
        <v>100</v>
      </c>
      <c r="T7" s="699" t="s">
        <v>14</v>
      </c>
      <c r="U7" s="700">
        <f t="shared" ref="U7:U15" si="1">H7</f>
        <v>100</v>
      </c>
      <c r="V7" s="699" t="s">
        <v>14</v>
      </c>
      <c r="W7" s="700">
        <f t="shared" ref="W7:W15" si="2">J7</f>
        <v>100</v>
      </c>
      <c r="X7" s="701"/>
      <c r="Y7" s="3645" t="s">
        <v>1680</v>
      </c>
      <c r="Z7" s="3646"/>
      <c r="AA7" s="702">
        <f>D7/F7</f>
        <v>1</v>
      </c>
      <c r="AB7" s="702">
        <f>D7/H7</f>
        <v>1</v>
      </c>
      <c r="AC7" s="702">
        <f>D7/J7</f>
        <v>1</v>
      </c>
    </row>
    <row r="8" spans="1:29" s="108" customFormat="1" ht="15.75" thickBot="1">
      <c r="A8" s="362" t="s">
        <v>1681</v>
      </c>
      <c r="B8" s="363"/>
      <c r="C8" s="368" t="s">
        <v>3415</v>
      </c>
      <c r="D8" s="365">
        <v>100</v>
      </c>
      <c r="E8" s="368" t="s">
        <v>3413</v>
      </c>
      <c r="F8" s="367">
        <f>SUMIF(55:55,E8,56:56)-SUMIF(55:55,C8,56:56)+100</f>
        <v>103</v>
      </c>
      <c r="G8" s="368" t="s">
        <v>3413</v>
      </c>
      <c r="H8" s="365">
        <f>SUMIF(55:55,G8,56:56)-SUMIF(55:55,C8,56:56)+100</f>
        <v>103</v>
      </c>
      <c r="I8" s="368" t="s">
        <v>3413</v>
      </c>
      <c r="J8" s="365">
        <f>SUMIF(55:55,I8,56:56)-SUMIF(55:55,C8,56:56)+100</f>
        <v>103</v>
      </c>
      <c r="K8" s="560"/>
      <c r="L8" s="913"/>
      <c r="M8" s="914"/>
      <c r="N8" s="914"/>
      <c r="O8" s="914"/>
      <c r="P8" s="3645" t="s">
        <v>1683</v>
      </c>
      <c r="Q8" s="3646"/>
      <c r="R8" s="699" t="s">
        <v>14</v>
      </c>
      <c r="S8" s="700">
        <f t="shared" si="0"/>
        <v>103</v>
      </c>
      <c r="T8" s="699" t="s">
        <v>14</v>
      </c>
      <c r="U8" s="700">
        <f t="shared" si="1"/>
        <v>103</v>
      </c>
      <c r="V8" s="699" t="s">
        <v>14</v>
      </c>
      <c r="W8" s="700">
        <f t="shared" si="2"/>
        <v>103</v>
      </c>
      <c r="X8" s="701"/>
      <c r="Y8" s="3645" t="s">
        <v>1683</v>
      </c>
      <c r="Z8" s="3646"/>
      <c r="AA8" s="702">
        <f t="shared" ref="AA8:AA40" si="3">D8/F8</f>
        <v>0.970873786407767</v>
      </c>
      <c r="AB8" s="702">
        <f t="shared" ref="AB8:AB40" si="4">D8/H8</f>
        <v>0.970873786407767</v>
      </c>
      <c r="AC8" s="702">
        <f t="shared" ref="AC8:AC40" si="5">D8/J8</f>
        <v>0.970873786407767</v>
      </c>
    </row>
    <row r="9" spans="1:29" s="108" customFormat="1">
      <c r="A9" s="369" t="s">
        <v>1684</v>
      </c>
      <c r="B9" s="63" t="s">
        <v>1685</v>
      </c>
      <c r="C9" s="3451" t="s">
        <v>3412</v>
      </c>
      <c r="D9" s="126">
        <v>100</v>
      </c>
      <c r="E9" s="373" t="s">
        <v>3</v>
      </c>
      <c r="F9" s="126">
        <f>SUMIF(57:57,E9,58:58)-SUMIF(57:57,C9,58:58)+100</f>
        <v>100</v>
      </c>
      <c r="G9" s="373" t="s">
        <v>3</v>
      </c>
      <c r="H9" s="126">
        <f>SUMIF(57:57,G9,58:58)-SUMIF(57:57,C9,58:58)+100</f>
        <v>100</v>
      </c>
      <c r="I9" s="373" t="s">
        <v>3</v>
      </c>
      <c r="J9" s="126">
        <f>SUMIF(57:57,I9,58:58)-SUMIF(57:57,C9,58:58)+100</f>
        <v>100</v>
      </c>
      <c r="K9" s="560"/>
      <c r="L9" s="913"/>
      <c r="M9" s="914"/>
      <c r="N9" s="914"/>
      <c r="O9" s="915"/>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8"/>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103</v>
      </c>
      <c r="G15" s="395"/>
      <c r="H15" s="392">
        <f>SUMIF(70:70,G16,71:71)-SUMIF(70:70,C16,71:71)+100</f>
        <v>103</v>
      </c>
      <c r="I15" s="393"/>
      <c r="J15" s="392">
        <f>SUMIF(70:70,I16,71:71)-SUMIF(70:70,C16,71:71)+100</f>
        <v>103</v>
      </c>
      <c r="K15" s="563">
        <v>3</v>
      </c>
      <c r="L15" s="921"/>
      <c r="M15" s="912"/>
      <c r="N15" s="912"/>
      <c r="O15" s="920"/>
      <c r="P15" s="3681" t="s">
        <v>1691</v>
      </c>
      <c r="Q15" s="1350" t="str">
        <f t="shared" si="6"/>
        <v>产业集聚程度</v>
      </c>
      <c r="R15" s="703" t="s">
        <v>14</v>
      </c>
      <c r="S15" s="704">
        <f t="shared" si="0"/>
        <v>103</v>
      </c>
      <c r="T15" s="703" t="s">
        <v>14</v>
      </c>
      <c r="U15" s="704">
        <f t="shared" si="1"/>
        <v>103</v>
      </c>
      <c r="V15" s="703" t="s">
        <v>14</v>
      </c>
      <c r="W15" s="704">
        <f t="shared" si="2"/>
        <v>103</v>
      </c>
      <c r="X15" s="1353"/>
      <c r="Y15" s="3681" t="s">
        <v>1691</v>
      </c>
      <c r="Z15" s="1354" t="str">
        <f t="shared" si="7"/>
        <v>产业集聚程度</v>
      </c>
      <c r="AA15" s="1351">
        <f t="shared" si="3"/>
        <v>0.970873786407767</v>
      </c>
      <c r="AB15" s="1351">
        <f t="shared" si="4"/>
        <v>0.970873786407767</v>
      </c>
      <c r="AC15" s="1351">
        <f t="shared" si="5"/>
        <v>0.970873786407767</v>
      </c>
    </row>
    <row r="16" spans="1:29" ht="15">
      <c r="A16" s="379"/>
      <c r="B16" s="397"/>
      <c r="C16" s="398" t="s">
        <v>3404</v>
      </c>
      <c r="D16" s="399"/>
      <c r="E16" s="398" t="s">
        <v>3402</v>
      </c>
      <c r="F16" s="400"/>
      <c r="G16" s="398" t="s">
        <v>3402</v>
      </c>
      <c r="H16" s="401"/>
      <c r="I16" s="398" t="s">
        <v>3402</v>
      </c>
      <c r="J16" s="399"/>
      <c r="K16" s="564"/>
      <c r="L16" s="921"/>
      <c r="M16" s="912"/>
      <c r="N16" s="912"/>
      <c r="O16" s="920"/>
      <c r="P16" s="3682"/>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102</v>
      </c>
      <c r="G17" s="405"/>
      <c r="H17" s="406">
        <f>SUMIF(72:72,G18,73:73)-SUMIF(72:72,C18,73:73)+100</f>
        <v>102</v>
      </c>
      <c r="I17" s="403"/>
      <c r="J17" s="406">
        <f>SUMIF(72:72,I18,73:73)-SUMIF(72:72,C18,73:73)+100</f>
        <v>102</v>
      </c>
      <c r="K17" s="563">
        <v>2</v>
      </c>
      <c r="L17" s="921"/>
      <c r="M17" s="912"/>
      <c r="N17" s="912"/>
      <c r="O17" s="920"/>
      <c r="P17" s="3682"/>
      <c r="Q17" s="1350" t="str">
        <f>B17</f>
        <v>交通便捷度</v>
      </c>
      <c r="R17" s="703" t="s">
        <v>14</v>
      </c>
      <c r="S17" s="704">
        <f>F17</f>
        <v>102</v>
      </c>
      <c r="T17" s="703" t="s">
        <v>14</v>
      </c>
      <c r="U17" s="704">
        <f>H17</f>
        <v>102</v>
      </c>
      <c r="V17" s="703" t="s">
        <v>14</v>
      </c>
      <c r="W17" s="704">
        <f>J17</f>
        <v>102</v>
      </c>
      <c r="X17" s="1353"/>
      <c r="Y17" s="3682"/>
      <c r="Z17" s="1354" t="str">
        <f>Q17</f>
        <v>交通便捷度</v>
      </c>
      <c r="AA17" s="1351">
        <f t="shared" si="3"/>
        <v>0.98039215686274506</v>
      </c>
      <c r="AB17" s="1351">
        <f t="shared" si="4"/>
        <v>0.98039215686274506</v>
      </c>
      <c r="AC17" s="1351">
        <f t="shared" si="5"/>
        <v>0.98039215686274506</v>
      </c>
    </row>
    <row r="18" spans="1:29" ht="15">
      <c r="A18" s="379"/>
      <c r="B18" s="407"/>
      <c r="C18" s="1899" t="s">
        <v>3403</v>
      </c>
      <c r="D18" s="401"/>
      <c r="E18" s="1901" t="s">
        <v>3404</v>
      </c>
      <c r="F18" s="404"/>
      <c r="G18" s="1901" t="s">
        <v>3404</v>
      </c>
      <c r="H18" s="399"/>
      <c r="I18" s="1901" t="s">
        <v>3404</v>
      </c>
      <c r="J18" s="399"/>
      <c r="K18" s="564"/>
      <c r="L18" s="921"/>
      <c r="M18" s="912"/>
      <c r="N18" s="912"/>
      <c r="O18" s="920"/>
      <c r="P18" s="3682"/>
      <c r="Q18" s="1350"/>
      <c r="R18" s="703"/>
      <c r="S18" s="704"/>
      <c r="T18" s="703"/>
      <c r="U18" s="704"/>
      <c r="V18" s="703"/>
      <c r="W18" s="704"/>
      <c r="X18" s="1353"/>
      <c r="Y18" s="3682"/>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1"/>
      <c r="M19" s="912"/>
      <c r="N19" s="912"/>
      <c r="O19" s="920"/>
      <c r="P19" s="3682"/>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1901" t="s">
        <v>3404</v>
      </c>
      <c r="D20" s="399"/>
      <c r="E20" s="1901" t="s">
        <v>3404</v>
      </c>
      <c r="F20" s="400"/>
      <c r="G20" s="1901" t="s">
        <v>3404</v>
      </c>
      <c r="H20" s="399"/>
      <c r="I20" s="1901" t="s">
        <v>3404</v>
      </c>
      <c r="J20" s="399"/>
      <c r="K20" s="564"/>
      <c r="L20" s="921"/>
      <c r="M20" s="912"/>
      <c r="N20" s="912"/>
      <c r="O20" s="920"/>
      <c r="P20" s="3682"/>
      <c r="Q20" s="1350"/>
      <c r="R20" s="703"/>
      <c r="S20" s="704"/>
      <c r="T20" s="703"/>
      <c r="U20" s="704"/>
      <c r="V20" s="703"/>
      <c r="W20" s="704"/>
      <c r="X20" s="1353"/>
      <c r="Y20" s="3682"/>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1"/>
      <c r="M21" s="912"/>
      <c r="N21" s="912"/>
      <c r="O21" s="920"/>
      <c r="P21" s="3682"/>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t="s">
        <v>3416</v>
      </c>
      <c r="D22" s="399"/>
      <c r="E22" s="1899" t="s">
        <v>3416</v>
      </c>
      <c r="F22" s="400"/>
      <c r="G22" s="1899" t="s">
        <v>3416</v>
      </c>
      <c r="H22" s="399"/>
      <c r="I22" s="1899" t="s">
        <v>3416</v>
      </c>
      <c r="J22" s="399"/>
      <c r="K22" s="1128"/>
      <c r="L22" s="921"/>
      <c r="M22" s="912"/>
      <c r="N22" s="912"/>
      <c r="O22" s="920"/>
      <c r="P22" s="3682"/>
      <c r="Q22" s="1350"/>
      <c r="R22" s="703"/>
      <c r="S22" s="704"/>
      <c r="T22" s="703"/>
      <c r="U22" s="704"/>
      <c r="V22" s="703"/>
      <c r="W22" s="704"/>
      <c r="X22" s="1353"/>
      <c r="Y22" s="3682"/>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1"/>
      <c r="M23" s="912"/>
      <c r="N23" s="912"/>
      <c r="O23" s="920"/>
      <c r="P23" s="3682"/>
      <c r="Q23" s="1350" t="str">
        <f>B23</f>
        <v>环境质量</v>
      </c>
      <c r="R23" s="703" t="s">
        <v>14</v>
      </c>
      <c r="S23" s="704">
        <f>F23</f>
        <v>100</v>
      </c>
      <c r="T23" s="703" t="s">
        <v>14</v>
      </c>
      <c r="U23" s="704">
        <f>H23</f>
        <v>100</v>
      </c>
      <c r="V23" s="703" t="s">
        <v>14</v>
      </c>
      <c r="W23" s="704">
        <f>J23</f>
        <v>100</v>
      </c>
      <c r="X23" s="1353"/>
      <c r="Y23" s="3682"/>
      <c r="Z23" s="1354" t="str">
        <f>Q23</f>
        <v>环境质量</v>
      </c>
      <c r="AA23" s="1351">
        <f t="shared" si="3"/>
        <v>1</v>
      </c>
      <c r="AB23" s="1351">
        <f t="shared" si="4"/>
        <v>1</v>
      </c>
      <c r="AC23" s="1351">
        <f t="shared" si="5"/>
        <v>1</v>
      </c>
    </row>
    <row r="24" spans="1:29" ht="15">
      <c r="A24" s="379"/>
      <c r="B24" s="1129"/>
      <c r="C24" s="398" t="s">
        <v>3404</v>
      </c>
      <c r="D24" s="399"/>
      <c r="E24" s="398" t="s">
        <v>3404</v>
      </c>
      <c r="F24" s="400"/>
      <c r="G24" s="398" t="s">
        <v>3404</v>
      </c>
      <c r="H24" s="399"/>
      <c r="I24" s="398" t="s">
        <v>3404</v>
      </c>
      <c r="J24" s="399"/>
      <c r="K24" s="564"/>
      <c r="L24" s="921"/>
      <c r="M24" s="912"/>
      <c r="N24" s="912"/>
      <c r="O24" s="920"/>
      <c r="P24" s="3682"/>
      <c r="Q24" s="1350"/>
      <c r="R24" s="703"/>
      <c r="S24" s="704"/>
      <c r="T24" s="703"/>
      <c r="U24" s="704"/>
      <c r="V24" s="703"/>
      <c r="W24" s="704"/>
      <c r="X24" s="1353"/>
      <c r="Y24" s="3682"/>
      <c r="Z24" s="1354"/>
      <c r="AA24" s="1351">
        <v>1</v>
      </c>
      <c r="AB24" s="1351">
        <v>1</v>
      </c>
      <c r="AC24" s="1351">
        <v>1</v>
      </c>
    </row>
    <row r="25" spans="1:29" ht="15">
      <c r="A25" s="358"/>
      <c r="B25" s="1131"/>
      <c r="C25" s="385"/>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82"/>
      <c r="Q25" s="1350">
        <f>B25</f>
        <v>0</v>
      </c>
      <c r="R25" s="703" t="s">
        <v>14</v>
      </c>
      <c r="S25" s="704">
        <f>F25</f>
        <v>100</v>
      </c>
      <c r="T25" s="703" t="s">
        <v>14</v>
      </c>
      <c r="U25" s="704">
        <f>H25</f>
        <v>100</v>
      </c>
      <c r="V25" s="703" t="s">
        <v>14</v>
      </c>
      <c r="W25" s="704">
        <f>J25</f>
        <v>100</v>
      </c>
      <c r="X25" s="1353"/>
      <c r="Y25" s="3682"/>
      <c r="Z25" s="1354">
        <f>Q25</f>
        <v>0</v>
      </c>
      <c r="AA25" s="1351">
        <f t="shared" si="3"/>
        <v>1</v>
      </c>
      <c r="AB25" s="1351">
        <f t="shared" si="4"/>
        <v>1</v>
      </c>
      <c r="AC25" s="1351">
        <f t="shared" si="5"/>
        <v>1</v>
      </c>
    </row>
    <row r="26" spans="1:29" ht="15">
      <c r="A26" s="379"/>
      <c r="B26" s="1131"/>
      <c r="C26" s="385"/>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82"/>
      <c r="Q26" s="1350">
        <f t="shared" ref="Q26:Q40" si="11">B26</f>
        <v>0</v>
      </c>
      <c r="R26" s="703" t="s">
        <v>14</v>
      </c>
      <c r="S26" s="704">
        <f>F26</f>
        <v>100</v>
      </c>
      <c r="T26" s="703" t="s">
        <v>14</v>
      </c>
      <c r="U26" s="704">
        <f>H26</f>
        <v>100</v>
      </c>
      <c r="V26" s="703" t="s">
        <v>14</v>
      </c>
      <c r="W26" s="704">
        <f>J26</f>
        <v>100</v>
      </c>
      <c r="X26" s="1353"/>
      <c r="Y26" s="3682"/>
      <c r="Z26" s="1354">
        <f>Q26</f>
        <v>0</v>
      </c>
      <c r="AA26" s="1351">
        <f t="shared" si="3"/>
        <v>1</v>
      </c>
      <c r="AB26" s="1351">
        <f t="shared" si="4"/>
        <v>1</v>
      </c>
      <c r="AC26" s="1351">
        <f t="shared" si="5"/>
        <v>1</v>
      </c>
    </row>
    <row r="27" spans="1:29" s="108" customFormat="1" ht="15">
      <c r="A27" s="382"/>
      <c r="B27" s="1131"/>
      <c r="C27" s="385"/>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82"/>
      <c r="Q27" s="1341">
        <f t="shared" si="11"/>
        <v>0</v>
      </c>
      <c r="R27" s="699" t="s">
        <v>14</v>
      </c>
      <c r="S27" s="700">
        <f>F27</f>
        <v>100</v>
      </c>
      <c r="T27" s="699" t="s">
        <v>14</v>
      </c>
      <c r="U27" s="700">
        <f>H27</f>
        <v>100</v>
      </c>
      <c r="V27" s="699" t="s">
        <v>14</v>
      </c>
      <c r="W27" s="700">
        <f>J27</f>
        <v>100</v>
      </c>
      <c r="X27" s="701"/>
      <c r="Y27" s="3682"/>
      <c r="Z27" s="52">
        <f>Q27</f>
        <v>0</v>
      </c>
      <c r="AA27" s="1351">
        <f>D27/F27</f>
        <v>1</v>
      </c>
      <c r="AB27" s="1351">
        <f>D27/H27</f>
        <v>1</v>
      </c>
      <c r="AC27" s="1351">
        <f>D27/J27</f>
        <v>1</v>
      </c>
    </row>
    <row r="28" spans="1:29" ht="15.75" thickBot="1">
      <c r="A28" s="387"/>
      <c r="B28" s="1131"/>
      <c r="C28" s="388"/>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82"/>
      <c r="Q28" s="1350">
        <f t="shared" si="11"/>
        <v>0</v>
      </c>
      <c r="R28" s="703" t="s">
        <v>14</v>
      </c>
      <c r="S28" s="704">
        <f t="shared" ref="S28:S40" si="12">F28</f>
        <v>100</v>
      </c>
      <c r="T28" s="703" t="s">
        <v>14</v>
      </c>
      <c r="U28" s="704">
        <f t="shared" ref="U28:U40" si="13">H28</f>
        <v>100</v>
      </c>
      <c r="V28" s="703" t="s">
        <v>14</v>
      </c>
      <c r="W28" s="704">
        <f t="shared" ref="W28:W40" si="14">J28</f>
        <v>100</v>
      </c>
      <c r="X28" s="1353"/>
      <c r="Y28" s="3682"/>
      <c r="Z28" s="1354">
        <f t="shared" ref="Z28:Z40" si="15">Q28</f>
        <v>0</v>
      </c>
      <c r="AA28" s="1351">
        <f t="shared" si="3"/>
        <v>1</v>
      </c>
      <c r="AB28" s="1351">
        <f t="shared" si="4"/>
        <v>1</v>
      </c>
      <c r="AC28" s="1351">
        <f t="shared" si="5"/>
        <v>1</v>
      </c>
    </row>
    <row r="29" spans="1:29" ht="28.5">
      <c r="A29" s="417" t="s">
        <v>1694</v>
      </c>
      <c r="B29" s="63" t="s">
        <v>1817</v>
      </c>
      <c r="C29" s="1965" t="s">
        <v>3417</v>
      </c>
      <c r="D29" s="418">
        <v>100</v>
      </c>
      <c r="E29" s="1965" t="s">
        <v>3417</v>
      </c>
      <c r="F29" s="412">
        <f>SUMIF(88:88,E29,89:89)-SUMIF(88:88,C29,89:89)+100</f>
        <v>100</v>
      </c>
      <c r="G29" s="1965" t="s">
        <v>3417</v>
      </c>
      <c r="H29" s="386">
        <f>SUMIF(88:88,G29,89:89)-SUMIF(88:88,C29,89:89)+100</f>
        <v>100</v>
      </c>
      <c r="I29" s="1965" t="s">
        <v>3417</v>
      </c>
      <c r="J29" s="418">
        <f>SUMIF(88:88,I29,89:89)-SUMIF(88:88,C29,89:89)+100</f>
        <v>100</v>
      </c>
      <c r="K29" s="561">
        <v>3</v>
      </c>
      <c r="L29" s="921"/>
      <c r="M29" s="912"/>
      <c r="N29" s="912"/>
      <c r="O29" s="920"/>
      <c r="P29" s="3701" t="s">
        <v>1696</v>
      </c>
      <c r="Q29" s="1350" t="str">
        <f t="shared" si="11"/>
        <v>建筑类型</v>
      </c>
      <c r="R29" s="703" t="s">
        <v>14</v>
      </c>
      <c r="S29" s="704">
        <f t="shared" si="12"/>
        <v>100</v>
      </c>
      <c r="T29" s="703" t="s">
        <v>14</v>
      </c>
      <c r="U29" s="704">
        <f t="shared" si="13"/>
        <v>100</v>
      </c>
      <c r="V29" s="703" t="s">
        <v>14</v>
      </c>
      <c r="W29" s="704">
        <f t="shared" si="14"/>
        <v>100</v>
      </c>
      <c r="X29" s="1353"/>
      <c r="Y29" s="3686" t="s">
        <v>1696</v>
      </c>
      <c r="Z29" s="1354" t="str">
        <f t="shared" si="15"/>
        <v>建筑类型</v>
      </c>
      <c r="AA29" s="1351">
        <f t="shared" si="3"/>
        <v>1</v>
      </c>
      <c r="AB29" s="1351">
        <f t="shared" si="4"/>
        <v>1</v>
      </c>
      <c r="AC29" s="1351">
        <f t="shared" si="5"/>
        <v>1</v>
      </c>
    </row>
    <row r="30" spans="1:29" s="422" customFormat="1" ht="15">
      <c r="A30" s="419"/>
      <c r="B30" s="375" t="s">
        <v>1697</v>
      </c>
      <c r="C30" s="420" t="e">
        <f>#REF!</f>
        <v>#REF!</v>
      </c>
      <c r="D30" s="127">
        <v>100</v>
      </c>
      <c r="E30" s="381">
        <v>1340</v>
      </c>
      <c r="F30" s="376" t="e">
        <f>LOOKUP(E30,91:91,92:92)-LOOKUP(C30,91:91,92:92)+100</f>
        <v>#REF!</v>
      </c>
      <c r="G30" s="380">
        <v>2195.38</v>
      </c>
      <c r="H30" s="127" t="e">
        <f>LOOKUP(G30,91:91,92:92)-LOOKUP(C30,91:91,92:92)+100</f>
        <v>#REF!</v>
      </c>
      <c r="I30" s="380">
        <v>2400</v>
      </c>
      <c r="J30" s="127" t="e">
        <f>LOOKUP(I30,91:91,92:92)-LOOKUP(C30,91:91,92:92)+100</f>
        <v>#REF!</v>
      </c>
      <c r="K30" s="562"/>
      <c r="L30" s="919"/>
      <c r="M30" s="922"/>
      <c r="N30" s="922"/>
      <c r="O30" s="923"/>
      <c r="P30" s="3686"/>
      <c r="Q30" s="705" t="str">
        <f t="shared" si="11"/>
        <v>项目建筑规模</v>
      </c>
      <c r="R30" s="706" t="s">
        <v>14</v>
      </c>
      <c r="S30" s="707" t="e">
        <f t="shared" si="12"/>
        <v>#REF!</v>
      </c>
      <c r="T30" s="706" t="s">
        <v>14</v>
      </c>
      <c r="U30" s="707" t="e">
        <f t="shared" si="13"/>
        <v>#REF!</v>
      </c>
      <c r="V30" s="706" t="s">
        <v>14</v>
      </c>
      <c r="W30" s="707" t="e">
        <f t="shared" si="14"/>
        <v>#REF!</v>
      </c>
      <c r="X30" s="708"/>
      <c r="Y30" s="3686"/>
      <c r="Z30" s="709" t="str">
        <f t="shared" si="15"/>
        <v>项目建筑规模</v>
      </c>
      <c r="AA30" s="1351" t="e">
        <f t="shared" si="3"/>
        <v>#REF!</v>
      </c>
      <c r="AB30" s="1351" t="e">
        <f t="shared" si="4"/>
        <v>#REF!</v>
      </c>
      <c r="AC30" s="1351" t="e">
        <f t="shared" si="5"/>
        <v>#REF!</v>
      </c>
    </row>
    <row r="31" spans="1:29" ht="15">
      <c r="A31" s="423"/>
      <c r="B31" s="375" t="s">
        <v>1698</v>
      </c>
      <c r="C31" s="411" t="s">
        <v>3391</v>
      </c>
      <c r="D31" s="386">
        <v>100</v>
      </c>
      <c r="E31" s="411" t="s">
        <v>3391</v>
      </c>
      <c r="F31" s="412">
        <f>SUMIF(93:93,E31,94:94)-SUMIF(93:93,C31,94:94)+100</f>
        <v>100</v>
      </c>
      <c r="G31" s="411" t="s">
        <v>3391</v>
      </c>
      <c r="H31" s="386">
        <f>SUMIF(93:93,G31,94:94)-SUMIF(93:93,C31,94:94)+100</f>
        <v>100</v>
      </c>
      <c r="I31" s="411" t="s">
        <v>3391</v>
      </c>
      <c r="J31" s="386">
        <f>SUMIF(93:93,I31,94:94)-SUMIF(93:93,C31,94:94)+100</f>
        <v>100</v>
      </c>
      <c r="K31" s="561">
        <v>2</v>
      </c>
      <c r="L31" s="921"/>
      <c r="M31" s="912"/>
      <c r="N31" s="912"/>
      <c r="O31" s="920"/>
      <c r="P31" s="3686"/>
      <c r="Q31" s="1350" t="str">
        <f t="shared" si="11"/>
        <v>建筑结构</v>
      </c>
      <c r="R31" s="703" t="s">
        <v>14</v>
      </c>
      <c r="S31" s="704">
        <f t="shared" si="12"/>
        <v>100</v>
      </c>
      <c r="T31" s="703" t="s">
        <v>14</v>
      </c>
      <c r="U31" s="704">
        <f t="shared" si="13"/>
        <v>100</v>
      </c>
      <c r="V31" s="703" t="s">
        <v>14</v>
      </c>
      <c r="W31" s="704">
        <f t="shared" si="14"/>
        <v>100</v>
      </c>
      <c r="X31" s="1353"/>
      <c r="Y31" s="3686"/>
      <c r="Z31" s="1354" t="str">
        <f t="shared" si="15"/>
        <v>建筑结构</v>
      </c>
      <c r="AA31" s="1351">
        <f t="shared" si="3"/>
        <v>1</v>
      </c>
      <c r="AB31" s="1351">
        <f t="shared" si="4"/>
        <v>1</v>
      </c>
      <c r="AC31" s="1351">
        <f t="shared" si="5"/>
        <v>1</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2</v>
      </c>
      <c r="L32" s="921"/>
      <c r="M32" s="912"/>
      <c r="N32" s="912"/>
      <c r="O32" s="920"/>
      <c r="P32" s="3686"/>
      <c r="Q32" s="1350" t="str">
        <f t="shared" si="11"/>
        <v>公共部分装修</v>
      </c>
      <c r="R32" s="703" t="s">
        <v>14</v>
      </c>
      <c r="S32" s="704">
        <f t="shared" si="12"/>
        <v>100</v>
      </c>
      <c r="T32" s="703" t="s">
        <v>14</v>
      </c>
      <c r="U32" s="704">
        <f t="shared" si="13"/>
        <v>100</v>
      </c>
      <c r="V32" s="703" t="s">
        <v>14</v>
      </c>
      <c r="W32" s="704">
        <f t="shared" si="14"/>
        <v>100</v>
      </c>
      <c r="X32" s="1353"/>
      <c r="Y32" s="3686"/>
      <c r="Z32" s="1354" t="str">
        <f t="shared" si="15"/>
        <v>公共部分装修</v>
      </c>
      <c r="AA32" s="1351">
        <f t="shared" si="3"/>
        <v>1</v>
      </c>
      <c r="AB32" s="1351">
        <f t="shared" si="4"/>
        <v>1</v>
      </c>
      <c r="AC32" s="1351">
        <f t="shared" si="5"/>
        <v>1</v>
      </c>
    </row>
    <row r="33" spans="1:29" ht="15">
      <c r="A33" s="423"/>
      <c r="B33" s="375" t="s">
        <v>1786</v>
      </c>
      <c r="C33" s="425">
        <v>0.9</v>
      </c>
      <c r="D33" s="386">
        <v>100</v>
      </c>
      <c r="E33" s="425">
        <v>0.9</v>
      </c>
      <c r="F33" s="412">
        <f>LOOKUP(E33,98:98,99:99)-LOOKUP(C33,98:98,99:99)+100</f>
        <v>100</v>
      </c>
      <c r="G33" s="425">
        <v>0.9</v>
      </c>
      <c r="H33" s="412">
        <f>LOOKUP(G33,98:98,99:99)-LOOKUP(C33,98:98,99:99)+100</f>
        <v>100</v>
      </c>
      <c r="I33" s="425">
        <v>0.9</v>
      </c>
      <c r="J33" s="386">
        <f>LOOKUP(I33,98:98,99:99)-LOOKUP(C33,98:98,99:99)+100</f>
        <v>100</v>
      </c>
      <c r="K33" s="561">
        <v>1</v>
      </c>
      <c r="L33" s="921"/>
      <c r="M33" s="912"/>
      <c r="N33" s="912"/>
      <c r="O33" s="920"/>
      <c r="P33" s="3686"/>
      <c r="Q33" s="1350" t="str">
        <f t="shared" si="11"/>
        <v>成新度</v>
      </c>
      <c r="R33" s="703" t="s">
        <v>14</v>
      </c>
      <c r="S33" s="704">
        <f t="shared" si="12"/>
        <v>100</v>
      </c>
      <c r="T33" s="703" t="s">
        <v>14</v>
      </c>
      <c r="U33" s="704">
        <f t="shared" si="13"/>
        <v>100</v>
      </c>
      <c r="V33" s="703" t="s">
        <v>14</v>
      </c>
      <c r="W33" s="704">
        <f t="shared" si="14"/>
        <v>100</v>
      </c>
      <c r="X33" s="1353"/>
      <c r="Y33" s="3686"/>
      <c r="Z33" s="1354" t="str">
        <f t="shared" si="15"/>
        <v>成新度</v>
      </c>
      <c r="AA33" s="1351">
        <f t="shared" si="3"/>
        <v>1</v>
      </c>
      <c r="AB33" s="1351">
        <f t="shared" si="4"/>
        <v>1</v>
      </c>
      <c r="AC33" s="1351">
        <f t="shared" si="5"/>
        <v>1</v>
      </c>
    </row>
    <row r="34" spans="1:29" s="108" customFormat="1" ht="15">
      <c r="A34" s="424"/>
      <c r="B34" s="375" t="s">
        <v>1819</v>
      </c>
      <c r="C34" s="411" t="s">
        <v>3427</v>
      </c>
      <c r="D34" s="127">
        <v>100</v>
      </c>
      <c r="E34" s="411" t="s">
        <v>3427</v>
      </c>
      <c r="F34" s="412">
        <f>SUMIF(100:100,E34,101:101)-SUMIF(100:100,C34,101:101)+100</f>
        <v>100</v>
      </c>
      <c r="G34" s="411" t="s">
        <v>3427</v>
      </c>
      <c r="H34" s="386">
        <f>SUMIF(100:100,G34,101:101)-SUMIF(100:100,C34,101:101)+100</f>
        <v>100</v>
      </c>
      <c r="I34" s="411" t="s">
        <v>3427</v>
      </c>
      <c r="J34" s="386">
        <f>SUMIF(100:100,I34,101:101)-SUMIF(100:100,C34,101:101)+100</f>
        <v>100</v>
      </c>
      <c r="K34" s="561">
        <v>2</v>
      </c>
      <c r="L34" s="913"/>
      <c r="M34" s="914"/>
      <c r="N34" s="914"/>
      <c r="O34" s="915"/>
      <c r="P34" s="3686"/>
      <c r="Q34" s="1341" t="str">
        <f t="shared" si="11"/>
        <v>物业管理</v>
      </c>
      <c r="R34" s="699" t="s">
        <v>14</v>
      </c>
      <c r="S34" s="700">
        <f t="shared" si="12"/>
        <v>100</v>
      </c>
      <c r="T34" s="699" t="s">
        <v>14</v>
      </c>
      <c r="U34" s="700">
        <f t="shared" si="13"/>
        <v>100</v>
      </c>
      <c r="V34" s="699" t="s">
        <v>14</v>
      </c>
      <c r="W34" s="700">
        <f t="shared" si="14"/>
        <v>100</v>
      </c>
      <c r="X34" s="701"/>
      <c r="Y34" s="3686"/>
      <c r="Z34" s="52" t="str">
        <f t="shared" si="15"/>
        <v>物业管理</v>
      </c>
      <c r="AA34" s="702">
        <f t="shared" si="3"/>
        <v>1</v>
      </c>
      <c r="AB34" s="702">
        <f t="shared" si="4"/>
        <v>1</v>
      </c>
      <c r="AC34" s="702">
        <f t="shared" si="5"/>
        <v>1</v>
      </c>
    </row>
    <row r="35" spans="1:29" ht="15">
      <c r="A35" s="423"/>
      <c r="B35" s="375" t="s">
        <v>1787</v>
      </c>
      <c r="C35" s="411" t="s">
        <v>3430</v>
      </c>
      <c r="D35" s="386">
        <v>100</v>
      </c>
      <c r="E35" s="411" t="s">
        <v>3430</v>
      </c>
      <c r="F35" s="412">
        <f>SUMIF(102:102,E35,103:103)-SUMIF(102:102,C35,103:103)+100</f>
        <v>100</v>
      </c>
      <c r="G35" s="411" t="s">
        <v>3430</v>
      </c>
      <c r="H35" s="386">
        <f>SUMIF(102:102,G35,103:103)-SUMIF(102:102,C35,103:103)+100</f>
        <v>100</v>
      </c>
      <c r="I35" s="411" t="s">
        <v>3430</v>
      </c>
      <c r="J35" s="386">
        <f>SUMIF(102:102,I35,103:103)-SUMIF(102:102,C35,103:103)+100</f>
        <v>100</v>
      </c>
      <c r="K35" s="561">
        <v>1</v>
      </c>
      <c r="L35" s="921"/>
      <c r="M35" s="912"/>
      <c r="N35" s="912"/>
      <c r="O35" s="920"/>
      <c r="P35" s="3686" t="s">
        <v>1696</v>
      </c>
      <c r="Q35" s="1350" t="str">
        <f t="shared" si="11"/>
        <v>市政基础设施</v>
      </c>
      <c r="R35" s="703" t="s">
        <v>14</v>
      </c>
      <c r="S35" s="704">
        <f t="shared" si="12"/>
        <v>100</v>
      </c>
      <c r="T35" s="703" t="s">
        <v>14</v>
      </c>
      <c r="U35" s="704">
        <f t="shared" si="13"/>
        <v>100</v>
      </c>
      <c r="V35" s="703" t="s">
        <v>14</v>
      </c>
      <c r="W35" s="704">
        <f t="shared" si="14"/>
        <v>100</v>
      </c>
      <c r="X35" s="1353"/>
      <c r="Y35" s="3686" t="s">
        <v>1696</v>
      </c>
      <c r="Z35" s="1354" t="str">
        <f t="shared" si="15"/>
        <v>市政基础设施</v>
      </c>
      <c r="AA35" s="1351">
        <f t="shared" si="3"/>
        <v>1</v>
      </c>
      <c r="AB35" s="1351">
        <f t="shared" si="4"/>
        <v>1</v>
      </c>
      <c r="AC35" s="1351">
        <f t="shared" si="5"/>
        <v>1</v>
      </c>
    </row>
    <row r="36" spans="1:29" ht="15">
      <c r="A36" s="423"/>
      <c r="B36" s="375" t="s">
        <v>1792</v>
      </c>
      <c r="C36" s="411" t="s">
        <v>3424</v>
      </c>
      <c r="D36" s="386">
        <v>100</v>
      </c>
      <c r="E36" s="411" t="s">
        <v>3424</v>
      </c>
      <c r="F36" s="412">
        <f>SUMIF(104:104,E36,105:105)-SUMIF(104:104,C36,105:105)+100</f>
        <v>100</v>
      </c>
      <c r="G36" s="411" t="s">
        <v>3420</v>
      </c>
      <c r="H36" s="386">
        <f>SUMIF(104:104,G36,105:105)-SUMIF(104:104,C36,105:105)+100</f>
        <v>104</v>
      </c>
      <c r="I36" s="411" t="s">
        <v>3424</v>
      </c>
      <c r="J36" s="386">
        <f>SUMIF(104:104,I36,105:105)-SUMIF(104:104,C36,105:105)+100</f>
        <v>100</v>
      </c>
      <c r="K36" s="561">
        <v>2</v>
      </c>
      <c r="L36" s="921"/>
      <c r="M36" s="912"/>
      <c r="N36" s="912"/>
      <c r="O36" s="920"/>
      <c r="P36" s="3686"/>
      <c r="Q36" s="1350" t="str">
        <f t="shared" si="11"/>
        <v>内部装修</v>
      </c>
      <c r="R36" s="703" t="s">
        <v>14</v>
      </c>
      <c r="S36" s="704">
        <f t="shared" si="12"/>
        <v>100</v>
      </c>
      <c r="T36" s="703" t="s">
        <v>14</v>
      </c>
      <c r="U36" s="704">
        <f t="shared" si="13"/>
        <v>104</v>
      </c>
      <c r="V36" s="703" t="s">
        <v>14</v>
      </c>
      <c r="W36" s="704">
        <f t="shared" si="14"/>
        <v>100</v>
      </c>
      <c r="X36" s="1353"/>
      <c r="Y36" s="3686"/>
      <c r="Z36" s="1354" t="str">
        <f t="shared" si="15"/>
        <v>内部装修</v>
      </c>
      <c r="AA36" s="1351">
        <f t="shared" si="3"/>
        <v>1</v>
      </c>
      <c r="AB36" s="1351">
        <f t="shared" si="4"/>
        <v>0.96153846153846156</v>
      </c>
      <c r="AC36" s="1351">
        <f t="shared" si="5"/>
        <v>1</v>
      </c>
    </row>
    <row r="37" spans="1:29" ht="15">
      <c r="A37" s="423"/>
      <c r="B37" s="375" t="s">
        <v>1828</v>
      </c>
      <c r="C37" s="565" t="s">
        <v>3402</v>
      </c>
      <c r="D37" s="386">
        <v>100</v>
      </c>
      <c r="E37" s="565" t="s">
        <v>3402</v>
      </c>
      <c r="F37" s="412">
        <f>SUMIF(106:106,E37,107:107)-SUMIF(106:106,C37,107:107)+100</f>
        <v>100</v>
      </c>
      <c r="G37" s="565" t="s">
        <v>3402</v>
      </c>
      <c r="H37" s="386">
        <f>SUMIF(106:106,G37,107:107)-SUMIF(106:106,C37,107:107)+100</f>
        <v>100</v>
      </c>
      <c r="I37" s="565" t="s">
        <v>3402</v>
      </c>
      <c r="J37" s="386">
        <f>SUMIF(106:106,I37,107:107)-SUMIF(106:106,C37,107:107)+100</f>
        <v>100</v>
      </c>
      <c r="K37" s="561">
        <v>2</v>
      </c>
      <c r="L37" s="921"/>
      <c r="M37" s="912"/>
      <c r="N37" s="912"/>
      <c r="O37" s="920"/>
      <c r="P37" s="3686"/>
      <c r="Q37" s="1350" t="str">
        <f t="shared" si="11"/>
        <v>内部装修状况</v>
      </c>
      <c r="R37" s="703" t="s">
        <v>14</v>
      </c>
      <c r="S37" s="704">
        <f t="shared" si="12"/>
        <v>100</v>
      </c>
      <c r="T37" s="703" t="s">
        <v>14</v>
      </c>
      <c r="U37" s="704">
        <f t="shared" si="13"/>
        <v>100</v>
      </c>
      <c r="V37" s="703" t="s">
        <v>14</v>
      </c>
      <c r="W37" s="704">
        <f t="shared" si="14"/>
        <v>100</v>
      </c>
      <c r="X37" s="1353"/>
      <c r="Y37" s="3686"/>
      <c r="Z37" s="1354" t="str">
        <f t="shared" si="15"/>
        <v>内部装修状况</v>
      </c>
      <c r="AA37" s="1351">
        <f t="shared" si="3"/>
        <v>1</v>
      </c>
      <c r="AB37" s="1351">
        <f t="shared" si="4"/>
        <v>1</v>
      </c>
      <c r="AC37" s="1351">
        <f t="shared" si="5"/>
        <v>1</v>
      </c>
    </row>
    <row r="38" spans="1:29" s="422" customFormat="1" ht="15">
      <c r="A38" s="419"/>
      <c r="B38" s="1131"/>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86"/>
      <c r="Q38" s="705">
        <f t="shared" si="11"/>
        <v>0</v>
      </c>
      <c r="R38" s="706" t="s">
        <v>14</v>
      </c>
      <c r="S38" s="707">
        <f t="shared" si="12"/>
        <v>100</v>
      </c>
      <c r="T38" s="706" t="s">
        <v>14</v>
      </c>
      <c r="U38" s="707">
        <f t="shared" si="13"/>
        <v>100</v>
      </c>
      <c r="V38" s="706" t="s">
        <v>14</v>
      </c>
      <c r="W38" s="707">
        <f t="shared" si="14"/>
        <v>100</v>
      </c>
      <c r="X38" s="708"/>
      <c r="Y38" s="3686"/>
      <c r="Z38" s="709">
        <f t="shared" si="15"/>
        <v>0</v>
      </c>
      <c r="AA38" s="1351">
        <f t="shared" si="3"/>
        <v>1</v>
      </c>
      <c r="AB38" s="1351">
        <f t="shared" si="4"/>
        <v>1</v>
      </c>
      <c r="AC38" s="1351">
        <f t="shared" si="5"/>
        <v>1</v>
      </c>
    </row>
    <row r="39" spans="1:29" ht="15">
      <c r="A39" s="423"/>
      <c r="B39" s="1131"/>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86"/>
      <c r="Q39" s="1350">
        <f t="shared" si="11"/>
        <v>0</v>
      </c>
      <c r="R39" s="703" t="s">
        <v>14</v>
      </c>
      <c r="S39" s="704">
        <f t="shared" si="12"/>
        <v>100</v>
      </c>
      <c r="T39" s="703" t="s">
        <v>14</v>
      </c>
      <c r="U39" s="704">
        <f t="shared" si="13"/>
        <v>100</v>
      </c>
      <c r="V39" s="703" t="s">
        <v>14</v>
      </c>
      <c r="W39" s="704">
        <f t="shared" si="14"/>
        <v>100</v>
      </c>
      <c r="X39" s="1353"/>
      <c r="Y39" s="3686"/>
      <c r="Z39" s="1354">
        <f t="shared" si="15"/>
        <v>0</v>
      </c>
      <c r="AA39" s="1351">
        <f t="shared" si="3"/>
        <v>1</v>
      </c>
      <c r="AB39" s="1351">
        <f t="shared" si="4"/>
        <v>1</v>
      </c>
      <c r="AC39" s="1351">
        <f t="shared" si="5"/>
        <v>1</v>
      </c>
    </row>
    <row r="40" spans="1:29" ht="15.75" thickBot="1">
      <c r="A40" s="429"/>
      <c r="B40" s="1893"/>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87"/>
      <c r="Q40" s="1350">
        <f t="shared" si="11"/>
        <v>0</v>
      </c>
      <c r="R40" s="703" t="s">
        <v>14</v>
      </c>
      <c r="S40" s="704">
        <f t="shared" si="12"/>
        <v>100</v>
      </c>
      <c r="T40" s="703" t="s">
        <v>14</v>
      </c>
      <c r="U40" s="704">
        <f t="shared" si="13"/>
        <v>100</v>
      </c>
      <c r="V40" s="703" t="s">
        <v>14</v>
      </c>
      <c r="W40" s="704">
        <f t="shared" si="14"/>
        <v>100</v>
      </c>
      <c r="X40" s="1353"/>
      <c r="Y40" s="3687"/>
      <c r="Z40" s="1354">
        <f t="shared" si="15"/>
        <v>0</v>
      </c>
      <c r="AA40" s="1351">
        <f t="shared" si="3"/>
        <v>1</v>
      </c>
      <c r="AB40" s="1351">
        <f t="shared" si="4"/>
        <v>1</v>
      </c>
      <c r="AC40" s="1351">
        <f t="shared" si="5"/>
        <v>1</v>
      </c>
    </row>
    <row r="41" spans="1:29" ht="15">
      <c r="A41" s="430" t="s">
        <v>1708</v>
      </c>
      <c r="B41" s="431"/>
      <c r="C41" s="1152" t="s">
        <v>0</v>
      </c>
      <c r="D41" s="1153"/>
      <c r="E41" s="1154">
        <v>11940</v>
      </c>
      <c r="F41" s="1155"/>
      <c r="G41" s="1156">
        <v>10000</v>
      </c>
      <c r="H41" s="1157"/>
      <c r="I41" s="1156">
        <v>10000</v>
      </c>
      <c r="J41" s="1157"/>
      <c r="K41" s="712"/>
      <c r="L41" s="924"/>
      <c r="M41" s="925"/>
      <c r="N41" s="912"/>
      <c r="O41" s="925"/>
      <c r="P41" s="3688" t="str">
        <f>A41</f>
        <v>成交单价（元/平方米）</v>
      </c>
      <c r="Q41" s="3688"/>
      <c r="R41" s="3689">
        <f>E41</f>
        <v>11940</v>
      </c>
      <c r="S41" s="3689"/>
      <c r="T41" s="3689">
        <f>G41</f>
        <v>10000</v>
      </c>
      <c r="U41" s="3689"/>
      <c r="V41" s="3689">
        <f>I41</f>
        <v>10000</v>
      </c>
      <c r="W41" s="3689"/>
      <c r="X41" s="688"/>
      <c r="Y41" s="710"/>
      <c r="Z41" s="688"/>
      <c r="AA41" s="688"/>
      <c r="AB41" s="688"/>
      <c r="AC41" s="688"/>
    </row>
    <row r="42" spans="1:29" ht="15.75" thickBot="1">
      <c r="A42" s="437" t="s">
        <v>1793</v>
      </c>
      <c r="B42" s="438"/>
      <c r="C42" s="1158" t="e">
        <f>R43</f>
        <v>#REF!</v>
      </c>
      <c r="D42" s="2315" t="s">
        <v>2137</v>
      </c>
      <c r="E42" s="1159" t="e">
        <f>R42</f>
        <v>#REF!</v>
      </c>
      <c r="F42" s="2316"/>
      <c r="G42" s="1158" t="e">
        <f>T42</f>
        <v>#REF!</v>
      </c>
      <c r="H42" s="2316"/>
      <c r="I42" s="1159" t="e">
        <f>V42</f>
        <v>#REF!</v>
      </c>
      <c r="J42" s="2316"/>
      <c r="K42" s="2318">
        <f>F42+H42+J42</f>
        <v>0</v>
      </c>
      <c r="L42" s="924"/>
      <c r="M42" s="925"/>
      <c r="N42" s="912"/>
      <c r="O42" s="925"/>
      <c r="P42" s="3688" t="str">
        <f>A42</f>
        <v>比较价值（元/平方米）</v>
      </c>
      <c r="Q42" s="3688"/>
      <c r="R42" s="3689" t="e">
        <f>IF(F1="售价",ROUND(PRODUCT(R41,AA7:AA40),0),ROUND(PRODUCT(R41,AA7:AA40),1))</f>
        <v>#REF!</v>
      </c>
      <c r="S42" s="3689"/>
      <c r="T42" s="3689" t="e">
        <f>IF(F1="售价",ROUND(PRODUCT(T41,AB7:AB40),0),ROUND(PRODUCT(T41,AB7:AB40),1))</f>
        <v>#REF!</v>
      </c>
      <c r="U42" s="3689"/>
      <c r="V42" s="3689" t="e">
        <f>IF(F1="售价",ROUND(PRODUCT(V41,AC7:AC40),0),ROUND(PRODUCT(V41,AC7:AC40),1))</f>
        <v>#REF!</v>
      </c>
      <c r="W42" s="3689"/>
      <c r="X42" s="688"/>
      <c r="Y42" s="688"/>
      <c r="Z42" s="688"/>
      <c r="AA42" s="688"/>
      <c r="AB42" s="688"/>
      <c r="AC42" s="688"/>
    </row>
    <row r="43" spans="1:29" ht="15.75" thickBot="1">
      <c r="A43" s="441" t="s">
        <v>1794</v>
      </c>
      <c r="B43" s="442"/>
      <c r="C43" s="1161" t="e">
        <f>R43</f>
        <v>#REF!</v>
      </c>
      <c r="D43" s="1161"/>
      <c r="E43" s="1161"/>
      <c r="F43" s="1161"/>
      <c r="G43" s="1161"/>
      <c r="H43" s="1161"/>
      <c r="I43" s="1161"/>
      <c r="J43" s="1161"/>
      <c r="K43" s="713"/>
      <c r="L43" s="924"/>
      <c r="M43" s="925"/>
      <c r="N43" s="925"/>
      <c r="O43" s="925"/>
      <c r="P43" s="3702" t="str">
        <f>A43</f>
        <v>估价对象XX用房的比较价值（楼面单价，元/平方米）</v>
      </c>
      <c r="Q43" s="3703"/>
      <c r="R43" s="3704" t="e">
        <f>IF(F1="售价",ROUND(IF(D42="简单平均",AVERAGE(R42:V42),R42*F42+T42*H42+V42*J42),0),ROUND(IF(D42="简单平均",AVERAGE(R42:V42),R42*F42+T42*H42+V42*J42),1))</f>
        <v>#REF!</v>
      </c>
      <c r="S43" s="3704"/>
      <c r="T43" s="3704"/>
      <c r="U43" s="3704"/>
      <c r="V43" s="3704"/>
      <c r="W43" s="370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#REF!</v>
      </c>
      <c r="F46" s="449" t="e">
        <f>IF(OR(E46&gt;=0.3,E46&lt;=-0.3),"超过30%","")</f>
        <v>#REF!</v>
      </c>
      <c r="G46" s="448" t="e">
        <f>IF(G41&lt;G42,G42/G41-1,G41/G42-1)</f>
        <v>#REF!</v>
      </c>
      <c r="H46" s="449" t="e">
        <f>IF(OR(G46&gt;=0.3,G46&lt;=-0.3),"超过30%","")</f>
        <v>#REF!</v>
      </c>
      <c r="I46" s="448" t="e">
        <f>IF(I41&lt;I42,I42/I41-1,I41/I42-1)</f>
        <v>#REF!</v>
      </c>
      <c r="J46" s="449" t="e">
        <f>IF(OR(I46&gt;=0.3,I46&lt;=-0.3),"超过30%","")</f>
        <v>#REF!</v>
      </c>
      <c r="K46" s="2728"/>
      <c r="L46" s="887"/>
      <c r="M46" s="925"/>
      <c r="N46" s="925"/>
      <c r="O46" s="925"/>
    </row>
    <row r="47" spans="1:29" ht="13.5" customHeight="1">
      <c r="A47" s="2723"/>
      <c r="B47" s="2723"/>
      <c r="C47" s="446" t="s">
        <v>1796</v>
      </c>
      <c r="D47" s="450"/>
      <c r="E47" s="448" t="e">
        <f>IF(E42&lt;G42,G42/E42-1,E42/G42-1)</f>
        <v>#REF!</v>
      </c>
      <c r="F47" s="449" t="e">
        <f>IF(OR(E47&gt;=0.2,E47&lt;=-0.2),"超过20%","")</f>
        <v>#REF!</v>
      </c>
      <c r="G47" s="448" t="e">
        <f>IF(G42&lt;I42,I42/G42-1,G42/I42-1)</f>
        <v>#REF!</v>
      </c>
      <c r="H47" s="449" t="e">
        <f>IF(OR(G47&gt;=0.2,G47&lt;=-0.2),"超过20%","")</f>
        <v>#REF!</v>
      </c>
      <c r="I47" s="448" t="e">
        <f>IF(I42&lt;E42,E42/I42-1,I42/E42-1)</f>
        <v>#REF!</v>
      </c>
      <c r="J47" s="449" t="e">
        <f>IF(OR(I47&gt;=0.2,I47&lt;=-0.2),"超过20%","")</f>
        <v>#REF!</v>
      </c>
      <c r="K47" s="2728"/>
      <c r="L47" s="887"/>
      <c r="M47" s="925"/>
      <c r="N47" s="925"/>
      <c r="O47" s="925"/>
    </row>
    <row r="48" spans="1:29" s="451" customFormat="1" ht="13.5" customHeight="1">
      <c r="A48" s="2726"/>
      <c r="B48" s="2726"/>
      <c r="C48" s="446" t="s">
        <v>1797</v>
      </c>
      <c r="D48" s="450"/>
      <c r="E48" s="448">
        <f>IF(E41&lt;G41,G41/E41-1,E41/G41-1)</f>
        <v>0.19399999999999995</v>
      </c>
      <c r="F48" s="449" t="str">
        <f>IF(OR(E48&gt;=0.3,E48&lt;=-0.3),"超过30%","")</f>
        <v/>
      </c>
      <c r="G48" s="448">
        <f>IF(G41&lt;I41,I41/G41-1,G41/I41-1)</f>
        <v>0</v>
      </c>
      <c r="H48" s="449" t="str">
        <f>IF(OR(G48&gt;=0.3,G48&lt;=-0.3),"超过30%","")</f>
        <v/>
      </c>
      <c r="I48" s="448">
        <f>IF(I41&lt;E41,E41/I41-1,I41/E41-1)</f>
        <v>0.19399999999999995</v>
      </c>
      <c r="J48" s="449" t="str">
        <f>IF(OR(I48&gt;=0.3,I48&lt;=-0.3),"超过30%","")</f>
        <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3452" t="s">
        <v>3414</v>
      </c>
      <c r="E55" s="472"/>
      <c r="F55" s="472"/>
      <c r="G55" s="472"/>
      <c r="H55" s="472"/>
      <c r="I55" s="472"/>
      <c r="J55" s="472"/>
      <c r="K55" s="472"/>
      <c r="L55" s="473"/>
      <c r="M55" s="474"/>
      <c r="N55" s="930"/>
      <c r="O55" s="930"/>
      <c r="P55" s="475"/>
      <c r="Q55" s="453"/>
    </row>
    <row r="56" spans="1:17" s="108" customFormat="1" ht="15.75" thickBot="1">
      <c r="A56" s="470"/>
      <c r="B56" s="459"/>
      <c r="C56" s="587">
        <v>100</v>
      </c>
      <c r="D56" s="461">
        <v>103</v>
      </c>
      <c r="E56" s="461"/>
      <c r="F56" s="461"/>
      <c r="G56" s="461"/>
      <c r="H56" s="461"/>
      <c r="I56" s="461"/>
      <c r="J56" s="461"/>
      <c r="K56" s="461"/>
      <c r="L56" s="461"/>
      <c r="M56" s="463"/>
      <c r="N56" s="930"/>
      <c r="O56" s="930"/>
      <c r="P56" s="453"/>
      <c r="Q56" s="453"/>
    </row>
    <row r="57" spans="1:17">
      <c r="A57" s="476" t="s">
        <v>1719</v>
      </c>
      <c r="B57" s="477" t="s">
        <v>1685</v>
      </c>
      <c r="C57" s="478" t="str">
        <f>C9</f>
        <v>工业</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2"/>
      <c r="O79" s="932"/>
      <c r="P79" s="42"/>
      <c r="Q79" s="453"/>
    </row>
    <row r="80" spans="1:17" s="108" customFormat="1" ht="15.75" thickTop="1">
      <c r="A80" s="528"/>
      <c r="B80" s="487">
        <f>B25</f>
        <v>0</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0</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0</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0</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3453" t="s">
        <v>3418</v>
      </c>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2"/>
      <c r="O89" s="932"/>
      <c r="P89" s="42"/>
      <c r="Q89" s="453"/>
    </row>
    <row r="90" spans="1:17" ht="29.25" thickTop="1">
      <c r="A90" s="483"/>
      <c r="B90" s="487" t="s">
        <v>1737</v>
      </c>
      <c r="C90" s="527" t="str">
        <f>C91&amp;"(含)"&amp;"-"&amp;D91</f>
        <v>1000(含)-1500</v>
      </c>
      <c r="D90" s="527" t="str">
        <f t="shared" ref="D90:L90" si="20">D91&amp;"(含)"&amp;"-"&amp;E91</f>
        <v>1500(含)-2000</v>
      </c>
      <c r="E90" s="527" t="str">
        <f t="shared" si="20"/>
        <v>2000(含)-2500</v>
      </c>
      <c r="F90" s="527" t="str">
        <f t="shared" si="20"/>
        <v>2500(含)-3000</v>
      </c>
      <c r="G90" s="527" t="str">
        <f t="shared" si="20"/>
        <v>3000(含)-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v>1000</v>
      </c>
      <c r="D91" s="544">
        <v>1500</v>
      </c>
      <c r="E91" s="544">
        <v>2000</v>
      </c>
      <c r="F91" s="544">
        <v>2500</v>
      </c>
      <c r="G91" s="544">
        <v>3000</v>
      </c>
      <c r="H91" s="544"/>
      <c r="I91" s="544"/>
      <c r="J91" s="545"/>
      <c r="K91" s="545"/>
      <c r="L91" s="546"/>
      <c r="M91" s="547"/>
      <c r="N91" s="933"/>
      <c r="O91" s="933"/>
      <c r="P91" s="507"/>
      <c r="Q91" s="508"/>
    </row>
    <row r="92" spans="1:17" s="422" customFormat="1" ht="15.75" thickBot="1">
      <c r="A92" s="502"/>
      <c r="B92" s="492"/>
      <c r="C92" s="509">
        <v>100</v>
      </c>
      <c r="D92" s="485">
        <f>C92-2</f>
        <v>98</v>
      </c>
      <c r="E92" s="485">
        <f t="shared" ref="E92:G92" si="21">D92-2</f>
        <v>96</v>
      </c>
      <c r="F92" s="485">
        <f t="shared" si="21"/>
        <v>94</v>
      </c>
      <c r="G92" s="485">
        <f t="shared" si="21"/>
        <v>92</v>
      </c>
      <c r="H92" s="485"/>
      <c r="I92" s="485"/>
      <c r="J92" s="485"/>
      <c r="K92" s="485"/>
      <c r="L92" s="485"/>
      <c r="M92" s="486"/>
      <c r="N92" s="932"/>
      <c r="O92" s="932"/>
      <c r="P92" s="507"/>
      <c r="Q92" s="508"/>
    </row>
    <row r="93" spans="1:17" ht="15" thickTop="1">
      <c r="A93" s="548"/>
      <c r="B93" s="487" t="s">
        <v>1738</v>
      </c>
      <c r="C93" s="3454" t="s">
        <v>3419</v>
      </c>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2"/>
      <c r="O94" s="932"/>
      <c r="P94" s="42"/>
      <c r="Q94" s="453"/>
    </row>
    <row r="95" spans="1:17" ht="15" thickTop="1">
      <c r="A95" s="548"/>
      <c r="B95" s="487" t="s">
        <v>1740</v>
      </c>
      <c r="C95" s="3454" t="s">
        <v>3421</v>
      </c>
      <c r="D95" s="3454" t="s">
        <v>3423</v>
      </c>
      <c r="E95" s="3454" t="s">
        <v>3425</v>
      </c>
      <c r="F95" s="3455" t="s">
        <v>3426</v>
      </c>
      <c r="G95" s="532"/>
      <c r="H95" s="532"/>
      <c r="I95" s="532"/>
      <c r="J95" s="532"/>
      <c r="K95" s="533"/>
      <c r="L95" s="534"/>
      <c r="M95" s="535"/>
      <c r="N95" s="931"/>
      <c r="O95" s="931"/>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2"/>
      <c r="O99" s="932"/>
      <c r="P99" s="42"/>
      <c r="Q99" s="453"/>
    </row>
    <row r="100" spans="1:17" s="422" customFormat="1" ht="15" thickTop="1">
      <c r="A100" s="542"/>
      <c r="B100" s="487" t="s">
        <v>1741</v>
      </c>
      <c r="C100" s="3454" t="s">
        <v>3428</v>
      </c>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507"/>
      <c r="Q101" s="508"/>
    </row>
    <row r="102" spans="1:17" ht="15" thickTop="1">
      <c r="A102" s="548"/>
      <c r="B102" s="487" t="s">
        <v>1742</v>
      </c>
      <c r="C102" s="503" t="s">
        <v>3416</v>
      </c>
      <c r="D102" s="503" t="s">
        <v>3429</v>
      </c>
      <c r="E102" s="503" t="s">
        <v>3430</v>
      </c>
      <c r="F102" s="503" t="s">
        <v>3431</v>
      </c>
      <c r="G102" s="503" t="s">
        <v>3432</v>
      </c>
      <c r="H102" s="532"/>
      <c r="I102" s="532"/>
      <c r="J102" s="532"/>
      <c r="K102" s="533"/>
      <c r="L102" s="534"/>
      <c r="M102" s="535"/>
      <c r="N102" s="931"/>
      <c r="O102" s="931"/>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2"/>
      <c r="O103" s="932"/>
      <c r="P103" s="42"/>
      <c r="Q103" s="453"/>
    </row>
    <row r="104" spans="1:17" ht="15" thickTop="1">
      <c r="A104" s="548"/>
      <c r="B104" s="487" t="s">
        <v>1744</v>
      </c>
      <c r="C104" s="3454" t="s">
        <v>3421</v>
      </c>
      <c r="D104" s="3454" t="s">
        <v>3423</v>
      </c>
      <c r="E104" s="3454" t="s">
        <v>3425</v>
      </c>
      <c r="F104" s="3455" t="s">
        <v>3426</v>
      </c>
      <c r="G104" s="503"/>
      <c r="H104" s="532"/>
      <c r="I104" s="532"/>
      <c r="J104" s="532"/>
      <c r="K104" s="533"/>
      <c r="L104" s="534"/>
      <c r="M104" s="535"/>
      <c r="N104" s="931"/>
      <c r="O104" s="931"/>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2"/>
      <c r="O107" s="932"/>
      <c r="P107" s="42"/>
      <c r="Q107" s="453"/>
    </row>
    <row r="108" spans="1:17" s="422" customFormat="1" ht="15" thickTop="1">
      <c r="A108" s="542"/>
      <c r="B108" s="487">
        <f>B38</f>
        <v>0</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0</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0</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46" priority="20" stopIfTrue="1" operator="containsText" text="超过">
      <formula>NOT(ISERROR(SEARCH("超过",F46)))</formula>
    </cfRule>
  </conditionalFormatting>
  <conditionalFormatting sqref="H48">
    <cfRule type="containsText" dxfId="145" priority="19" stopIfTrue="1" operator="containsText" text="超过">
      <formula>NOT(ISERROR(SEARCH("超过",H48)))</formula>
    </cfRule>
  </conditionalFormatting>
  <conditionalFormatting sqref="F48">
    <cfRule type="containsText" dxfId="144" priority="18" stopIfTrue="1" operator="containsText" text="超过">
      <formula>NOT(ISERROR(SEARCH("超过",F48)))</formula>
    </cfRule>
  </conditionalFormatting>
  <conditionalFormatting sqref="F47 H47">
    <cfRule type="containsText" dxfId="143" priority="17" stopIfTrue="1" operator="containsText" text="超过">
      <formula>NOT(ISERROR(SEARCH("超过",F47)))</formula>
    </cfRule>
  </conditionalFormatting>
  <conditionalFormatting sqref="E46">
    <cfRule type="expression" dxfId="142" priority="16" stopIfTrue="1">
      <formula>$F$46="超过30%"</formula>
    </cfRule>
  </conditionalFormatting>
  <conditionalFormatting sqref="E47">
    <cfRule type="expression" dxfId="141" priority="15" stopIfTrue="1">
      <formula>$F$47="超过20%"</formula>
    </cfRule>
  </conditionalFormatting>
  <conditionalFormatting sqref="E48">
    <cfRule type="expression" dxfId="140" priority="14" stopIfTrue="1">
      <formula>$F$48="超过30%"</formula>
    </cfRule>
  </conditionalFormatting>
  <conditionalFormatting sqref="G48">
    <cfRule type="expression" dxfId="139" priority="13" stopIfTrue="1">
      <formula>$H$48="超过30%"</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J46">
    <cfRule type="containsText" dxfId="136" priority="10" stopIfTrue="1" operator="containsText" text="超过">
      <formula>NOT(ISERROR(SEARCH("超过",J46)))</formula>
    </cfRule>
  </conditionalFormatting>
  <conditionalFormatting sqref="J48">
    <cfRule type="containsText" dxfId="135" priority="9" stopIfTrue="1" operator="containsText" text="超过">
      <formula>NOT(ISERROR(SEARCH("超过",J48)))</formula>
    </cfRule>
  </conditionalFormatting>
  <conditionalFormatting sqref="J47">
    <cfRule type="containsText" dxfId="134" priority="8" stopIfTrue="1" operator="containsText" text="超过">
      <formula>NOT(ISERROR(SEARCH("超过",J47)))</formula>
    </cfRule>
  </conditionalFormatting>
  <conditionalFormatting sqref="I46">
    <cfRule type="expression" dxfId="133" priority="7" stopIfTrue="1">
      <formula>$J$46="超过30%"</formula>
    </cfRule>
  </conditionalFormatting>
  <conditionalFormatting sqref="I47">
    <cfRule type="expression" dxfId="132" priority="6" stopIfTrue="1">
      <formula>$J$47="超过20%"</formula>
    </cfRule>
  </conditionalFormatting>
  <conditionalFormatting sqref="I48">
    <cfRule type="expression" dxfId="131" priority="5" stopIfTrue="1">
      <formula>$J$48="超过30%"</formula>
    </cfRule>
  </conditionalFormatting>
  <conditionalFormatting sqref="F42">
    <cfRule type="expression" dxfId="130" priority="4">
      <formula>$D$42="简单平均"</formula>
    </cfRule>
  </conditionalFormatting>
  <conditionalFormatting sqref="H42">
    <cfRule type="expression" dxfId="129" priority="3">
      <formula>$D$42="简单平均"</formula>
    </cfRule>
  </conditionalFormatting>
  <conditionalFormatting sqref="J42">
    <cfRule type="expression" dxfId="128" priority="2">
      <formula>$D$42="简单平均"</formula>
    </cfRule>
  </conditionalFormatting>
  <conditionalFormatting sqref="F7:F40 H7:H40 J7:J40">
    <cfRule type="cellIs" dxfId="12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20" zoomScale="85" zoomScaleNormal="80" zoomScaleSheetLayoutView="85" workbookViewId="0">
      <selection activeCell="D61" sqref="D61:D6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176.09</v>
      </c>
      <c r="E1" s="1993"/>
      <c r="F1" s="1993"/>
      <c r="G1" s="1993"/>
      <c r="H1" s="1993"/>
      <c r="I1" s="1993"/>
      <c r="J1" s="1993"/>
      <c r="K1" s="1117"/>
      <c r="L1" s="1994" t="s">
        <v>1928</v>
      </c>
      <c r="M1" s="861">
        <f>SUMPRODUCT((区片价!B5:B9=I2)*(区片价!C3:G3=E2)*(区片价!C5:G9))</f>
        <v>34690</v>
      </c>
      <c r="N1" s="864">
        <f>SUMPRODUCT((因素修正幅度!B5:B9=I2)*(因素修正幅度!C3:G3=E2)*(因素修正幅度!C5:G9))</f>
        <v>9.7000000000000003E-2</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570</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Ⅰ—03</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1.5206</v>
      </c>
      <c r="T2" s="3359">
        <f t="shared" ref="T2:T16" si="0">ROUND($C$5*$C$22*$C$23*$C$24*S2*$C$28,0)</f>
        <v>52462</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32370</v>
      </c>
      <c r="C3" s="1997" t="s">
        <v>1941</v>
      </c>
      <c r="D3" s="1998" t="s">
        <v>1942</v>
      </c>
      <c r="E3" s="3418" t="s">
        <v>3439</v>
      </c>
      <c r="F3" s="2002" t="s">
        <v>3394</v>
      </c>
      <c r="G3" s="750">
        <f>IF(F3="宗地容积率",'数据-汇总表'!I4,IF(F3="估价对象容积率",'数据-汇总表'!I6,'数据-汇总表'!I7))</f>
        <v>6.11</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41650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12"/>
      <c r="B4" s="3713"/>
      <c r="C4" s="3713"/>
      <c r="D4" s="3714"/>
      <c r="E4" s="3714"/>
      <c r="F4" s="3714"/>
      <c r="G4" s="3714"/>
      <c r="H4" s="3714"/>
      <c r="I4" s="3714"/>
      <c r="J4" s="371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35988</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36394</v>
      </c>
      <c r="D5" s="1337">
        <f>ROUND(C6*C17+C20,0)</f>
        <v>34659</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32566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34690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31037</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一级</v>
      </c>
      <c r="Y7" s="1212" t="s">
        <v>1956</v>
      </c>
      <c r="Z7" s="1213">
        <f>G3</f>
        <v>6.11</v>
      </c>
      <c r="AA7" s="1214"/>
      <c r="AB7" s="1214"/>
      <c r="AC7" s="1215"/>
      <c r="AD7" s="1216"/>
      <c r="AE7" s="1216"/>
      <c r="AF7" s="1216"/>
      <c r="AG7" s="1216"/>
      <c r="AH7" s="1216"/>
      <c r="AI7" s="1216"/>
      <c r="AJ7" s="1217"/>
    </row>
    <row r="8" spans="1:36" ht="25.5">
      <c r="A8" s="3297"/>
      <c r="B8" s="170" t="s">
        <v>1957</v>
      </c>
      <c r="C8" s="2024" t="s">
        <v>3445</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09" t="s">
        <v>1960</v>
      </c>
      <c r="X8" s="371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11"/>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1.05</v>
      </c>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16" t="s">
        <v>3259</v>
      </c>
      <c r="B20" s="167" t="s">
        <v>1994</v>
      </c>
      <c r="C20" s="3323">
        <f>ROUND(IF(F21="与级别开发程度一致",0,(G21-E21)/C21),0)</f>
        <v>-31</v>
      </c>
      <c r="D20" s="3339" t="s">
        <v>1998</v>
      </c>
      <c r="E20" s="3340"/>
      <c r="F20" s="3722" t="s">
        <v>1995</v>
      </c>
      <c r="G20" s="3723"/>
      <c r="H20" s="3324" t="s">
        <v>3395</v>
      </c>
      <c r="I20" s="3324" t="s">
        <v>3396</v>
      </c>
      <c r="J20" s="3325" t="s">
        <v>3397</v>
      </c>
      <c r="K20" s="2045" t="s">
        <v>3398</v>
      </c>
      <c r="L20" s="2045" t="s">
        <v>3399</v>
      </c>
      <c r="M20" s="2045" t="s">
        <v>3400</v>
      </c>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17"/>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3444</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2002</v>
      </c>
      <c r="E23" s="759">
        <v>44197</v>
      </c>
      <c r="F23" s="2052" t="s">
        <v>2003</v>
      </c>
      <c r="G23" s="760">
        <f>'数据-取费表'!B2</f>
        <v>45160</v>
      </c>
      <c r="H23" s="3341" t="s">
        <v>3401</v>
      </c>
      <c r="I23" s="3342">
        <f>IF(H23="季度增幅（自定义）",SUMIF(N25:N28,E2,O25:O28),"")</f>
        <v>0</v>
      </c>
      <c r="J23" s="3444" t="s">
        <v>3260</v>
      </c>
      <c r="K23" s="1123"/>
      <c r="L23" s="2053" t="s">
        <v>2004</v>
      </c>
      <c r="M23" s="1326">
        <f>ROUND(SUMIF(地价!B2:G2,E2,地价!B16:G16),0)</f>
        <v>350</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0.85850000000000004</v>
      </c>
      <c r="D24" s="2058" t="s">
        <v>2007</v>
      </c>
      <c r="E24" s="1333">
        <f>存贷款利率!E24/100</f>
        <v>4.3499999999999997E-2</v>
      </c>
      <c r="F24" s="2058" t="s">
        <v>1999</v>
      </c>
      <c r="G24" s="766">
        <f>SUMIF(M30:Q30,E2,M33:Q33)</f>
        <v>5.5E-2</v>
      </c>
      <c r="H24" s="2058" t="s">
        <v>2008</v>
      </c>
      <c r="I24" s="767">
        <f>SUMIF('数据-取费表'!C6:C15,E2,'数据-取费表'!F6:F15)/COUNTIF('数据-取费表'!C6:C15,E2)</f>
        <v>30.01</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69">
        <f>IF(B25="容积率修正",IF(G3&lt;10,D26,J26),C27)</f>
        <v>0.93840000000000001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0.93840000000000001</v>
      </c>
      <c r="E26" s="750">
        <f>ROUNDDOWN(G3,1)</f>
        <v>6.1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0.93859999999999999</v>
      </c>
      <c r="G26" s="750">
        <f>ROUNDUP(G3,1)</f>
        <v>6.1999999999999993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0.93679999999999997</v>
      </c>
      <c r="I26" s="3343" t="s">
        <v>3262</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1.0771999999999999</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570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32376</v>
      </c>
      <c r="D33" s="2096">
        <f>'数据-基础表'!B3</f>
        <v>176.09</v>
      </c>
      <c r="E33" s="771">
        <f>ROUND(C33*D33/10000,0)</f>
        <v>570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8094</v>
      </c>
      <c r="D34" s="2101"/>
      <c r="E34" s="771">
        <f>ROUND(IF(B25="楼层修正",SUM(V2:V16)*M40,C34*D34/10000),0)</f>
        <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0"/>
      <c r="B37" s="2111" t="s">
        <v>2036</v>
      </c>
      <c r="C37" s="175">
        <f>ROUND(D5*C22*C23*C24*C28*F37,0)</f>
        <v>22999</v>
      </c>
      <c r="D37" s="2096"/>
      <c r="E37" s="171">
        <f>ROUND(C37*D37/10000,0)</f>
        <v>0</v>
      </c>
      <c r="F37" s="171">
        <f>SUMIF(修正!A57:A68,G2,修正!B57:B68)</f>
        <v>0.7</v>
      </c>
      <c r="G37" s="171">
        <f>ROUND(IF(E2="工业",C37*$M$42,C37*$M$41),0)</f>
        <v>5750</v>
      </c>
      <c r="H37" s="171">
        <f>D37</f>
        <v>0</v>
      </c>
      <c r="I37" s="171">
        <f>ROUND(G37*H37/10000,0)</f>
        <v>0</v>
      </c>
      <c r="J37" s="3010"/>
      <c r="K37" s="3357" t="s">
        <v>3270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1"/>
      <c r="B38" s="2039" t="s">
        <v>2037</v>
      </c>
      <c r="C38" s="175">
        <f>ROUND(D5*C22*C23*C24*C28*F38,0)</f>
        <v>13143</v>
      </c>
      <c r="D38" s="2096"/>
      <c r="E38" s="171">
        <f t="shared" ref="E38:E42" si="4">ROUND(C38*D38/10000,0)</f>
        <v>0</v>
      </c>
      <c r="F38" s="171">
        <f>SUMIF(修正!A57:A68,G2,修正!C57:C68)</f>
        <v>0.4</v>
      </c>
      <c r="G38" s="171">
        <f>ROUND(IF(E2="工业",C38*$M$42,C38*$M$41),0)</f>
        <v>3286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21"/>
      <c r="B39" s="2039" t="s">
        <v>3263</v>
      </c>
      <c r="C39" s="175">
        <f>ROUND(D5*C22*C23*C24*C28*F39,0)</f>
        <v>9857</v>
      </c>
      <c r="D39" s="2096"/>
      <c r="E39" s="171">
        <f t="shared" si="4"/>
        <v>0</v>
      </c>
      <c r="F39" s="171">
        <f>SUMIF(修正!A57:A68,G2,修正!D57:D68)</f>
        <v>0.3</v>
      </c>
      <c r="G39" s="171">
        <f>ROUND(IF(E2="工业",C39*$M$42,C39*$M$41),0)</f>
        <v>2464</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9857</v>
      </c>
      <c r="D40" s="2096"/>
      <c r="E40" s="171">
        <f t="shared" si="4"/>
        <v>0</v>
      </c>
      <c r="F40" s="175">
        <f>SUMIF(修正!A57:A68,G2,修正!E57:E68)</f>
        <v>0.3</v>
      </c>
      <c r="G40" s="171">
        <f>ROUND(IF(E2="工业",C40*$M$42,C40*$M$41),0)</f>
        <v>2464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hidden="1">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hidden="1">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hidden="1">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hidden="1">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hidden="1">
      <c r="A52" s="3367" t="s">
        <v>3273</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hidden="1">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hidden="1">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hidden="1">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hidden="1">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hidden="1"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1.0771999999999999</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3440</v>
      </c>
      <c r="D61" s="1063">
        <f t="shared" ref="D61:D69" si="12">SUMIF($J$60:$N$60,C61,J61:N61)</f>
        <v>2.4199999999999999E-2</v>
      </c>
      <c r="E61" s="742">
        <f>ROUND(SUM(D61:D69),4)</f>
        <v>7.7200000000000005E-2</v>
      </c>
      <c r="F61" s="1812">
        <f>IF(E2="办公",SUMIF(L1:L12,G2,N1:N12),"——")</f>
        <v>9.7000000000000003E-2</v>
      </c>
      <c r="G61" s="1061">
        <v>1.21E-2</v>
      </c>
      <c r="H61" s="1064">
        <f t="shared" ref="H61:H69" si="13">IFERROR(ROUNDDOWN($F$61*I61/2,4),"——")</f>
        <v>1.21E-2</v>
      </c>
      <c r="I61" s="3365">
        <v>0.25</v>
      </c>
      <c r="J61" s="1062">
        <f t="shared" ref="J61:J69" si="14">K61+$G61</f>
        <v>2.4199999999999999E-2</v>
      </c>
      <c r="K61" s="1062">
        <f t="shared" ref="K61:K69" si="15">$L61+$G61</f>
        <v>1.21E-2</v>
      </c>
      <c r="L61" s="1062">
        <v>0</v>
      </c>
      <c r="M61" s="1062">
        <f t="shared" ref="M61:N69" si="16">L61-$G61</f>
        <v>-1.21E-2</v>
      </c>
      <c r="N61" s="1062">
        <f t="shared" si="16"/>
        <v>-2.4199999999999999E-2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3440</v>
      </c>
      <c r="D62" s="1063">
        <f t="shared" si="12"/>
        <v>2.52E-2</v>
      </c>
      <c r="E62" s="743"/>
      <c r="F62" s="1812"/>
      <c r="G62" s="1061">
        <v>1.26E-2</v>
      </c>
      <c r="H62" s="1064">
        <f t="shared" si="13"/>
        <v>1.26E-2</v>
      </c>
      <c r="I62" s="3365">
        <v>0.26</v>
      </c>
      <c r="J62" s="1062">
        <f t="shared" si="14"/>
        <v>2.52E-2</v>
      </c>
      <c r="K62" s="1062">
        <f t="shared" si="15"/>
        <v>1.26E-2</v>
      </c>
      <c r="L62" s="1062">
        <v>0</v>
      </c>
      <c r="M62" s="1062">
        <f t="shared" si="16"/>
        <v>-1.26E-2</v>
      </c>
      <c r="N62" s="1062">
        <f t="shared" si="16"/>
        <v>-2.52E-2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3402</v>
      </c>
      <c r="D63" s="1063">
        <f t="shared" si="12"/>
        <v>5.3E-3</v>
      </c>
      <c r="E63" s="743"/>
      <c r="F63" s="1812"/>
      <c r="G63" s="1061">
        <v>5.3E-3</v>
      </c>
      <c r="H63" s="1064">
        <f t="shared" si="13"/>
        <v>5.3E-3</v>
      </c>
      <c r="I63" s="3365">
        <v>0.11</v>
      </c>
      <c r="J63" s="1062">
        <f t="shared" si="14"/>
        <v>1.06E-2</v>
      </c>
      <c r="K63" s="1062">
        <f t="shared" si="15"/>
        <v>5.3E-3</v>
      </c>
      <c r="L63" s="1062">
        <v>0</v>
      </c>
      <c r="M63" s="1062">
        <f t="shared" si="16"/>
        <v>-5.3E-3</v>
      </c>
      <c r="N63" s="1062">
        <f t="shared" si="16"/>
        <v>-1.06E-2</v>
      </c>
      <c r="AA63" s="1118"/>
      <c r="AB63" s="1118"/>
      <c r="AC63" s="1118"/>
      <c r="AD63" s="1118"/>
      <c r="AE63" s="1118"/>
      <c r="AF63" s="1118"/>
      <c r="AG63" s="1118"/>
      <c r="AH63" s="1118"/>
      <c r="AI63" s="1118"/>
      <c r="AJ63" s="1118"/>
      <c r="AK63" s="1118"/>
    </row>
    <row r="64" spans="1:37" s="1117" customFormat="1" ht="36.75">
      <c r="A64" s="2128" t="s">
        <v>2054</v>
      </c>
      <c r="B64" s="2133" t="s">
        <v>2055</v>
      </c>
      <c r="C64" s="2042" t="s">
        <v>3402</v>
      </c>
      <c r="D64" s="1063">
        <f t="shared" si="12"/>
        <v>2.3999999999999998E-3</v>
      </c>
      <c r="E64" s="743"/>
      <c r="F64" s="1812"/>
      <c r="G64" s="1061">
        <v>2.3999999999999998E-3</v>
      </c>
      <c r="H64" s="1064">
        <f t="shared" si="13"/>
        <v>2.3999999999999998E-3</v>
      </c>
      <c r="I64" s="3365">
        <v>0.05</v>
      </c>
      <c r="J64" s="1062">
        <f t="shared" si="14"/>
        <v>4.7999999999999996E-3</v>
      </c>
      <c r="K64" s="1062">
        <f t="shared" si="15"/>
        <v>2.3999999999999998E-3</v>
      </c>
      <c r="L64" s="1062">
        <v>0</v>
      </c>
      <c r="M64" s="1062">
        <f t="shared" si="16"/>
        <v>-2.3999999999999998E-3</v>
      </c>
      <c r="N64" s="1062">
        <f t="shared" si="16"/>
        <v>-4.7999999999999996E-3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3402</v>
      </c>
      <c r="D65" s="1063">
        <f t="shared" si="12"/>
        <v>2.3999999999999998E-3</v>
      </c>
      <c r="E65" s="743"/>
      <c r="F65" s="1812"/>
      <c r="G65" s="1061">
        <v>2.3999999999999998E-3</v>
      </c>
      <c r="H65" s="1064">
        <f t="shared" si="13"/>
        <v>2.3999999999999998E-3</v>
      </c>
      <c r="I65" s="3365">
        <v>0.05</v>
      </c>
      <c r="J65" s="1062">
        <f t="shared" si="14"/>
        <v>4.7999999999999996E-3</v>
      </c>
      <c r="K65" s="1062">
        <f t="shared" si="15"/>
        <v>2.3999999999999998E-3</v>
      </c>
      <c r="L65" s="1062">
        <v>0</v>
      </c>
      <c r="M65" s="1062">
        <f t="shared" si="16"/>
        <v>-2.3999999999999998E-3</v>
      </c>
      <c r="N65" s="1062">
        <f t="shared" si="16"/>
        <v>-4.7999999999999996E-3</v>
      </c>
      <c r="AA65" s="1118"/>
      <c r="AB65" s="1118"/>
      <c r="AC65" s="1118"/>
      <c r="AD65" s="1118"/>
      <c r="AE65" s="1118"/>
      <c r="AF65" s="1118"/>
      <c r="AG65" s="1118"/>
      <c r="AH65" s="1118"/>
      <c r="AI65" s="1118"/>
      <c r="AJ65" s="1118"/>
      <c r="AK65" s="1118"/>
    </row>
    <row r="66" spans="1:37" s="1117" customFormat="1" ht="24">
      <c r="A66" s="2128" t="s">
        <v>2057</v>
      </c>
      <c r="B66" s="2134" t="s">
        <v>2058</v>
      </c>
      <c r="C66" s="2042" t="s">
        <v>3402</v>
      </c>
      <c r="D66" s="1063">
        <f t="shared" si="12"/>
        <v>2.8999999999999998E-3</v>
      </c>
      <c r="E66" s="743"/>
      <c r="F66" s="1812"/>
      <c r="G66" s="1061">
        <v>2.8999999999999998E-3</v>
      </c>
      <c r="H66" s="1064">
        <f t="shared" si="13"/>
        <v>2.8999999999999998E-3</v>
      </c>
      <c r="I66" s="3365">
        <v>0.06</v>
      </c>
      <c r="J66" s="1062">
        <f t="shared" si="14"/>
        <v>5.7999999999999996E-3</v>
      </c>
      <c r="K66" s="1062">
        <f t="shared" si="15"/>
        <v>2.8999999999999998E-3</v>
      </c>
      <c r="L66" s="1062">
        <v>0</v>
      </c>
      <c r="M66" s="1062">
        <f t="shared" si="16"/>
        <v>-2.8999999999999998E-3</v>
      </c>
      <c r="N66" s="1062">
        <f t="shared" si="16"/>
        <v>-5.7999999999999996E-3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3402</v>
      </c>
      <c r="D67" s="1063">
        <f t="shared" si="12"/>
        <v>2.8999999999999998E-3</v>
      </c>
      <c r="E67" s="743"/>
      <c r="F67" s="1812"/>
      <c r="G67" s="1061">
        <v>2.8999999999999998E-3</v>
      </c>
      <c r="H67" s="1064">
        <f t="shared" si="13"/>
        <v>2.8999999999999998E-3</v>
      </c>
      <c r="I67" s="3365">
        <v>0.06</v>
      </c>
      <c r="J67" s="1062">
        <f t="shared" si="14"/>
        <v>5.7999999999999996E-3</v>
      </c>
      <c r="K67" s="1062">
        <f t="shared" si="15"/>
        <v>2.8999999999999998E-3</v>
      </c>
      <c r="L67" s="1062">
        <v>0</v>
      </c>
      <c r="M67" s="1062">
        <f t="shared" si="16"/>
        <v>-2.8999999999999998E-3</v>
      </c>
      <c r="N67" s="1062">
        <f t="shared" si="16"/>
        <v>-5.7999999999999996E-3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3440</v>
      </c>
      <c r="D68" s="1063">
        <f t="shared" si="12"/>
        <v>8.6E-3</v>
      </c>
      <c r="E68" s="743"/>
      <c r="F68" s="1812"/>
      <c r="G68" s="1061">
        <v>4.3E-3</v>
      </c>
      <c r="H68" s="1064">
        <f t="shared" si="13"/>
        <v>4.3E-3</v>
      </c>
      <c r="I68" s="3365">
        <v>0.09</v>
      </c>
      <c r="J68" s="1062">
        <f t="shared" si="14"/>
        <v>8.6E-3</v>
      </c>
      <c r="K68" s="1062">
        <f t="shared" si="15"/>
        <v>4.3E-3</v>
      </c>
      <c r="L68" s="1062">
        <v>0</v>
      </c>
      <c r="M68" s="1062">
        <f t="shared" si="16"/>
        <v>-4.3E-3</v>
      </c>
      <c r="N68" s="1062">
        <f t="shared" si="16"/>
        <v>-8.6E-3</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3402</v>
      </c>
      <c r="D69" s="1063">
        <f t="shared" si="12"/>
        <v>3.3E-3</v>
      </c>
      <c r="E69" s="744"/>
      <c r="F69" s="1812"/>
      <c r="G69" s="1061">
        <v>3.3E-3</v>
      </c>
      <c r="H69" s="1064">
        <f t="shared" si="13"/>
        <v>3.3E-3</v>
      </c>
      <c r="I69" s="3366">
        <v>7.0000000000000007E-2</v>
      </c>
      <c r="J69" s="1062">
        <f t="shared" si="14"/>
        <v>6.6E-3</v>
      </c>
      <c r="K69" s="1062">
        <f t="shared" si="15"/>
        <v>3.3E-3</v>
      </c>
      <c r="L69" s="1062">
        <v>0</v>
      </c>
      <c r="M69" s="1062">
        <f t="shared" si="16"/>
        <v>-3.3E-3</v>
      </c>
      <c r="N69" s="1062">
        <f t="shared" si="16"/>
        <v>-6.6E-3</v>
      </c>
      <c r="AA69" s="1118"/>
      <c r="AB69" s="1118"/>
      <c r="AC69" s="1118"/>
      <c r="AD69" s="1118"/>
      <c r="AE69" s="1118"/>
      <c r="AF69" s="1118"/>
      <c r="AG69" s="1118"/>
      <c r="AH69" s="1118"/>
      <c r="AI69" s="1118"/>
      <c r="AJ69" s="1118"/>
      <c r="AK69" s="1118"/>
    </row>
    <row r="70" spans="1:37" s="1117" customFormat="1" ht="15" hidden="1">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hidden="1">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hidden="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hidden="1">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hidden="1">
      <c r="A74" s="3367" t="s">
        <v>3273</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hidden="1">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hidden="1">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hidden="1">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hidden="1">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hidden="1">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hidden="1"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hidden="1">
      <c r="A81" s="2124" t="s">
        <v>2069</v>
      </c>
      <c r="B81" s="2125">
        <f>1+E83</f>
        <v>1.0044</v>
      </c>
      <c r="C81" s="739"/>
      <c r="D81" s="739"/>
      <c r="E81" s="740"/>
      <c r="F81" s="2127"/>
      <c r="G81" s="3"/>
      <c r="H81" s="3"/>
      <c r="I81" s="3"/>
      <c r="J81" s="4"/>
      <c r="K81" s="4"/>
      <c r="L81" s="4"/>
      <c r="M81" s="4"/>
      <c r="N81" s="4"/>
      <c r="Z81" s="1996"/>
      <c r="AA81" s="2051"/>
      <c r="AG81" s="1119"/>
      <c r="AK81" s="2051"/>
    </row>
    <row r="82" spans="1:37" ht="24.75" hidden="1">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hidden="1">
      <c r="A83" s="2128" t="s">
        <v>2070</v>
      </c>
      <c r="B83" s="2132" t="str">
        <f>估价对象房地状况!G15</f>
        <v>估价对象位于XX开发区，园区建设成熟度XX，产业集聚程度XX</v>
      </c>
      <c r="C83" s="2042" t="s">
        <v>3402</v>
      </c>
      <c r="D83" s="1063">
        <f t="shared" ref="D83:D90" si="22">SUMIF($J$82:$N$82,C83,J83:N83)</f>
        <v>1.9300000000000001E-2</v>
      </c>
      <c r="E83" s="742">
        <f>ROUND(SUM(D83:D90),4)</f>
        <v>4.4000000000000003E-3</v>
      </c>
      <c r="F83" s="1812" t="str">
        <f>IF(E2="工业",SUMIF(L1:L12,G2,N1:N12),"——")</f>
        <v>——</v>
      </c>
      <c r="G83" s="1061">
        <v>1.9300000000000001E-2</v>
      </c>
      <c r="H83" s="1064" t="str">
        <f t="shared" ref="H83:H90" si="23">IFERROR(ROUNDDOWN($F$83*I83/2,4),"——")</f>
        <v>——</v>
      </c>
      <c r="I83" s="3365">
        <v>0.26</v>
      </c>
      <c r="J83" s="1062">
        <f t="shared" ref="J83:J90" si="24">K83+$G83</f>
        <v>3.8600000000000002E-2</v>
      </c>
      <c r="K83" s="1062">
        <f t="shared" ref="K83:K90" si="25">$L83+$G83</f>
        <v>1.9300000000000001E-2</v>
      </c>
      <c r="L83" s="1062">
        <v>0</v>
      </c>
      <c r="M83" s="1062">
        <f t="shared" ref="M83:N90" si="26">L83-$G83</f>
        <v>-1.9300000000000001E-2</v>
      </c>
      <c r="N83" s="1062">
        <f t="shared" si="26"/>
        <v>-3.8600000000000002E-2</v>
      </c>
      <c r="Z83" s="1996"/>
      <c r="AA83" s="2051"/>
      <c r="AG83" s="1119"/>
      <c r="AK83" s="2051"/>
    </row>
    <row r="84" spans="1:37" ht="38.25" hidden="1">
      <c r="A84" s="2128" t="s">
        <v>2053</v>
      </c>
      <c r="B84" s="2132" t="str">
        <f>估价对象房地状况!G16</f>
        <v>估价对象周边道路状况、公共交通通达情况、停车便捷程度，综合评价交通便捷度较好</v>
      </c>
      <c r="C84" s="2042" t="s">
        <v>3403</v>
      </c>
      <c r="D84" s="1063">
        <f t="shared" si="22"/>
        <v>-2.23E-2</v>
      </c>
      <c r="E84" s="745"/>
      <c r="F84" s="1812"/>
      <c r="G84" s="1061">
        <v>2.23E-2</v>
      </c>
      <c r="H84" s="1064" t="str">
        <f t="shared" si="23"/>
        <v>——</v>
      </c>
      <c r="I84" s="3365">
        <v>0.3</v>
      </c>
      <c r="J84" s="1062">
        <f t="shared" si="24"/>
        <v>4.4600000000000001E-2</v>
      </c>
      <c r="K84" s="1062">
        <f t="shared" si="25"/>
        <v>2.23E-2</v>
      </c>
      <c r="L84" s="1062">
        <v>0</v>
      </c>
      <c r="M84" s="1062">
        <f t="shared" si="26"/>
        <v>-2.23E-2</v>
      </c>
      <c r="N84" s="1062">
        <f t="shared" si="26"/>
        <v>-4.4600000000000001E-2</v>
      </c>
      <c r="Z84" s="1996"/>
      <c r="AA84" s="2051"/>
      <c r="AG84" s="1119"/>
      <c r="AK84" s="2051"/>
    </row>
    <row r="85" spans="1:37" ht="36" hidden="1">
      <c r="A85" s="3367" t="s">
        <v>3274</v>
      </c>
      <c r="B85" s="2132">
        <f>估价对象房地状况!G17</f>
        <v>0</v>
      </c>
      <c r="C85" s="2042" t="s">
        <v>3402</v>
      </c>
      <c r="D85" s="1063">
        <f t="shared" si="22"/>
        <v>7.4000000000000003E-3</v>
      </c>
      <c r="E85" s="745"/>
      <c r="F85" s="1812"/>
      <c r="G85" s="1061">
        <v>7.4000000000000003E-3</v>
      </c>
      <c r="H85" s="1064" t="str">
        <f t="shared" si="23"/>
        <v>——</v>
      </c>
      <c r="I85" s="3365">
        <v>0.1</v>
      </c>
      <c r="J85" s="1062">
        <f t="shared" si="24"/>
        <v>1.4800000000000001E-2</v>
      </c>
      <c r="K85" s="1062">
        <f t="shared" si="25"/>
        <v>7.4000000000000003E-3</v>
      </c>
      <c r="L85" s="1062">
        <v>0</v>
      </c>
      <c r="M85" s="1062">
        <f t="shared" si="26"/>
        <v>-7.4000000000000003E-3</v>
      </c>
      <c r="N85" s="1062">
        <f t="shared" si="26"/>
        <v>-1.4800000000000001E-2</v>
      </c>
      <c r="Z85" s="1996"/>
      <c r="AA85" s="2051"/>
      <c r="AG85" s="1119"/>
      <c r="AK85" s="2051"/>
    </row>
    <row r="86" spans="1:37" ht="14.25" hidden="1">
      <c r="A86" s="2128" t="s">
        <v>2067</v>
      </c>
      <c r="B86" s="2132">
        <f>估价对象房地状况!G22</f>
        <v>0</v>
      </c>
      <c r="C86" s="2042" t="s">
        <v>3404</v>
      </c>
      <c r="D86" s="1063">
        <f t="shared" si="22"/>
        <v>0</v>
      </c>
      <c r="E86" s="745"/>
      <c r="F86" s="1812"/>
      <c r="G86" s="1061">
        <v>3.7000000000000002E-3</v>
      </c>
      <c r="H86" s="1064" t="str">
        <f t="shared" si="23"/>
        <v>——</v>
      </c>
      <c r="I86" s="3365">
        <v>0.05</v>
      </c>
      <c r="J86" s="1062">
        <f t="shared" si="24"/>
        <v>7.4000000000000003E-3</v>
      </c>
      <c r="K86" s="1062">
        <f t="shared" si="25"/>
        <v>3.7000000000000002E-3</v>
      </c>
      <c r="L86" s="1062">
        <v>0</v>
      </c>
      <c r="M86" s="1062">
        <f t="shared" si="26"/>
        <v>-3.7000000000000002E-3</v>
      </c>
      <c r="N86" s="1062">
        <f t="shared" si="26"/>
        <v>-7.4000000000000003E-3</v>
      </c>
      <c r="Z86" s="1996"/>
      <c r="AA86" s="2051"/>
      <c r="AG86" s="1119"/>
      <c r="AK86" s="2051"/>
    </row>
    <row r="87" spans="1:37" ht="25.5" hidden="1">
      <c r="A87" s="2128" t="s">
        <v>2059</v>
      </c>
      <c r="B87" s="1324" t="str">
        <f>估价对象房地状况!G19</f>
        <v>估价对象所在区域公共配套设施齐备情况</v>
      </c>
      <c r="C87" s="2042" t="s">
        <v>3403</v>
      </c>
      <c r="D87" s="1063">
        <f t="shared" si="22"/>
        <v>-4.4000000000000003E-3</v>
      </c>
      <c r="E87" s="745"/>
      <c r="F87" s="1812"/>
      <c r="G87" s="1061">
        <v>4.4000000000000003E-3</v>
      </c>
      <c r="H87" s="1064" t="str">
        <f t="shared" si="23"/>
        <v>——</v>
      </c>
      <c r="I87" s="3365">
        <v>0.06</v>
      </c>
      <c r="J87" s="1062">
        <f t="shared" si="24"/>
        <v>8.8000000000000005E-3</v>
      </c>
      <c r="K87" s="1062">
        <f t="shared" si="25"/>
        <v>4.4000000000000003E-3</v>
      </c>
      <c r="L87" s="1062">
        <v>0</v>
      </c>
      <c r="M87" s="1062">
        <f t="shared" si="26"/>
        <v>-4.4000000000000003E-3</v>
      </c>
      <c r="N87" s="1062">
        <f t="shared" si="26"/>
        <v>-8.8000000000000005E-3</v>
      </c>
    </row>
    <row r="88" spans="1:37" ht="25.5" hidden="1">
      <c r="A88" s="2128" t="s">
        <v>2060</v>
      </c>
      <c r="B88" s="1324" t="str">
        <f>估价对象房地状况!G20</f>
        <v>估价对象所在区域基础设施水平</v>
      </c>
      <c r="C88" s="2042" t="s">
        <v>3404</v>
      </c>
      <c r="D88" s="1063">
        <f t="shared" si="22"/>
        <v>0</v>
      </c>
      <c r="E88" s="745"/>
      <c r="F88" s="1812"/>
      <c r="G88" s="1061">
        <v>8.8999999999999999E-3</v>
      </c>
      <c r="H88" s="1064" t="str">
        <f t="shared" si="23"/>
        <v>——</v>
      </c>
      <c r="I88" s="3365">
        <v>0.12</v>
      </c>
      <c r="J88" s="1062">
        <f t="shared" si="24"/>
        <v>1.78E-2</v>
      </c>
      <c r="K88" s="1062">
        <f t="shared" si="25"/>
        <v>8.8999999999999999E-3</v>
      </c>
      <c r="L88" s="1062">
        <v>0</v>
      </c>
      <c r="M88" s="1062">
        <f t="shared" si="26"/>
        <v>-8.8999999999999999E-3</v>
      </c>
      <c r="N88" s="1062">
        <f t="shared" si="26"/>
        <v>-1.78E-2</v>
      </c>
    </row>
    <row r="89" spans="1:37" ht="24" hidden="1">
      <c r="A89" s="2128" t="s">
        <v>2057</v>
      </c>
      <c r="B89" s="2134" t="s">
        <v>2071</v>
      </c>
      <c r="C89" s="2042" t="s">
        <v>3402</v>
      </c>
      <c r="D89" s="1063">
        <f t="shared" si="22"/>
        <v>4.4000000000000003E-3</v>
      </c>
      <c r="E89" s="745"/>
      <c r="F89" s="1812"/>
      <c r="G89" s="1061">
        <v>4.4000000000000003E-3</v>
      </c>
      <c r="H89" s="1064" t="str">
        <f t="shared" si="23"/>
        <v>——</v>
      </c>
      <c r="I89" s="3365">
        <v>0.06</v>
      </c>
      <c r="J89" s="1062">
        <f t="shared" si="24"/>
        <v>8.8000000000000005E-3</v>
      </c>
      <c r="K89" s="1062">
        <f t="shared" si="25"/>
        <v>4.4000000000000003E-3</v>
      </c>
      <c r="L89" s="1062">
        <v>0</v>
      </c>
      <c r="M89" s="1062">
        <f t="shared" si="26"/>
        <v>-4.4000000000000003E-3</v>
      </c>
      <c r="N89" s="1062">
        <f t="shared" si="26"/>
        <v>-8.8000000000000005E-3</v>
      </c>
    </row>
    <row r="90" spans="1:37" ht="39" hidden="1" thickBot="1">
      <c r="A90" s="2136" t="s">
        <v>2072</v>
      </c>
      <c r="B90" s="2141" t="str">
        <f>估价对象房地状况!G18</f>
        <v>该园区内是否有污染型企业，绿化情况，卫生条件，整体环境状况判断</v>
      </c>
      <c r="C90" s="2042" t="s">
        <v>3404</v>
      </c>
      <c r="D90" s="1063">
        <f t="shared" si="22"/>
        <v>0</v>
      </c>
      <c r="E90" s="746"/>
      <c r="F90" s="1812"/>
      <c r="G90" s="1061">
        <v>3.7000000000000002E-3</v>
      </c>
      <c r="H90" s="1064" t="str">
        <f t="shared" si="23"/>
        <v>——</v>
      </c>
      <c r="I90" s="3366">
        <v>0.05</v>
      </c>
      <c r="J90" s="1062">
        <f t="shared" si="24"/>
        <v>7.4000000000000003E-3</v>
      </c>
      <c r="K90" s="1062">
        <f t="shared" si="25"/>
        <v>3.7000000000000002E-3</v>
      </c>
      <c r="L90" s="1062">
        <v>0</v>
      </c>
      <c r="M90" s="1062">
        <f t="shared" si="26"/>
        <v>-3.7000000000000002E-3</v>
      </c>
      <c r="N90" s="1062">
        <f t="shared" si="26"/>
        <v>-7.4000000000000003E-3</v>
      </c>
    </row>
    <row r="91" spans="1:37" ht="15" hidden="1">
      <c r="A91" s="3375" t="s">
        <v>2615</v>
      </c>
      <c r="B91" s="3376">
        <f>1+E93</f>
        <v>1</v>
      </c>
      <c r="C91" s="3369"/>
      <c r="D91" s="3370"/>
      <c r="E91" s="1812"/>
      <c r="F91" s="1812"/>
      <c r="G91" s="3371"/>
      <c r="H91" s="3372"/>
      <c r="I91" s="3373"/>
      <c r="J91" s="3374"/>
      <c r="K91" s="3374"/>
      <c r="L91" s="3374"/>
      <c r="M91" s="3374"/>
      <c r="N91" s="3374"/>
    </row>
    <row r="92" spans="1:37" ht="24.75" hidden="1">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hidden="1">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hidden="1">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hidden="1">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hidden="1">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hidden="1">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hidden="1">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hidden="1">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hidden="1">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hidden="1"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18" t="s">
        <v>3298</v>
      </c>
      <c r="B103" s="3718"/>
      <c r="C103" s="3718"/>
      <c r="D103" s="3718"/>
      <c r="E103" s="3718"/>
      <c r="F103" s="3718"/>
      <c r="G103" s="3718"/>
      <c r="H103" s="3718"/>
      <c r="I103" s="3718"/>
      <c r="J103" s="3718"/>
      <c r="K103" s="3388"/>
      <c r="L103" s="3388"/>
      <c r="M103" s="3388"/>
      <c r="N103" s="3388"/>
    </row>
    <row r="104" spans="1:14">
      <c r="A104" s="3719" t="s">
        <v>3299</v>
      </c>
      <c r="B104" s="3719" t="s">
        <v>3300</v>
      </c>
      <c r="C104" s="3389" t="s">
        <v>3301</v>
      </c>
      <c r="D104" s="3390"/>
      <c r="E104" s="3390"/>
      <c r="F104" s="3390"/>
      <c r="G104" s="3390"/>
      <c r="H104" s="3390"/>
      <c r="I104" s="3390"/>
      <c r="J104" s="3391"/>
      <c r="K104" s="3392"/>
      <c r="L104" s="3392"/>
      <c r="M104" s="3392"/>
      <c r="N104" s="3392"/>
    </row>
    <row r="105" spans="1:14">
      <c r="A105" s="3719"/>
      <c r="B105" s="3719"/>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05"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06"/>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08" t="s">
        <v>3315</v>
      </c>
      <c r="B113" s="3708"/>
      <c r="C113" s="3708"/>
      <c r="D113" s="3708"/>
      <c r="E113" s="3708"/>
      <c r="F113" s="3708"/>
      <c r="G113" s="3708"/>
      <c r="H113" s="3708"/>
      <c r="I113" s="3708"/>
      <c r="J113" s="37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6.11</v>
      </c>
      <c r="C116" s="3398" t="s">
        <v>3317</v>
      </c>
      <c r="D116" s="3399">
        <f>SUMPRODUCT((A118:A122=F116)*(B117:M117=H116)*B118:M122)</f>
        <v>0.92459999999999998</v>
      </c>
      <c r="E116" s="1998" t="s">
        <v>3318</v>
      </c>
      <c r="F116" s="3400" t="str">
        <f>E2</f>
        <v>办公</v>
      </c>
      <c r="G116" s="1998" t="s">
        <v>3319</v>
      </c>
      <c r="H116" s="3400" t="str">
        <f>G2</f>
        <v>一级</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0.92959999999999998</v>
      </c>
      <c r="C118" s="3386">
        <f>B118</f>
        <v>0.92959999999999998</v>
      </c>
      <c r="D118" s="3386">
        <f>ROUND(0.949-0.014*B116,4)</f>
        <v>0.86350000000000005</v>
      </c>
      <c r="E118" s="3386">
        <f>D118</f>
        <v>0.86350000000000005</v>
      </c>
      <c r="F118" s="3386">
        <f>E118</f>
        <v>0.86350000000000005</v>
      </c>
      <c r="G118" s="3386">
        <f>F118</f>
        <v>0.86350000000000005</v>
      </c>
      <c r="H118" s="3386">
        <f>G118</f>
        <v>0.86350000000000005</v>
      </c>
      <c r="I118" s="3386">
        <f>ROUND(0.8486-0.018*B116,4)</f>
        <v>0.73860000000000003</v>
      </c>
      <c r="J118" s="3386">
        <f t="shared" ref="J118:M122" si="35">I118</f>
        <v>0.73860000000000003</v>
      </c>
      <c r="K118" s="3386">
        <f t="shared" si="35"/>
        <v>0.73860000000000003</v>
      </c>
      <c r="L118" s="3386">
        <f t="shared" si="35"/>
        <v>0.73860000000000003</v>
      </c>
      <c r="M118" s="3409">
        <f t="shared" si="35"/>
        <v>0.73860000000000003</v>
      </c>
      <c r="N118" s="3396"/>
    </row>
    <row r="119" spans="1:14">
      <c r="A119" s="3408" t="s">
        <v>3333</v>
      </c>
      <c r="B119" s="3386">
        <f>ROUND(0.993-0.0112*B116,4)</f>
        <v>0.92459999999999998</v>
      </c>
      <c r="C119" s="3386">
        <f>B119</f>
        <v>0.92459999999999998</v>
      </c>
      <c r="D119" s="3386">
        <f>ROUND(0.9415-0.0142*B116,4)</f>
        <v>0.85470000000000002</v>
      </c>
      <c r="E119" s="3386">
        <f t="shared" ref="E119:H120" si="36">D119</f>
        <v>0.85470000000000002</v>
      </c>
      <c r="F119" s="3386">
        <f t="shared" si="36"/>
        <v>0.85470000000000002</v>
      </c>
      <c r="G119" s="3386">
        <f t="shared" si="36"/>
        <v>0.85470000000000002</v>
      </c>
      <c r="H119" s="3386">
        <f t="shared" si="36"/>
        <v>0.85470000000000002</v>
      </c>
      <c r="I119" s="3386">
        <f>ROUND(0.838-0.0182*B116,4)</f>
        <v>0.7268</v>
      </c>
      <c r="J119" s="3386">
        <f t="shared" si="35"/>
        <v>0.7268</v>
      </c>
      <c r="K119" s="3386">
        <f t="shared" si="35"/>
        <v>0.7268</v>
      </c>
      <c r="L119" s="3386">
        <f t="shared" si="35"/>
        <v>0.7268</v>
      </c>
      <c r="M119" s="3409">
        <f t="shared" si="35"/>
        <v>0.7268</v>
      </c>
      <c r="N119" s="3396"/>
    </row>
    <row r="120" spans="1:14">
      <c r="A120" s="3408" t="s">
        <v>3334</v>
      </c>
      <c r="B120" s="3386">
        <f>ROUND(0.9448-0.0115*B116,4)</f>
        <v>0.87450000000000006</v>
      </c>
      <c r="C120" s="3386">
        <f>B120</f>
        <v>0.87450000000000006</v>
      </c>
      <c r="D120" s="3386">
        <f>ROUND(0.937-0.0145*B116,4)</f>
        <v>0.84840000000000004</v>
      </c>
      <c r="E120" s="3386">
        <f t="shared" si="36"/>
        <v>0.84840000000000004</v>
      </c>
      <c r="F120" s="3386">
        <f t="shared" si="36"/>
        <v>0.84840000000000004</v>
      </c>
      <c r="G120" s="3386">
        <f t="shared" si="36"/>
        <v>0.84840000000000004</v>
      </c>
      <c r="H120" s="3386">
        <f t="shared" si="36"/>
        <v>0.84840000000000004</v>
      </c>
      <c r="I120" s="3386">
        <f>ROUND(0.7965-0.0185*B116,4)</f>
        <v>0.6835</v>
      </c>
      <c r="J120" s="3386">
        <f t="shared" si="35"/>
        <v>0.6835</v>
      </c>
      <c r="K120" s="3386">
        <f t="shared" si="35"/>
        <v>0.6835</v>
      </c>
      <c r="L120" s="3386">
        <f t="shared" si="35"/>
        <v>0.6835</v>
      </c>
      <c r="M120" s="3409">
        <f t="shared" si="35"/>
        <v>0.6835</v>
      </c>
      <c r="N120" s="3396"/>
    </row>
    <row r="121" spans="1:14" ht="13.5" thickBot="1">
      <c r="A121" s="3410" t="s">
        <v>3335</v>
      </c>
      <c r="B121" s="3411">
        <f>ROUND(0.7836-0.012*B116,4)</f>
        <v>0.71030000000000004</v>
      </c>
      <c r="C121" s="3411">
        <f>B121</f>
        <v>0.71030000000000004</v>
      </c>
      <c r="D121" s="3411">
        <f>ROUND(0.753-0.015*B116,4)</f>
        <v>0.66139999999999999</v>
      </c>
      <c r="E121" s="3411">
        <f>D121</f>
        <v>0.66139999999999999</v>
      </c>
      <c r="F121" s="3411">
        <f>E121</f>
        <v>0.66139999999999999</v>
      </c>
      <c r="G121" s="3411">
        <f>ROUND(0.6612-0.018*B116,4)</f>
        <v>0.55120000000000002</v>
      </c>
      <c r="H121" s="3411">
        <f>G121</f>
        <v>0.55120000000000002</v>
      </c>
      <c r="I121" s="3411">
        <f>ROUND(0.5905-0.019*B116,4)</f>
        <v>0.47439999999999999</v>
      </c>
      <c r="J121" s="3411">
        <f t="shared" si="35"/>
        <v>0.47439999999999999</v>
      </c>
      <c r="K121" s="3411">
        <f t="shared" si="35"/>
        <v>0.47439999999999999</v>
      </c>
      <c r="L121" s="3411">
        <f t="shared" si="35"/>
        <v>0.47439999999999999</v>
      </c>
      <c r="M121" s="3412">
        <f t="shared" si="35"/>
        <v>0.47439999999999999</v>
      </c>
      <c r="N121" s="3396"/>
    </row>
    <row r="122" spans="1:14">
      <c r="A122" s="3413" t="s">
        <v>2615</v>
      </c>
      <c r="B122" s="3386">
        <f>ROUND(0.9404-0.0106*B116,4)</f>
        <v>0.87560000000000004</v>
      </c>
      <c r="C122" s="3386">
        <f>B122</f>
        <v>0.87560000000000004</v>
      </c>
      <c r="D122" s="3386">
        <f>ROUND(0.8955-0.0135*B116,4)</f>
        <v>0.81299999999999994</v>
      </c>
      <c r="E122" s="3386">
        <f t="shared" ref="E122:H122" si="37">D122</f>
        <v>0.81299999999999994</v>
      </c>
      <c r="F122" s="3386">
        <f t="shared" si="37"/>
        <v>0.81299999999999994</v>
      </c>
      <c r="G122" s="3386">
        <f t="shared" si="37"/>
        <v>0.81299999999999994</v>
      </c>
      <c r="H122" s="3386">
        <f t="shared" si="37"/>
        <v>0.81299999999999994</v>
      </c>
      <c r="I122" s="3386">
        <f>ROUND(0.7632-0.0166*B116,4)</f>
        <v>0.66180000000000005</v>
      </c>
      <c r="J122" s="3386">
        <f t="shared" si="35"/>
        <v>0.66180000000000005</v>
      </c>
      <c r="K122" s="3386">
        <f t="shared" si="35"/>
        <v>0.66180000000000005</v>
      </c>
      <c r="L122" s="3386">
        <f t="shared" si="35"/>
        <v>0.66180000000000005</v>
      </c>
      <c r="M122" s="3409">
        <f t="shared" si="35"/>
        <v>0.66180000000000005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27" t="s">
        <v>2084</v>
      </c>
      <c r="D1" s="3728"/>
      <c r="E1" s="3728"/>
      <c r="F1" s="3728"/>
      <c r="G1" s="3728"/>
      <c r="H1" s="3728"/>
      <c r="I1" s="3728"/>
      <c r="J1" s="3728"/>
      <c r="K1" s="3728"/>
      <c r="L1" s="3728"/>
      <c r="M1" s="3728"/>
      <c r="N1" s="3728"/>
      <c r="O1" s="3728"/>
      <c r="P1" s="3728"/>
      <c r="Q1" s="3728"/>
      <c r="R1" s="3728"/>
      <c r="S1" s="3729"/>
      <c r="T1" s="981" t="s">
        <v>2085</v>
      </c>
    </row>
    <row r="2" spans="1:45" s="655" customFormat="1" ht="38.25">
      <c r="A2" s="982"/>
      <c r="B2" s="651" t="s">
        <v>2086</v>
      </c>
      <c r="C2" s="652" t="str">
        <f t="shared" ref="C2:L2" si="0">C3&amp;"(含)"&amp;"-"&amp;D3</f>
        <v>1000(含)-1500</v>
      </c>
      <c r="D2" s="653" t="str">
        <f t="shared" si="0"/>
        <v>1500(含)-2000</v>
      </c>
      <c r="E2" s="653" t="str">
        <f t="shared" si="0"/>
        <v>2000(含)-2500</v>
      </c>
      <c r="F2" s="653" t="str">
        <f t="shared" si="0"/>
        <v>2500(含)-3000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1000</v>
      </c>
      <c r="D3" s="544">
        <v>1500</v>
      </c>
      <c r="E3" s="544">
        <v>2000</v>
      </c>
      <c r="F3" s="544">
        <v>2500</v>
      </c>
      <c r="G3" s="544">
        <v>3000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G4" si="7">D4-2</f>
        <v>96</v>
      </c>
      <c r="F4" s="485">
        <f t="shared" si="7"/>
        <v>94</v>
      </c>
      <c r="G4" s="485">
        <f t="shared" si="7"/>
        <v>92</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IF(D20="——",S22,S22-F20)</f>
        <v>#REF!</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t="e">
        <f>SUM(B24:B10000)</f>
        <v>#REF!</v>
      </c>
      <c r="C22" s="3724" t="s">
        <v>27</v>
      </c>
      <c r="D22" s="3725"/>
      <c r="E22" s="3725"/>
      <c r="F22" s="3725"/>
      <c r="G22" s="3725"/>
      <c r="H22" s="3725"/>
      <c r="I22" s="3725"/>
      <c r="J22" s="3725"/>
      <c r="K22" s="3725"/>
      <c r="L22" s="3725"/>
      <c r="M22" s="3725"/>
      <c r="N22" s="3725"/>
      <c r="O22" s="3725"/>
      <c r="P22" s="3725"/>
      <c r="Q22" s="3726"/>
      <c r="R22" s="66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8">
        <v>1</v>
      </c>
      <c r="D24" s="2809"/>
      <c r="E24" s="2808">
        <v>1</v>
      </c>
      <c r="F24" s="2809"/>
      <c r="G24" s="2808">
        <v>1</v>
      </c>
      <c r="H24" s="2809"/>
      <c r="I24" s="2808">
        <v>1</v>
      </c>
      <c r="J24" s="2809"/>
      <c r="K24" s="2808">
        <v>1</v>
      </c>
      <c r="L24" s="2809"/>
      <c r="M24" s="2808">
        <v>1</v>
      </c>
      <c r="N24" s="2809"/>
      <c r="O24" s="2808">
        <v>1</v>
      </c>
      <c r="P24" s="2809"/>
      <c r="Q24" s="2808">
        <v>1</v>
      </c>
      <c r="R24" s="666" t="e">
        <f>'比较法-工业'!C42</f>
        <v>#REF!</v>
      </c>
      <c r="S24" s="664" t="e">
        <f t="shared" ref="S24:S54" si="12">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t="e">
        <f>#REF!</f>
        <v>#REF!</v>
      </c>
      <c r="B25" s="54" t="e">
        <f>#REF!</f>
        <v>#REF!</v>
      </c>
      <c r="C25" s="21" t="e">
        <f>IF(B25="",1,(LOOKUP(B25,$3:$3,$4:$4)-LOOKUP($B$24,$3:$3,$4:$4)+100)/100)</f>
        <v>#REF!</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IF(B25="",0,ROUND($R$24*C25*E25*G25*I25*K25*M25*O25*Q25,0))</f>
        <v>#REF!</v>
      </c>
      <c r="S25" s="316" t="e">
        <f t="shared" si="12"/>
        <v>#REF!</v>
      </c>
    </row>
    <row r="26" spans="1:45">
      <c r="A26" s="54" t="e">
        <f>#REF!</f>
        <v>#REF!</v>
      </c>
      <c r="B26" s="54" t="e">
        <f>#REF!</f>
        <v>#REF!</v>
      </c>
      <c r="C26" s="21" t="e">
        <f t="shared" ref="C26:C89" si="13">IF(B26="",1,(LOOKUP(B26,$3:$3,$4:$4)-LOOKUP($B$24,$3:$3,$4:$4)+100)/100)</f>
        <v>#REF!</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t="e">
        <f t="shared" ref="R26:R89" si="21">IF(B26="",0,ROUND($R$24*C26*E26*G26*I26*K26*M26*O26*Q26,0))</f>
        <v>#REF!</v>
      </c>
      <c r="S26" s="316" t="e">
        <f t="shared" si="12"/>
        <v>#REF!</v>
      </c>
    </row>
    <row r="27" spans="1:45">
      <c r="A27" s="54" t="e">
        <f>#REF!</f>
        <v>#REF!</v>
      </c>
      <c r="B27" s="54" t="e">
        <f>#REF!</f>
        <v>#REF!</v>
      </c>
      <c r="C27" s="21" t="e">
        <f t="shared" si="13"/>
        <v>#REF!</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t="e">
        <f t="shared" si="21"/>
        <v>#REF!</v>
      </c>
      <c r="S27" s="316" t="e">
        <f t="shared" si="12"/>
        <v>#REF!</v>
      </c>
    </row>
    <row r="28" spans="1:45">
      <c r="A28" s="54" t="e">
        <f>#REF!</f>
        <v>#REF!</v>
      </c>
      <c r="B28" s="54" t="e">
        <f>#REF!</f>
        <v>#REF!</v>
      </c>
      <c r="C28" s="21" t="e">
        <f t="shared" si="13"/>
        <v>#REF!</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t="e">
        <f t="shared" si="21"/>
        <v>#REF!</v>
      </c>
      <c r="S28" s="316" t="e">
        <f t="shared" si="12"/>
        <v>#REF!</v>
      </c>
    </row>
    <row r="29" spans="1:45">
      <c r="A29" s="54" t="e">
        <f>#REF!</f>
        <v>#REF!</v>
      </c>
      <c r="B29" s="54" t="e">
        <f>#REF!</f>
        <v>#REF!</v>
      </c>
      <c r="C29" s="21" t="e">
        <f t="shared" si="13"/>
        <v>#REF!</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t="e">
        <f t="shared" si="21"/>
        <v>#REF!</v>
      </c>
      <c r="S29" s="316" t="e">
        <f t="shared" si="12"/>
        <v>#REF!</v>
      </c>
    </row>
    <row r="30" spans="1:45">
      <c r="A30" s="54" t="e">
        <f>#REF!</f>
        <v>#REF!</v>
      </c>
      <c r="B30" s="54" t="e">
        <f>#REF!</f>
        <v>#REF!</v>
      </c>
      <c r="C30" s="21" t="e">
        <f t="shared" si="13"/>
        <v>#REF!</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t="e">
        <f t="shared" si="21"/>
        <v>#REF!</v>
      </c>
      <c r="S30" s="316" t="e">
        <f t="shared" si="12"/>
        <v>#REF!</v>
      </c>
    </row>
    <row r="31" spans="1:45">
      <c r="A31" s="54" t="e">
        <f>#REF!</f>
        <v>#REF!</v>
      </c>
      <c r="B31" s="54" t="e">
        <f>#REF!</f>
        <v>#REF!</v>
      </c>
      <c r="C31" s="21" t="e">
        <f t="shared" si="13"/>
        <v>#REF!</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t="e">
        <f t="shared" si="21"/>
        <v>#REF!</v>
      </c>
      <c r="S31" s="316" t="e">
        <f t="shared" si="12"/>
        <v>#REF!</v>
      </c>
    </row>
    <row r="32" spans="1:45">
      <c r="A32" s="54" t="e">
        <f>#REF!</f>
        <v>#REF!</v>
      </c>
      <c r="B32" s="54" t="e">
        <f>#REF!</f>
        <v>#REF!</v>
      </c>
      <c r="C32" s="21" t="e">
        <f t="shared" si="13"/>
        <v>#REF!</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t="e">
        <f t="shared" si="21"/>
        <v>#REF!</v>
      </c>
      <c r="S32" s="316" t="e">
        <f t="shared" si="12"/>
        <v>#REF!</v>
      </c>
    </row>
    <row r="33" spans="1:19">
      <c r="A33" s="54" t="e">
        <f>#REF!</f>
        <v>#REF!</v>
      </c>
      <c r="B33" s="54" t="e">
        <f>#REF!</f>
        <v>#REF!</v>
      </c>
      <c r="C33" s="21" t="e">
        <f t="shared" si="13"/>
        <v>#REF!</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t="e">
        <f t="shared" si="21"/>
        <v>#REF!</v>
      </c>
      <c r="S33" s="316" t="e">
        <f t="shared" si="12"/>
        <v>#REF!</v>
      </c>
    </row>
    <row r="34" spans="1:19">
      <c r="A34" s="54" t="e">
        <f>#REF!</f>
        <v>#REF!</v>
      </c>
      <c r="B34" s="54" t="e">
        <f>#REF!</f>
        <v>#REF!</v>
      </c>
      <c r="C34" s="21" t="e">
        <f t="shared" si="13"/>
        <v>#REF!</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t="e">
        <f t="shared" si="21"/>
        <v>#REF!</v>
      </c>
      <c r="S34" s="316" t="e">
        <f t="shared" si="12"/>
        <v>#REF!</v>
      </c>
    </row>
    <row r="35" spans="1:19">
      <c r="A35" s="54" t="e">
        <f>#REF!</f>
        <v>#REF!</v>
      </c>
      <c r="B35" s="54" t="e">
        <f>#REF!</f>
        <v>#REF!</v>
      </c>
      <c r="C35" s="21" t="e">
        <f t="shared" si="13"/>
        <v>#REF!</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t="e">
        <f t="shared" si="21"/>
        <v>#REF!</v>
      </c>
      <c r="S35" s="316" t="e">
        <f t="shared" si="12"/>
        <v>#REF!</v>
      </c>
    </row>
    <row r="36" spans="1:19">
      <c r="A36" s="54" t="e">
        <f>#REF!</f>
        <v>#REF!</v>
      </c>
      <c r="B36" s="54" t="e">
        <f>#REF!</f>
        <v>#REF!</v>
      </c>
      <c r="C36" s="21" t="e">
        <f t="shared" si="13"/>
        <v>#REF!</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t="e">
        <f t="shared" si="21"/>
        <v>#REF!</v>
      </c>
      <c r="S36" s="316" t="e">
        <f t="shared" si="12"/>
        <v>#REF!</v>
      </c>
    </row>
    <row r="37" spans="1:19">
      <c r="A37" s="54" t="e">
        <f>#REF!</f>
        <v>#REF!</v>
      </c>
      <c r="B37" s="54" t="e">
        <f>#REF!</f>
        <v>#REF!</v>
      </c>
      <c r="C37" s="21" t="e">
        <f t="shared" si="13"/>
        <v>#REF!</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t="e">
        <f t="shared" si="21"/>
        <v>#REF!</v>
      </c>
      <c r="S37" s="316" t="e">
        <f t="shared" si="12"/>
        <v>#REF!</v>
      </c>
    </row>
    <row r="38" spans="1:19">
      <c r="A38" s="54" t="e">
        <f>#REF!</f>
        <v>#REF!</v>
      </c>
      <c r="B38" s="54" t="e">
        <f>#REF!</f>
        <v>#REF!</v>
      </c>
      <c r="C38" s="21" t="e">
        <f t="shared" si="13"/>
        <v>#REF!</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t="e">
        <f t="shared" si="21"/>
        <v>#REF!</v>
      </c>
      <c r="S38" s="316" t="e">
        <f t="shared" si="12"/>
        <v>#REF!</v>
      </c>
    </row>
    <row r="39" spans="1:19">
      <c r="A39" s="54" t="e">
        <f>#REF!</f>
        <v>#REF!</v>
      </c>
      <c r="B39" s="54" t="e">
        <f>#REF!</f>
        <v>#REF!</v>
      </c>
      <c r="C39" s="21" t="e">
        <f t="shared" si="13"/>
        <v>#REF!</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t="e">
        <f t="shared" si="21"/>
        <v>#REF!</v>
      </c>
      <c r="S39" s="316" t="e">
        <f t="shared" si="12"/>
        <v>#REF!</v>
      </c>
    </row>
    <row r="40" spans="1:19">
      <c r="A40" s="54" t="e">
        <f>#REF!</f>
        <v>#REF!</v>
      </c>
      <c r="B40" s="54" t="e">
        <f>#REF!</f>
        <v>#REF!</v>
      </c>
      <c r="C40" s="21" t="e">
        <f t="shared" si="13"/>
        <v>#REF!</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t="e">
        <f t="shared" si="21"/>
        <v>#REF!</v>
      </c>
      <c r="S40" s="316" t="e">
        <f t="shared" si="12"/>
        <v>#REF!</v>
      </c>
    </row>
    <row r="41" spans="1:19">
      <c r="A41" s="54" t="e">
        <f>#REF!</f>
        <v>#REF!</v>
      </c>
      <c r="B41" s="54" t="e">
        <f>#REF!</f>
        <v>#REF!</v>
      </c>
      <c r="C41" s="21" t="e">
        <f t="shared" si="13"/>
        <v>#REF!</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t="e">
        <f t="shared" si="21"/>
        <v>#REF!</v>
      </c>
      <c r="S41" s="316" t="e">
        <f t="shared" si="12"/>
        <v>#REF!</v>
      </c>
    </row>
    <row r="42" spans="1:19">
      <c r="A42" s="54" t="e">
        <f>#REF!</f>
        <v>#REF!</v>
      </c>
      <c r="B42" s="54" t="e">
        <f>#REF!</f>
        <v>#REF!</v>
      </c>
      <c r="C42" s="21" t="e">
        <f t="shared" si="13"/>
        <v>#REF!</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t="e">
        <f t="shared" si="21"/>
        <v>#REF!</v>
      </c>
      <c r="S42" s="316" t="e">
        <f t="shared" si="12"/>
        <v>#REF!</v>
      </c>
    </row>
    <row r="43" spans="1:19">
      <c r="A43" s="54" t="e">
        <f>#REF!</f>
        <v>#REF!</v>
      </c>
      <c r="B43" s="54" t="e">
        <f>#REF!</f>
        <v>#REF!</v>
      </c>
      <c r="C43" s="21" t="e">
        <f t="shared" si="13"/>
        <v>#REF!</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t="e">
        <f t="shared" si="21"/>
        <v>#REF!</v>
      </c>
      <c r="S43" s="316" t="e">
        <f t="shared" si="12"/>
        <v>#REF!</v>
      </c>
    </row>
    <row r="44" spans="1:19">
      <c r="A44" s="54" t="e">
        <f>#REF!</f>
        <v>#REF!</v>
      </c>
      <c r="B44" s="54" t="e">
        <f>#REF!</f>
        <v>#REF!</v>
      </c>
      <c r="C44" s="21" t="e">
        <f t="shared" si="13"/>
        <v>#REF!</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t="e">
        <f t="shared" si="21"/>
        <v>#REF!</v>
      </c>
      <c r="S44" s="316" t="e">
        <f t="shared" si="12"/>
        <v>#REF!</v>
      </c>
    </row>
    <row r="45" spans="1:19">
      <c r="A45" s="54" t="e">
        <f>#REF!</f>
        <v>#REF!</v>
      </c>
      <c r="B45" s="54" t="e">
        <f>#REF!</f>
        <v>#REF!</v>
      </c>
      <c r="C45" s="21" t="e">
        <f t="shared" si="13"/>
        <v>#REF!</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t="e">
        <f t="shared" si="21"/>
        <v>#REF!</v>
      </c>
      <c r="S45" s="316" t="e">
        <f t="shared" si="12"/>
        <v>#REF!</v>
      </c>
    </row>
    <row r="46" spans="1:19">
      <c r="A46" s="54" t="e">
        <f>#REF!</f>
        <v>#REF!</v>
      </c>
      <c r="B46" s="54" t="e">
        <f>#REF!</f>
        <v>#REF!</v>
      </c>
      <c r="C46" s="21" t="e">
        <f t="shared" si="13"/>
        <v>#REF!</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t="e">
        <f t="shared" si="21"/>
        <v>#REF!</v>
      </c>
      <c r="S46" s="316" t="e">
        <f t="shared" si="12"/>
        <v>#REF!</v>
      </c>
    </row>
    <row r="47" spans="1:19">
      <c r="A47" s="54" t="e">
        <f>#REF!</f>
        <v>#REF!</v>
      </c>
      <c r="B47" s="54" t="e">
        <f>#REF!</f>
        <v>#REF!</v>
      </c>
      <c r="C47" s="21" t="e">
        <f t="shared" si="13"/>
        <v>#REF!</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t="e">
        <f t="shared" si="21"/>
        <v>#REF!</v>
      </c>
      <c r="S47" s="316" t="e">
        <f t="shared" si="12"/>
        <v>#REF!</v>
      </c>
    </row>
    <row r="48" spans="1:19">
      <c r="A48" s="54" t="e">
        <f>#REF!</f>
        <v>#REF!</v>
      </c>
      <c r="B48" s="54" t="e">
        <f>#REF!</f>
        <v>#REF!</v>
      </c>
      <c r="C48" s="21" t="e">
        <f t="shared" si="13"/>
        <v>#REF!</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t="e">
        <f t="shared" si="21"/>
        <v>#REF!</v>
      </c>
      <c r="S48" s="316" t="e">
        <f t="shared" si="12"/>
        <v>#REF!</v>
      </c>
    </row>
    <row r="49" spans="1:19">
      <c r="A49" s="54" t="e">
        <f>#REF!</f>
        <v>#REF!</v>
      </c>
      <c r="B49" s="54" t="e">
        <f>#REF!</f>
        <v>#REF!</v>
      </c>
      <c r="C49" s="21" t="e">
        <f t="shared" si="13"/>
        <v>#REF!</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t="e">
        <f t="shared" si="21"/>
        <v>#REF!</v>
      </c>
      <c r="S49" s="316" t="e">
        <f t="shared" si="12"/>
        <v>#REF!</v>
      </c>
    </row>
    <row r="50" spans="1:19">
      <c r="A50" s="54" t="e">
        <f>#REF!</f>
        <v>#REF!</v>
      </c>
      <c r="B50" s="54" t="e">
        <f>#REF!</f>
        <v>#REF!</v>
      </c>
      <c r="C50" s="21" t="e">
        <f t="shared" si="13"/>
        <v>#REF!</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t="e">
        <f t="shared" si="21"/>
        <v>#REF!</v>
      </c>
      <c r="S50" s="316" t="e">
        <f t="shared" si="12"/>
        <v>#REF!</v>
      </c>
    </row>
    <row r="51" spans="1:19">
      <c r="A51" s="54" t="e">
        <f>#REF!</f>
        <v>#REF!</v>
      </c>
      <c r="B51" s="54" t="e">
        <f>#REF!</f>
        <v>#REF!</v>
      </c>
      <c r="C51" s="21" t="e">
        <f t="shared" si="13"/>
        <v>#REF!</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t="e">
        <f t="shared" si="21"/>
        <v>#REF!</v>
      </c>
      <c r="S51" s="316" t="e">
        <f t="shared" si="12"/>
        <v>#REF!</v>
      </c>
    </row>
    <row r="52" spans="1:19">
      <c r="A52" s="54" t="e">
        <f>#REF!</f>
        <v>#REF!</v>
      </c>
      <c r="B52" s="54" t="e">
        <f>#REF!</f>
        <v>#REF!</v>
      </c>
      <c r="C52" s="21" t="e">
        <f t="shared" si="13"/>
        <v>#REF!</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t="e">
        <f t="shared" si="21"/>
        <v>#REF!</v>
      </c>
      <c r="S52" s="316" t="e">
        <f t="shared" si="12"/>
        <v>#REF!</v>
      </c>
    </row>
    <row r="53" spans="1:19">
      <c r="A53" s="54" t="e">
        <f>#REF!</f>
        <v>#REF!</v>
      </c>
      <c r="B53" s="54" t="e">
        <f>#REF!</f>
        <v>#REF!</v>
      </c>
      <c r="C53" s="21" t="e">
        <f t="shared" si="13"/>
        <v>#REF!</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t="e">
        <f t="shared" si="21"/>
        <v>#REF!</v>
      </c>
      <c r="S53" s="316" t="e">
        <f t="shared" si="12"/>
        <v>#REF!</v>
      </c>
    </row>
    <row r="54" spans="1:19">
      <c r="A54" s="54" t="e">
        <f>#REF!</f>
        <v>#REF!</v>
      </c>
      <c r="B54" s="54" t="e">
        <f>#REF!</f>
        <v>#REF!</v>
      </c>
      <c r="C54" s="21" t="e">
        <f t="shared" si="13"/>
        <v>#REF!</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t="e">
        <f t="shared" si="21"/>
        <v>#REF!</v>
      </c>
      <c r="S54" s="316" t="e">
        <f t="shared" si="12"/>
        <v>#REF!</v>
      </c>
    </row>
    <row r="55" spans="1:19">
      <c r="A55" s="54" t="e">
        <f>#REF!</f>
        <v>#REF!</v>
      </c>
      <c r="B55" s="54" t="e">
        <f>#REF!</f>
        <v>#REF!</v>
      </c>
      <c r="C55" s="21" t="e">
        <f t="shared" si="13"/>
        <v>#REF!</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t="e">
        <f t="shared" si="21"/>
        <v>#REF!</v>
      </c>
      <c r="S55" s="316" t="e">
        <f t="shared" ref="S55:S77" si="22">ROUND(R55*B55/10000,0)</f>
        <v>#REF!</v>
      </c>
    </row>
    <row r="56" spans="1:19">
      <c r="A56" s="54" t="e">
        <f>#REF!</f>
        <v>#REF!</v>
      </c>
      <c r="B56" s="54" t="e">
        <f>#REF!</f>
        <v>#REF!</v>
      </c>
      <c r="C56" s="21" t="e">
        <f t="shared" si="13"/>
        <v>#REF!</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t="e">
        <f t="shared" si="21"/>
        <v>#REF!</v>
      </c>
      <c r="S56" s="316" t="e">
        <f t="shared" si="22"/>
        <v>#REF!</v>
      </c>
    </row>
    <row r="57" spans="1:19">
      <c r="A57" s="54" t="e">
        <f>#REF!</f>
        <v>#REF!</v>
      </c>
      <c r="B57" s="54" t="e">
        <f>#REF!</f>
        <v>#REF!</v>
      </c>
      <c r="C57" s="21" t="e">
        <f t="shared" si="13"/>
        <v>#REF!</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t="e">
        <f t="shared" si="21"/>
        <v>#REF!</v>
      </c>
      <c r="S57" s="316" t="e">
        <f t="shared" si="22"/>
        <v>#REF!</v>
      </c>
    </row>
    <row r="58" spans="1:19">
      <c r="A58" s="54" t="e">
        <f>#REF!</f>
        <v>#REF!</v>
      </c>
      <c r="B58" s="54" t="e">
        <f>#REF!</f>
        <v>#REF!</v>
      </c>
      <c r="C58" s="21" t="e">
        <f t="shared" si="13"/>
        <v>#REF!</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t="e">
        <f t="shared" si="21"/>
        <v>#REF!</v>
      </c>
      <c r="S58" s="316" t="e">
        <f t="shared" si="22"/>
        <v>#REF!</v>
      </c>
    </row>
    <row r="59" spans="1:19">
      <c r="A59" s="54"/>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551</v>
      </c>
      <c r="C2" s="1385" t="s">
        <v>805</v>
      </c>
      <c r="D2" s="1385"/>
      <c r="E2" s="1386"/>
      <c r="F2" s="1387"/>
      <c r="G2" s="2704"/>
      <c r="H2" s="2693"/>
      <c r="I2" s="2693"/>
      <c r="J2" s="2693"/>
      <c r="K2" s="2694"/>
      <c r="L2" s="2693"/>
      <c r="M2" s="2693"/>
    </row>
    <row r="3" spans="1:37" ht="18" customHeight="1" thickBot="1">
      <c r="A3" s="1388" t="s">
        <v>806</v>
      </c>
      <c r="B3" s="1389">
        <f ca="1">IF(ISERROR(B2*10000/F43),0,ROUND(B2*10000/F43,0))</f>
        <v>31291</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38</v>
      </c>
      <c r="D5" s="1362" t="s">
        <v>693</v>
      </c>
      <c r="E5" s="1069"/>
      <c r="F5" s="1070"/>
      <c r="G5" s="1382"/>
      <c r="H5" s="299">
        <v>1</v>
      </c>
      <c r="I5" s="300" t="s">
        <v>692</v>
      </c>
      <c r="J5" s="1068">
        <f ca="1">J6+J10+J12</f>
        <v>0</v>
      </c>
      <c r="K5" s="1362" t="s">
        <v>693</v>
      </c>
      <c r="L5" s="1069"/>
      <c r="M5" s="1070"/>
    </row>
    <row r="6" spans="1:37" ht="18" customHeight="1">
      <c r="A6" s="1067" t="s">
        <v>398</v>
      </c>
      <c r="B6" s="3732" t="s">
        <v>694</v>
      </c>
      <c r="C6" s="1072">
        <f ca="1">ROUND(F6*F8*F7*(1-F9)/10000,0)</f>
        <v>38</v>
      </c>
      <c r="D6" s="155" t="s">
        <v>2108</v>
      </c>
      <c r="E6" s="302" t="s">
        <v>696</v>
      </c>
      <c r="F6" s="303">
        <f ca="1">INDIRECT("'数据-取费表'!u"&amp;$G$1)</f>
        <v>6.5</v>
      </c>
      <c r="G6" s="1382"/>
      <c r="H6" s="1067" t="s">
        <v>398</v>
      </c>
      <c r="I6" s="3732" t="s">
        <v>694</v>
      </c>
      <c r="J6" s="301">
        <f ca="1">ROUND(M6*M8*M7*(1-M9)/10000,0)</f>
        <v>0</v>
      </c>
      <c r="K6" s="155" t="s">
        <v>2107</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82</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v>
      </c>
      <c r="D14" s="1343" t="s">
        <v>708</v>
      </c>
      <c r="E14" s="1340"/>
      <c r="F14" s="319"/>
      <c r="G14" s="1382"/>
      <c r="H14" s="980" t="s">
        <v>398</v>
      </c>
      <c r="I14" s="302" t="s">
        <v>709</v>
      </c>
      <c r="J14" s="21">
        <f ca="1">C29</f>
        <v>102</v>
      </c>
      <c r="K14" s="12"/>
      <c r="L14" s="805"/>
      <c r="M14" s="806"/>
    </row>
    <row r="15" spans="1:37" s="1395" customFormat="1" ht="18" customHeight="1" thickBot="1">
      <c r="A15" s="980" t="s">
        <v>399</v>
      </c>
      <c r="B15" s="302" t="s">
        <v>710</v>
      </c>
      <c r="C15" s="21">
        <f ca="1">ROUND(C14*F15,0)</f>
        <v>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2</v>
      </c>
      <c r="K16" s="1085" t="s">
        <v>715</v>
      </c>
      <c r="L16" s="1086"/>
      <c r="M16" s="1070"/>
    </row>
    <row r="17" spans="1:37" s="1395" customFormat="1" ht="18" customHeight="1">
      <c r="A17" s="980" t="s">
        <v>681</v>
      </c>
      <c r="B17" s="302" t="s">
        <v>716</v>
      </c>
      <c r="C17" s="21">
        <f ca="1">ROUND(F17*(F43+INDIRECT("'数据-取费表'!S"&amp;$G$1))/10000,0)</f>
        <v>4</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1.53</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-2</v>
      </c>
      <c r="K25" s="1093" t="s">
        <v>753</v>
      </c>
      <c r="L25" s="1094"/>
      <c r="M25" s="1095"/>
    </row>
    <row r="26" spans="1:37">
      <c r="A26" s="980" t="s">
        <v>397</v>
      </c>
      <c r="B26" s="302" t="s">
        <v>754</v>
      </c>
      <c r="C26" s="21">
        <f ca="1">ROUND((C19+C20)*F26,0)</f>
        <v>12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6.37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2.0299999999999998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4.34</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1.53</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ROUND(C13*F37,2)</f>
        <v>0.12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0.38</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30</v>
      </c>
      <c r="D39" s="1093" t="s">
        <v>773</v>
      </c>
      <c r="E39" s="1094"/>
      <c r="F39" s="1095"/>
      <c r="G39" s="1382"/>
      <c r="H39" s="2698"/>
      <c r="I39" s="1396"/>
      <c r="J39" s="1397"/>
      <c r="K39" s="2702"/>
      <c r="L39" s="2698"/>
      <c r="M39" s="2698"/>
    </row>
    <row r="40" spans="1:18" ht="18" customHeight="1">
      <c r="A40" s="299" t="s">
        <v>395</v>
      </c>
      <c r="B40" s="300" t="s">
        <v>774</v>
      </c>
      <c r="C40" s="301">
        <f ca="1">ROUND(C39*(1-((1+F42)/(1+F40))^F41)/(F40-F42),0)</f>
        <v>546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31007</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-575</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546</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2020</v>
      </c>
      <c r="K49" s="1421" t="s">
        <v>824</v>
      </c>
      <c r="L49" s="1425"/>
      <c r="O49" s="1426" t="s">
        <v>405</v>
      </c>
      <c r="P49" s="1417" t="s">
        <v>825</v>
      </c>
      <c r="Q49" s="1418">
        <f ca="1">C29</f>
        <v>102</v>
      </c>
      <c r="R49" s="1418" t="s">
        <v>818</v>
      </c>
    </row>
    <row r="50" spans="1:18" s="1382" customFormat="1" ht="13.5" thickBot="1">
      <c r="A50" s="974"/>
      <c r="B50" s="977"/>
      <c r="C50" s="1116"/>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455</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551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0.45</v>
      </c>
      <c r="K55" s="1443" t="s">
        <v>841</v>
      </c>
      <c r="L55" s="1444"/>
      <c r="O55" s="1409" t="s">
        <v>811</v>
      </c>
      <c r="P55" s="1410" t="s">
        <v>812</v>
      </c>
      <c r="Q55" s="1411" t="s">
        <v>813</v>
      </c>
      <c r="R55" s="1411" t="s">
        <v>814</v>
      </c>
    </row>
    <row r="56" spans="1:18" s="1382" customFormat="1" ht="25.5" thickTop="1" thickBot="1">
      <c r="A56" s="955">
        <v>2</v>
      </c>
      <c r="B56" s="956" t="s">
        <v>704</v>
      </c>
      <c r="C56" s="232">
        <f ca="1">C13</f>
        <v>82</v>
      </c>
      <c r="D56" s="1445"/>
      <c r="E56" s="1446"/>
      <c r="F56" s="1438"/>
      <c r="I56" s="1447" t="s">
        <v>842</v>
      </c>
      <c r="J56" s="1448" t="s">
        <v>3393</v>
      </c>
      <c r="K56" s="1419" t="s">
        <v>843</v>
      </c>
      <c r="L56" s="1422" t="str">
        <f ca="1">IF(L48&lt;J51,"——",L48-J53)</f>
        <v>——</v>
      </c>
      <c r="O56" s="1416" t="s">
        <v>403</v>
      </c>
      <c r="P56" s="1417" t="s">
        <v>817</v>
      </c>
      <c r="Q56" s="1418">
        <f ca="1">C40+J29</f>
        <v>546</v>
      </c>
      <c r="R56" s="1418" t="s">
        <v>818</v>
      </c>
    </row>
    <row r="57" spans="1:18" s="1382" customFormat="1" ht="24.75" thickBot="1">
      <c r="A57" s="1449"/>
      <c r="B57" s="948" t="s">
        <v>767</v>
      </c>
      <c r="C57" s="238">
        <f ca="1">C29</f>
        <v>102</v>
      </c>
      <c r="D57" s="1450"/>
      <c r="E57" s="1451"/>
      <c r="F57" s="1452"/>
      <c r="I57" s="1453" t="s">
        <v>844</v>
      </c>
      <c r="J57" s="1454">
        <f ca="1">IF(OR(M47="住宅",J51&lt;L48,J56="是"),"——",J51-L48)</f>
        <v>26.99</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v>
      </c>
      <c r="D58" s="958" t="s">
        <v>715</v>
      </c>
      <c r="E58" s="959"/>
      <c r="F58" s="960"/>
      <c r="I58" s="1453" t="s">
        <v>848</v>
      </c>
      <c r="J58" s="1455">
        <f ca="1">IF(J55&lt;0.4,0.4,J55)</f>
        <v>0.45</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546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1.53</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0.12</v>
      </c>
      <c r="D65" s="962" t="s">
        <v>743</v>
      </c>
      <c r="E65" s="948" t="s">
        <v>744</v>
      </c>
      <c r="F65" s="330">
        <f t="shared" ca="1" si="0"/>
        <v>1.5E-3</v>
      </c>
      <c r="I65" s="1460" t="s">
        <v>867</v>
      </c>
      <c r="J65" s="1461">
        <v>40</v>
      </c>
      <c r="K65" s="1461">
        <v>30</v>
      </c>
      <c r="L65" s="1461">
        <v>50</v>
      </c>
      <c r="M65" s="1463">
        <v>0.02</v>
      </c>
      <c r="O65" s="1416" t="s">
        <v>403</v>
      </c>
      <c r="P65" s="1417" t="s">
        <v>868</v>
      </c>
      <c r="Q65" s="1418">
        <f ca="1">C40+J29</f>
        <v>546</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v>
      </c>
      <c r="D67" s="961" t="s">
        <v>753</v>
      </c>
      <c r="E67" s="966"/>
      <c r="F67" s="967"/>
      <c r="O67" s="1426" t="s">
        <v>405</v>
      </c>
      <c r="P67" s="1417" t="s">
        <v>850</v>
      </c>
      <c r="Q67" s="1464">
        <f ca="1">L51</f>
        <v>455</v>
      </c>
      <c r="R67" s="1418" t="s">
        <v>870</v>
      </c>
    </row>
    <row r="68" spans="1:18" s="1382" customFormat="1" ht="16.5" thickBot="1">
      <c r="A68" s="945" t="s">
        <v>395</v>
      </c>
      <c r="B68" s="946" t="s">
        <v>774</v>
      </c>
      <c r="C68" s="301">
        <f ca="1">ROUND(C67*(1-((1+F70)/(1+F68))^F69)/(F68-F70),0)</f>
        <v>-29</v>
      </c>
      <c r="D68" s="963" t="s">
        <v>758</v>
      </c>
      <c r="E68" s="948" t="s">
        <v>759</v>
      </c>
      <c r="F68" s="312">
        <f ca="1">F40</f>
        <v>5.5E-2</v>
      </c>
      <c r="O68" s="1426" t="s">
        <v>406</v>
      </c>
      <c r="P68" s="1465" t="s">
        <v>871</v>
      </c>
      <c r="Q68" s="1418">
        <f ca="1">ROUND(Q69-Q70*Q71,0)</f>
        <v>24</v>
      </c>
      <c r="R68" s="1418" t="s">
        <v>414</v>
      </c>
    </row>
    <row r="69" spans="1:18" s="1382" customFormat="1" ht="13.5" thickBot="1">
      <c r="A69" s="949"/>
      <c r="B69" s="950"/>
      <c r="C69" s="306"/>
      <c r="D69" s="968" t="s">
        <v>762</v>
      </c>
      <c r="E69" s="948" t="s">
        <v>763</v>
      </c>
      <c r="F69" s="333">
        <f ca="1">F41</f>
        <v>30.01</v>
      </c>
      <c r="O69" s="1426" t="s">
        <v>411</v>
      </c>
      <c r="P69" s="1465" t="s">
        <v>872</v>
      </c>
      <c r="Q69" s="1418">
        <f ca="1">C39</f>
        <v>30</v>
      </c>
      <c r="R69" s="1418" t="s">
        <v>818</v>
      </c>
    </row>
    <row r="70" spans="1:18" s="1382" customFormat="1" ht="13.5" thickBot="1">
      <c r="A70" s="952"/>
      <c r="B70" s="953"/>
      <c r="C70" s="310"/>
      <c r="D70" s="964"/>
      <c r="E70" s="948" t="s">
        <v>766</v>
      </c>
      <c r="F70" s="1052"/>
      <c r="O70" s="1426" t="s">
        <v>412</v>
      </c>
      <c r="P70" s="1465" t="s">
        <v>873</v>
      </c>
      <c r="Q70" s="1418">
        <f ca="1">C13</f>
        <v>82</v>
      </c>
      <c r="R70" s="1418" t="s">
        <v>818</v>
      </c>
    </row>
    <row r="71" spans="1:18" s="1382" customFormat="1" ht="13.5" thickBot="1">
      <c r="A71" s="969" t="s">
        <v>396</v>
      </c>
      <c r="B71" s="970" t="s">
        <v>776</v>
      </c>
      <c r="C71" s="336">
        <f ca="1">ROUND(C68*10000/F71,0)</f>
        <v>-1647</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v>
      </c>
      <c r="D75" s="1382"/>
      <c r="E75" s="1382"/>
      <c r="F75" s="1382"/>
      <c r="K75" s="1400"/>
      <c r="L75" s="1382"/>
      <c r="O75" s="1416" t="s">
        <v>409</v>
      </c>
      <c r="P75" s="1417" t="s">
        <v>838</v>
      </c>
      <c r="Q75" s="1418">
        <f ca="1">Q65+Q66</f>
        <v>546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0.85</v>
      </c>
    </row>
    <row r="83" spans="2:3">
      <c r="B83" s="273" t="s">
        <v>803</v>
      </c>
      <c r="C83" s="274">
        <f ca="1">ROUND(C13/C40,3)</f>
        <v>0.15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30.01</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538.19029999999998</v>
      </c>
      <c r="C2" s="1385" t="s">
        <v>879</v>
      </c>
      <c r="D2" s="1469">
        <f ca="1">C40+J29+L46</f>
        <v>5381903</v>
      </c>
      <c r="E2" s="1386" t="s">
        <v>880</v>
      </c>
      <c r="F2" s="1387"/>
      <c r="G2" s="2704"/>
      <c r="H2" s="2693"/>
      <c r="I2" s="2693"/>
      <c r="J2" s="2693"/>
      <c r="K2" s="2694"/>
      <c r="L2" s="2693"/>
      <c r="M2" s="2693"/>
    </row>
    <row r="3" spans="1:37" ht="18" customHeight="1" thickBot="1">
      <c r="A3" s="1388" t="s">
        <v>881</v>
      </c>
      <c r="B3" s="1389">
        <f ca="1">IF(ISERROR(D2/F43),0,ROUND(D2/F43,0))</f>
        <v>30563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376466</v>
      </c>
      <c r="D5" s="1362" t="s">
        <v>889</v>
      </c>
      <c r="E5" s="1069"/>
      <c r="F5" s="1070"/>
      <c r="G5" s="1382"/>
      <c r="H5" s="299">
        <v>1</v>
      </c>
      <c r="I5" s="300" t="s">
        <v>888</v>
      </c>
      <c r="J5" s="1068">
        <f ca="1">J6+J10+J12</f>
        <v>0</v>
      </c>
      <c r="K5" s="1362" t="s">
        <v>889</v>
      </c>
      <c r="L5" s="1069"/>
      <c r="M5" s="1070"/>
    </row>
    <row r="6" spans="1:37" ht="18" customHeight="1">
      <c r="A6" s="1067" t="s">
        <v>398</v>
      </c>
      <c r="B6" s="3732" t="s">
        <v>694</v>
      </c>
      <c r="C6" s="1072">
        <f ca="1">ROUND(F6*F8*F7*(1-F9),0)</f>
        <v>375996</v>
      </c>
      <c r="D6" s="155" t="s">
        <v>2105</v>
      </c>
      <c r="E6" s="302" t="s">
        <v>696</v>
      </c>
      <c r="F6" s="303">
        <f ca="1">INDIRECT("'数据-取费表'!u"&amp;$G$1)</f>
        <v>6.5</v>
      </c>
      <c r="G6" s="1382"/>
      <c r="H6" s="1067" t="s">
        <v>398</v>
      </c>
      <c r="I6" s="3732" t="s">
        <v>694</v>
      </c>
      <c r="J6" s="301">
        <f ca="1">ROUND(M6*M8*M7*(1-M9),0)</f>
        <v>0</v>
      </c>
      <c r="K6" s="1374" t="s">
        <v>2106</v>
      </c>
      <c r="L6" s="302" t="s">
        <v>696</v>
      </c>
      <c r="M6" s="303">
        <f ca="1">INDIRECT("'数据-取费表'!z"&amp;$G$1)</f>
        <v>0</v>
      </c>
    </row>
    <row r="7" spans="1:37" ht="18" customHeight="1">
      <c r="A7" s="1071"/>
      <c r="B7" s="3733"/>
      <c r="C7" s="1073"/>
      <c r="D7" s="307"/>
      <c r="E7" s="1074" t="s">
        <v>697</v>
      </c>
      <c r="F7" s="303">
        <f ca="1">IF(INDIRECT("'数据-取费表'!ah"&amp;$G$1)="",INDIRECT("'数据-取费表'!k"&amp;$G$1),INDIRECT("'数据-取费表'!ah"&amp;$G$1))</f>
        <v>176.09</v>
      </c>
      <c r="G7" s="1382"/>
      <c r="H7" s="304"/>
      <c r="I7" s="3733"/>
      <c r="J7" s="306"/>
      <c r="K7" s="307"/>
      <c r="L7" s="302" t="s">
        <v>697</v>
      </c>
      <c r="M7" s="303">
        <f ca="1">F7</f>
        <v>176.09</v>
      </c>
    </row>
    <row r="8" spans="1:37" ht="18" customHeight="1">
      <c r="A8" s="304"/>
      <c r="B8" s="3733"/>
      <c r="C8" s="306"/>
      <c r="D8" s="307"/>
      <c r="E8" s="302" t="s">
        <v>698</v>
      </c>
      <c r="F8" s="303">
        <f ca="1">INDIRECT("'数据-取费表'!ai"&amp;$G$1)</f>
        <v>365</v>
      </c>
      <c r="G8" s="1382"/>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2"/>
      <c r="H9" s="304"/>
      <c r="I9" s="3734"/>
      <c r="J9" s="306"/>
      <c r="K9" s="307"/>
      <c r="L9" s="313" t="s">
        <v>699</v>
      </c>
      <c r="M9" s="314">
        <f ca="1">INDIRECT("'数据-取费表'!ab"&amp;$G$1)</f>
        <v>0</v>
      </c>
    </row>
    <row r="10" spans="1:37" ht="18" customHeight="1">
      <c r="A10" s="1067" t="s">
        <v>402</v>
      </c>
      <c r="B10" s="1363" t="s">
        <v>700</v>
      </c>
      <c r="C10" s="316">
        <f ca="1">ROUND(IF(F10="押一",C6/12*F11,IF(F10="押二",C6/12*2*F11,IF(F10="押三",C6/12*3*F11,C11*F11))),0)</f>
        <v>470</v>
      </c>
      <c r="D10" s="1364" t="s">
        <v>2115</v>
      </c>
      <c r="E10" s="313" t="s">
        <v>701</v>
      </c>
      <c r="F10" s="1114" t="s">
        <v>3390</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807666</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704360</v>
      </c>
      <c r="D14" s="1343" t="s">
        <v>708</v>
      </c>
      <c r="E14" s="1340"/>
      <c r="F14" s="319"/>
      <c r="G14" s="1382"/>
      <c r="H14" s="980" t="s">
        <v>398</v>
      </c>
      <c r="I14" s="302" t="s">
        <v>709</v>
      </c>
      <c r="J14" s="21">
        <f ca="1">C29</f>
        <v>1009583</v>
      </c>
      <c r="K14" s="12"/>
      <c r="L14" s="805"/>
      <c r="M14" s="806"/>
    </row>
    <row r="15" spans="1:37" s="1395" customFormat="1" ht="18" customHeight="1" thickBot="1">
      <c r="A15" s="980" t="s">
        <v>399</v>
      </c>
      <c r="B15" s="302" t="s">
        <v>710</v>
      </c>
      <c r="C15" s="21">
        <f ca="1">ROUND(C14*F15,0)</f>
        <v>21131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15144</v>
      </c>
      <c r="K16" s="1085" t="s">
        <v>715</v>
      </c>
      <c r="L16" s="1086"/>
      <c r="M16" s="1070"/>
    </row>
    <row r="17" spans="1:37" s="1395" customFormat="1" ht="18" customHeight="1">
      <c r="A17" s="980" t="s">
        <v>681</v>
      </c>
      <c r="B17" s="302" t="s">
        <v>716</v>
      </c>
      <c r="C17" s="21">
        <f ca="1">ROUND(F17*(F43+INDIRECT("'数据-取费表'!S"&amp;$G$1)),0)</f>
        <v>35218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10565</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771274</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15425</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15144</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27141</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-15144</v>
      </c>
      <c r="K25" s="1093" t="s">
        <v>753</v>
      </c>
      <c r="L25" s="1094"/>
      <c r="M25" s="1095"/>
    </row>
    <row r="26" spans="1:37" ht="18" customHeight="1">
      <c r="A26" s="980" t="s">
        <v>397</v>
      </c>
      <c r="B26" s="302" t="s">
        <v>754</v>
      </c>
      <c r="C26" s="21">
        <f ca="1">ROUND((C19+C20)*F26,0)</f>
        <v>118005</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1009583</v>
      </c>
      <c r="D29" s="1090"/>
      <c r="E29" s="1088"/>
      <c r="F29" s="1091"/>
      <c r="G29" s="1394"/>
      <c r="H29" s="334" t="s">
        <v>396</v>
      </c>
      <c r="I29" s="335" t="s">
        <v>768</v>
      </c>
      <c r="J29" s="336">
        <f ca="1">ROUND(J26/(1+F40)^F41,0)</f>
        <v>0</v>
      </c>
      <c r="K29" s="337" t="s">
        <v>769</v>
      </c>
      <c r="L29" s="338"/>
      <c r="M29" s="339">
        <f ca="1">INDIRECT("'数据-取费表'!k"&amp;$G$1)</f>
        <v>176.09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83144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63024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20053</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42971</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15144</v>
      </c>
      <c r="D36" s="1342" t="s">
        <v>771</v>
      </c>
      <c r="E36" s="302" t="s">
        <v>712</v>
      </c>
      <c r="F36" s="328">
        <f ca="1">INDIRECT("'数据-取费表'!Ak"&amp;$G$1)</f>
        <v>1.4999999999999999E-2</v>
      </c>
      <c r="G36" s="1382"/>
      <c r="H36" s="2698"/>
      <c r="I36" s="1396"/>
      <c r="J36" s="1397"/>
      <c r="K36" s="2542"/>
      <c r="L36" s="2698"/>
      <c r="M36" s="2698"/>
    </row>
    <row r="37" spans="1:18" ht="18" customHeight="1">
      <c r="A37" s="980" t="s">
        <v>437</v>
      </c>
      <c r="B37" s="302" t="s">
        <v>742</v>
      </c>
      <c r="C37" s="21">
        <f ca="1">ROUND(C13*F37,0)</f>
        <v>1211</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3765</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293322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5335810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30.01</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30302</v>
      </c>
      <c r="D43" s="337" t="s">
        <v>777</v>
      </c>
      <c r="E43" s="338" t="s">
        <v>778</v>
      </c>
      <c r="F43" s="339">
        <f ca="1">INDIRECT("'数据-取费表'!k"&amp;$G$1)</f>
        <v>176.09</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-557.35410000000002</v>
      </c>
      <c r="D45" s="3430" t="s">
        <v>3357</v>
      </c>
      <c r="E45" s="1398"/>
      <c r="F45" s="1398"/>
      <c r="O45" s="1401" t="s">
        <v>808</v>
      </c>
      <c r="P45" s="1459"/>
      <c r="Q45" s="1459"/>
      <c r="R45" s="1459"/>
    </row>
    <row r="46" spans="1:18" s="1382" customFormat="1" ht="13.5" thickBot="1">
      <c r="A46" s="1402" t="s">
        <v>809</v>
      </c>
      <c r="C46" s="1403">
        <f ca="1">ROUND(C45,0)</f>
        <v>-557</v>
      </c>
      <c r="D46" s="1404" t="str">
        <f>C2</f>
        <v>万元</v>
      </c>
      <c r="I46" s="1405" t="s">
        <v>810</v>
      </c>
      <c r="J46" s="1406"/>
      <c r="K46" s="1407"/>
      <c r="L46" s="1408">
        <f ca="1">IF(M47="住宅",0,IF(L48&gt;J51,L60,J60))</f>
        <v>46093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3391</v>
      </c>
      <c r="K47" s="1414" t="s">
        <v>816</v>
      </c>
      <c r="L47" s="1415">
        <f ca="1">INDIRECT("'数据-取费表'!d"&amp;$G$1)</f>
        <v>50</v>
      </c>
      <c r="M47" s="1378" t="str">
        <f>IF(ISNUMBER(FIND("住宅",C1)),"住宅","非住宅")</f>
        <v>非住宅</v>
      </c>
      <c r="O47" s="1416" t="s">
        <v>403</v>
      </c>
      <c r="P47" s="1417" t="s">
        <v>817</v>
      </c>
      <c r="Q47" s="1418">
        <f ca="1">C40+J29</f>
        <v>5335810</v>
      </c>
      <c r="R47" s="1418" t="s">
        <v>818</v>
      </c>
    </row>
    <row r="48" spans="1:18" s="1382" customFormat="1" ht="28.5" thickBot="1">
      <c r="A48" s="1108" t="s">
        <v>438</v>
      </c>
      <c r="B48" s="300" t="s">
        <v>692</v>
      </c>
      <c r="C48" s="1357">
        <f ca="1">C49+C53+C55</f>
        <v>0</v>
      </c>
      <c r="D48" s="1110"/>
      <c r="E48" s="1111"/>
      <c r="F48" s="960"/>
      <c r="G48" s="720"/>
      <c r="H48" s="721"/>
      <c r="I48" s="1419" t="s">
        <v>819</v>
      </c>
      <c r="J48" s="1420" t="s">
        <v>3392</v>
      </c>
      <c r="K48" s="1421" t="s">
        <v>820</v>
      </c>
      <c r="L48" s="1422">
        <f ca="1">INDIRECT("'数据-取费表'!f"&amp;$G$1)</f>
        <v>30.01</v>
      </c>
      <c r="O48" s="1416" t="s">
        <v>404</v>
      </c>
      <c r="P48" s="1417" t="s">
        <v>821</v>
      </c>
      <c r="Q48" s="1418">
        <f ca="1">J60</f>
        <v>46093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2005</v>
      </c>
      <c r="K49" s="1421" t="s">
        <v>824</v>
      </c>
      <c r="L49" s="1425"/>
      <c r="O49" s="1426" t="s">
        <v>405</v>
      </c>
      <c r="P49" s="1417" t="s">
        <v>825</v>
      </c>
      <c r="Q49" s="1418">
        <f ca="1">C29</f>
        <v>1009583</v>
      </c>
      <c r="R49" s="1418" t="s">
        <v>818</v>
      </c>
    </row>
    <row r="50" spans="1:18" s="1382" customFormat="1" ht="13.5" thickBot="1">
      <c r="A50" s="974"/>
      <c r="B50" s="977"/>
      <c r="C50" s="978"/>
      <c r="D50" s="951"/>
      <c r="E50" s="1054" t="s">
        <v>697</v>
      </c>
      <c r="F50" s="1055">
        <f ca="1">F7</f>
        <v>176.09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4125561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30.01</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30.01</v>
      </c>
      <c r="K53" s="3730" t="s">
        <v>837</v>
      </c>
      <c r="L53" s="3731"/>
      <c r="O53" s="1416" t="s">
        <v>409</v>
      </c>
      <c r="P53" s="1417" t="s">
        <v>838</v>
      </c>
      <c r="Q53" s="1418">
        <f ca="1">Q47+Q48</f>
        <v>5381903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807666</v>
      </c>
      <c r="D56" s="1445"/>
      <c r="E56" s="1446"/>
      <c r="F56" s="1438"/>
      <c r="I56" s="1447" t="s">
        <v>842</v>
      </c>
      <c r="J56" s="1448" t="s">
        <v>3393</v>
      </c>
      <c r="K56" s="1419" t="s">
        <v>843</v>
      </c>
      <c r="L56" s="1422" t="str">
        <f ca="1">IF(L48&lt;J51,"——",L48-J51)</f>
        <v>——</v>
      </c>
      <c r="O56" s="1416" t="s">
        <v>403</v>
      </c>
      <c r="P56" s="1417" t="s">
        <v>817</v>
      </c>
      <c r="Q56" s="1418">
        <f ca="1">C40+J29</f>
        <v>5335810</v>
      </c>
      <c r="R56" s="1418" t="s">
        <v>818</v>
      </c>
    </row>
    <row r="57" spans="1:18" s="1382" customFormat="1" ht="24.75" thickBot="1">
      <c r="A57" s="1449"/>
      <c r="B57" s="948" t="s">
        <v>767</v>
      </c>
      <c r="C57" s="238">
        <f ca="1">C29</f>
        <v>1009583</v>
      </c>
      <c r="D57" s="1450"/>
      <c r="E57" s="1451"/>
      <c r="F57" s="1452"/>
      <c r="I57" s="1453" t="s">
        <v>844</v>
      </c>
      <c r="J57" s="1454">
        <f ca="1">IF(OR(M47="住宅",J51&lt;L48,J56="是"),"——",J51-L48)</f>
        <v>11.989999999999998</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16355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403833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46093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5335810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15144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1211</v>
      </c>
      <c r="D65" s="962" t="s">
        <v>743</v>
      </c>
      <c r="E65" s="948" t="s">
        <v>744</v>
      </c>
      <c r="F65" s="330">
        <f t="shared" ca="1" si="0"/>
        <v>1.5E-3</v>
      </c>
      <c r="I65" s="1460" t="s">
        <v>867</v>
      </c>
      <c r="J65" s="1461">
        <v>40</v>
      </c>
      <c r="K65" s="1461">
        <v>30</v>
      </c>
      <c r="L65" s="1461">
        <v>50</v>
      </c>
      <c r="M65" s="1463">
        <v>0.02</v>
      </c>
      <c r="O65" s="1416" t="s">
        <v>403</v>
      </c>
      <c r="P65" s="1417" t="s">
        <v>868</v>
      </c>
      <c r="Q65" s="1418">
        <f ca="1">C40+J29</f>
        <v>5335810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-16355</v>
      </c>
      <c r="D67" s="961" t="s">
        <v>753</v>
      </c>
      <c r="E67" s="966"/>
      <c r="F67" s="967"/>
      <c r="O67" s="1426" t="s">
        <v>405</v>
      </c>
      <c r="P67" s="1417" t="s">
        <v>850</v>
      </c>
      <c r="Q67" s="1464">
        <f ca="1">L51</f>
        <v>4125561</v>
      </c>
      <c r="R67" s="1418" t="s">
        <v>870</v>
      </c>
    </row>
    <row r="68" spans="1:18" s="1382" customFormat="1" ht="16.5" thickBot="1">
      <c r="A68" s="945" t="s">
        <v>395</v>
      </c>
      <c r="B68" s="946" t="s">
        <v>774</v>
      </c>
      <c r="C68" s="301">
        <f ca="1">ROUND(C67*(1-((1+F70)/(1+F68))^F69)/(F68-F70),0)</f>
        <v>-237731</v>
      </c>
      <c r="D68" s="963" t="s">
        <v>758</v>
      </c>
      <c r="E68" s="948" t="s">
        <v>759</v>
      </c>
      <c r="F68" s="312">
        <f ca="1">F40</f>
        <v>5.5E-2</v>
      </c>
      <c r="O68" s="1426" t="s">
        <v>406</v>
      </c>
      <c r="P68" s="1465" t="s">
        <v>871</v>
      </c>
      <c r="Q68" s="1418">
        <f ca="1">ROUND(Q69-Q70*Q71,0)</f>
        <v>236785</v>
      </c>
      <c r="R68" s="1418" t="s">
        <v>414</v>
      </c>
    </row>
    <row r="69" spans="1:18" s="1382" customFormat="1" ht="13.5" thickBot="1">
      <c r="A69" s="949"/>
      <c r="B69" s="950"/>
      <c r="C69" s="306"/>
      <c r="D69" s="968" t="s">
        <v>762</v>
      </c>
      <c r="E69" s="948" t="s">
        <v>763</v>
      </c>
      <c r="F69" s="333">
        <f ca="1">F41</f>
        <v>30.01</v>
      </c>
      <c r="O69" s="1426" t="s">
        <v>411</v>
      </c>
      <c r="P69" s="1465" t="s">
        <v>872</v>
      </c>
      <c r="Q69" s="1418">
        <f ca="1">C39</f>
        <v>293322</v>
      </c>
      <c r="R69" s="1418" t="s">
        <v>818</v>
      </c>
    </row>
    <row r="70" spans="1:18" s="1382" customFormat="1" ht="13.5" thickBot="1">
      <c r="A70" s="952"/>
      <c r="B70" s="953"/>
      <c r="C70" s="310"/>
      <c r="D70" s="964"/>
      <c r="E70" s="948" t="s">
        <v>766</v>
      </c>
      <c r="F70" s="1052"/>
      <c r="O70" s="1426" t="s">
        <v>412</v>
      </c>
      <c r="P70" s="1465" t="s">
        <v>873</v>
      </c>
      <c r="Q70" s="1418">
        <f ca="1">C13</f>
        <v>807666</v>
      </c>
      <c r="R70" s="1418" t="s">
        <v>818</v>
      </c>
    </row>
    <row r="71" spans="1:18" s="1382" customFormat="1" ht="13.5" thickBot="1">
      <c r="A71" s="969" t="s">
        <v>396</v>
      </c>
      <c r="B71" s="970" t="s">
        <v>776</v>
      </c>
      <c r="C71" s="336">
        <f ca="1">ROUND(C68/F71,0)</f>
        <v>-1350</v>
      </c>
      <c r="D71" s="971" t="s">
        <v>777</v>
      </c>
      <c r="E71" s="972" t="s">
        <v>778</v>
      </c>
      <c r="F71" s="339">
        <f ca="1">F43</f>
        <v>176.09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56537</v>
      </c>
      <c r="D75" s="1382"/>
      <c r="E75" s="1382"/>
      <c r="F75" s="1382"/>
      <c r="K75" s="1400"/>
      <c r="L75" s="1382"/>
      <c r="O75" s="1416" t="s">
        <v>409</v>
      </c>
      <c r="P75" s="1417" t="s">
        <v>838</v>
      </c>
      <c r="Q75" s="1418">
        <f ca="1">Q65+Q66</f>
        <v>5335810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35" t="s">
        <v>2320</v>
      </c>
      <c r="K2" s="373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37" t="s">
        <v>2330</v>
      </c>
      <c r="K3" s="373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37" t="s">
        <v>2332</v>
      </c>
      <c r="K4" s="373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39" t="s">
        <v>2336</v>
      </c>
      <c r="B6" s="3740"/>
      <c r="C6" s="3741"/>
      <c r="D6" s="2868"/>
      <c r="E6" s="2869"/>
      <c r="F6" s="2870"/>
      <c r="G6" s="2871"/>
      <c r="H6" s="2846"/>
      <c r="I6" s="2847"/>
      <c r="J6" s="3742">
        <v>1</v>
      </c>
      <c r="K6" s="37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42"/>
      <c r="K7" s="37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46" t="s">
        <v>2350</v>
      </c>
      <c r="C8" s="3747"/>
      <c r="D8" s="2887" t="s">
        <v>2351</v>
      </c>
      <c r="E8" s="2888" t="s">
        <v>2352</v>
      </c>
      <c r="F8" s="2889" t="s">
        <v>2353</v>
      </c>
      <c r="G8" s="2890"/>
      <c r="H8" s="2846"/>
      <c r="I8" s="2847"/>
      <c r="J8" s="3742"/>
      <c r="K8" s="37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46" t="s">
        <v>2356</v>
      </c>
      <c r="C9" s="3747"/>
      <c r="D9" s="2887">
        <f>ROUND(D6*E9,0)</f>
        <v>0</v>
      </c>
      <c r="E9" s="2891"/>
      <c r="F9" s="2892" t="s">
        <v>2357</v>
      </c>
      <c r="G9" s="2871"/>
      <c r="H9" s="2846"/>
      <c r="I9" s="2847"/>
      <c r="J9" s="3742"/>
      <c r="K9" s="3744"/>
      <c r="L9" s="2881" t="s">
        <v>2358</v>
      </c>
      <c r="M9" s="2882"/>
      <c r="N9" s="2858"/>
      <c r="O9" s="2883"/>
      <c r="P9" s="2883"/>
      <c r="Q9" s="2884">
        <v>365</v>
      </c>
      <c r="R9" s="2885">
        <f t="shared" si="0"/>
        <v>0</v>
      </c>
      <c r="S9" s="2839"/>
      <c r="T9" s="2839"/>
      <c r="U9" s="2839"/>
      <c r="V9" s="2847"/>
    </row>
    <row r="10" spans="1:22" s="2851" customFormat="1" ht="13.15" customHeight="1">
      <c r="A10" s="2886">
        <v>2</v>
      </c>
      <c r="B10" s="3746" t="s">
        <v>2359</v>
      </c>
      <c r="C10" s="3747"/>
      <c r="D10" s="2887">
        <f>ROUND(D6*E10,0)</f>
        <v>0</v>
      </c>
      <c r="E10" s="2891"/>
      <c r="F10" s="2892" t="s">
        <v>2360</v>
      </c>
      <c r="G10" s="2871"/>
      <c r="H10" s="2846"/>
      <c r="I10" s="2847"/>
      <c r="J10" s="3742"/>
      <c r="K10" s="3744"/>
      <c r="L10" s="2881" t="s">
        <v>2361</v>
      </c>
      <c r="M10" s="2882"/>
      <c r="N10" s="2858"/>
      <c r="O10" s="2883"/>
      <c r="P10" s="2883"/>
      <c r="Q10" s="2884">
        <v>365</v>
      </c>
      <c r="R10" s="2885">
        <f t="shared" si="0"/>
        <v>0</v>
      </c>
      <c r="S10" s="2839"/>
      <c r="T10" s="2839"/>
      <c r="U10" s="2839"/>
      <c r="V10" s="2847"/>
    </row>
    <row r="11" spans="1:22" s="2851" customFormat="1" ht="13.15" customHeight="1">
      <c r="A11" s="2886">
        <v>3</v>
      </c>
      <c r="B11" s="3746" t="s">
        <v>2362</v>
      </c>
      <c r="C11" s="3747"/>
      <c r="D11" s="2887">
        <f>D12+D14+D15+D16</f>
        <v>0</v>
      </c>
      <c r="E11" s="2893" t="e">
        <f>D11/D6</f>
        <v>#DIV/0!</v>
      </c>
      <c r="F11" s="2889"/>
      <c r="G11" s="2890"/>
      <c r="H11" s="2846"/>
      <c r="I11" s="2847"/>
      <c r="J11" s="3742"/>
      <c r="K11" s="37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48" t="s">
        <v>2365</v>
      </c>
      <c r="C12" s="3749"/>
      <c r="D12" s="2895">
        <f>ROUND(D13*1.2%*(1-30%),0)</f>
        <v>0</v>
      </c>
      <c r="E12" s="2896">
        <v>1.2E-2</v>
      </c>
      <c r="F12" s="2889" t="s">
        <v>2366</v>
      </c>
      <c r="G12" s="2890"/>
      <c r="H12" s="2846"/>
      <c r="I12" s="2847"/>
      <c r="J12" s="3742"/>
      <c r="K12" s="37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42"/>
      <c r="K13" s="37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48" t="s">
        <v>2371</v>
      </c>
      <c r="C14" s="3749"/>
      <c r="D14" s="2895">
        <f>ROUND(E14*B5/10000,0)</f>
        <v>0</v>
      </c>
      <c r="E14" s="2884"/>
      <c r="F14" s="2889" t="s">
        <v>2372</v>
      </c>
      <c r="G14" s="2890"/>
      <c r="H14" s="2846"/>
      <c r="I14" s="2847"/>
      <c r="J14" s="3742"/>
      <c r="K14" s="37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48" t="s">
        <v>2375</v>
      </c>
      <c r="C15" s="3749"/>
      <c r="D15" s="2895">
        <f>ROUND(D6*E15,0)</f>
        <v>0</v>
      </c>
      <c r="E15" s="2896">
        <v>5.5E-2</v>
      </c>
      <c r="F15" s="2889" t="s">
        <v>2376</v>
      </c>
      <c r="G15" s="2871"/>
      <c r="H15" s="2846"/>
      <c r="I15" s="2847"/>
      <c r="J15" s="3742">
        <v>2</v>
      </c>
      <c r="K15" s="37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48" t="s">
        <v>2384</v>
      </c>
      <c r="C16" s="3749"/>
      <c r="D16" s="2906">
        <f>D6*E16</f>
        <v>0</v>
      </c>
      <c r="E16" s="2907"/>
      <c r="F16" s="2892" t="s">
        <v>2385</v>
      </c>
      <c r="G16" s="2871"/>
      <c r="H16" s="2846"/>
      <c r="I16" s="2847"/>
      <c r="J16" s="3742"/>
      <c r="K16" s="37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50" t="s">
        <v>2387</v>
      </c>
      <c r="C17" s="3751"/>
      <c r="D17" s="2909">
        <f>ROUND(D6*E17,0)</f>
        <v>0</v>
      </c>
      <c r="E17" s="2910"/>
      <c r="F17" s="2911" t="s">
        <v>2388</v>
      </c>
      <c r="G17" s="2871"/>
      <c r="H17" s="2846"/>
      <c r="I17" s="2847"/>
      <c r="J17" s="3742"/>
      <c r="K17" s="37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42"/>
      <c r="K18" s="37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42"/>
      <c r="K19" s="37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2">
        <v>3</v>
      </c>
      <c r="K20" s="37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42"/>
      <c r="K21" s="37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42"/>
      <c r="K22" s="37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42"/>
      <c r="K23" s="37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42"/>
      <c r="K24" s="37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52">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5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35" t="s">
        <v>2320</v>
      </c>
      <c r="K32" s="373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37" t="s">
        <v>2330</v>
      </c>
      <c r="K33" s="373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37" t="s">
        <v>2332</v>
      </c>
      <c r="K34" s="373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42">
        <v>1</v>
      </c>
      <c r="K36" s="37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42"/>
      <c r="K37" s="37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2"/>
      <c r="K38" s="37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42"/>
      <c r="K39" s="37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42"/>
      <c r="K40" s="37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52">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5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538.19029999999998</v>
      </c>
      <c r="C2" s="1870" t="s">
        <v>1651</v>
      </c>
      <c r="D2" s="1871" t="s">
        <v>1652</v>
      </c>
      <c r="E2" s="2605">
        <f>SUM(E6:E13)</f>
        <v>176.09</v>
      </c>
      <c r="F2" s="2705"/>
      <c r="G2" s="1487"/>
      <c r="H2" s="1487"/>
      <c r="I2" s="1487"/>
      <c r="J2" s="1487"/>
      <c r="K2" s="1487"/>
      <c r="L2" s="1487"/>
      <c r="M2" s="1487"/>
      <c r="N2" s="1487"/>
      <c r="O2" s="1487"/>
      <c r="P2" s="1487"/>
      <c r="Q2" s="1487"/>
      <c r="R2" s="1487"/>
      <c r="S2" s="1487"/>
    </row>
    <row r="3" spans="1:22" ht="15.75">
      <c r="A3" s="1868" t="s">
        <v>686</v>
      </c>
      <c r="B3" s="2599">
        <f ca="1">ROUND(B2*10000/E2,0)</f>
        <v>30563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54" t="s">
        <v>1654</v>
      </c>
      <c r="C5" s="3755"/>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538.19029999999998</v>
      </c>
      <c r="C6" s="1870" t="s">
        <v>1651</v>
      </c>
      <c r="D6" s="2707"/>
      <c r="E6" s="2604">
        <f>IF(OR(A6=0,F6="否"),0,'数据-取费表'!K6+'数据-取费表'!S6)</f>
        <v>176.09</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受贵公司委托，我公司对北京市东城区东四十条甲22号1号楼房地产抵押价值进行了预评估。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估价对象为北京市东城区东四十条甲22号1号楼房地产，为所有。根据《国有土地使用证》[]，估价对象（分摊）出让国有建设用地使用权面积为0平方米，建筑面积为176.09平方米。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四十条甲22号1号楼房地产,为开发建设的办公项目，该项目尚在开发建设中。根据《国有土地使用证》[]，估价对象（分摊）出让国有建设用地使用权面积为0平方米，规划建筑面积为176.09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东四十条甲22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176.09</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3" t="s">
        <v>1667</v>
      </c>
      <c r="D4" s="3664"/>
      <c r="E4" s="3665" t="s">
        <v>1668</v>
      </c>
      <c r="F4" s="3666"/>
      <c r="G4" s="3663" t="s">
        <v>1669</v>
      </c>
      <c r="H4" s="3664"/>
      <c r="I4" s="3663" t="s">
        <v>1670</v>
      </c>
      <c r="J4" s="3664"/>
      <c r="K4" s="1887" t="s">
        <v>1671</v>
      </c>
      <c r="L4" s="2713"/>
      <c r="M4" s="2714"/>
      <c r="N4" s="2714"/>
      <c r="O4" s="2714"/>
      <c r="P4" s="3697" t="s">
        <v>1672</v>
      </c>
      <c r="Q4" s="3698"/>
      <c r="R4" s="3694" t="s">
        <v>1668</v>
      </c>
      <c r="S4" s="3695"/>
      <c r="T4" s="3694" t="s">
        <v>1669</v>
      </c>
      <c r="U4" s="3695"/>
      <c r="V4" s="3676" t="s">
        <v>1670</v>
      </c>
      <c r="W4" s="3676"/>
      <c r="X4" s="1353"/>
      <c r="Y4" s="3694" t="s">
        <v>1672</v>
      </c>
      <c r="Z4" s="3695"/>
      <c r="AA4" s="3693" t="s">
        <v>1668</v>
      </c>
      <c r="AB4" s="3693" t="s">
        <v>1669</v>
      </c>
      <c r="AC4" s="3693" t="s">
        <v>1670</v>
      </c>
    </row>
    <row r="5" spans="1:29" ht="15">
      <c r="A5" s="358"/>
      <c r="B5" s="359"/>
      <c r="C5" s="3653" t="s">
        <v>1673</v>
      </c>
      <c r="D5" s="3654"/>
      <c r="E5" s="3651" t="s">
        <v>1674</v>
      </c>
      <c r="F5" s="3652"/>
      <c r="G5" s="3653" t="s">
        <v>1675</v>
      </c>
      <c r="H5" s="3654"/>
      <c r="I5" s="3653" t="s">
        <v>1676</v>
      </c>
      <c r="J5" s="3654"/>
      <c r="K5" s="1888"/>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1888"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45" t="s">
        <v>1680</v>
      </c>
      <c r="Q7" s="3678"/>
      <c r="R7" s="699" t="s">
        <v>20</v>
      </c>
      <c r="S7" s="700">
        <f t="shared" ref="S7:S15" si="0">F7</f>
        <v>0</v>
      </c>
      <c r="T7" s="699" t="s">
        <v>20</v>
      </c>
      <c r="U7" s="700">
        <f t="shared" ref="U7:U15" si="1">H7</f>
        <v>0</v>
      </c>
      <c r="V7" s="699" t="s">
        <v>20</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45" t="s">
        <v>1683</v>
      </c>
      <c r="Q8" s="3646"/>
      <c r="R8" s="699" t="s">
        <v>20</v>
      </c>
      <c r="S8" s="700">
        <f t="shared" si="0"/>
        <v>100</v>
      </c>
      <c r="T8" s="699" t="s">
        <v>20</v>
      </c>
      <c r="U8" s="700">
        <f t="shared" si="1"/>
        <v>100</v>
      </c>
      <c r="V8" s="699" t="s">
        <v>20</v>
      </c>
      <c r="W8" s="700">
        <f t="shared" si="2"/>
        <v>100</v>
      </c>
      <c r="X8" s="701"/>
      <c r="Y8" s="3645" t="s">
        <v>1683</v>
      </c>
      <c r="Z8" s="364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9"/>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9"/>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9"/>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9"/>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9" t="s">
        <v>1691</v>
      </c>
      <c r="Q15" s="1350" t="str">
        <f t="shared" si="6"/>
        <v>居住社区成熟度</v>
      </c>
      <c r="R15" s="703" t="s">
        <v>18</v>
      </c>
      <c r="S15" s="704">
        <f t="shared" si="0"/>
        <v>100</v>
      </c>
      <c r="T15" s="703" t="s">
        <v>18</v>
      </c>
      <c r="U15" s="704">
        <f t="shared" si="1"/>
        <v>100</v>
      </c>
      <c r="V15" s="703" t="s">
        <v>18</v>
      </c>
      <c r="W15" s="704">
        <f t="shared" si="2"/>
        <v>100</v>
      </c>
      <c r="X15" s="1353"/>
      <c r="Y15" s="368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0"/>
      <c r="Q16" s="1350"/>
      <c r="R16" s="703"/>
      <c r="S16" s="704"/>
      <c r="T16" s="703"/>
      <c r="U16" s="704"/>
      <c r="V16" s="703"/>
      <c r="W16" s="704"/>
      <c r="X16" s="1353"/>
      <c r="Y16" s="3682"/>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0"/>
      <c r="Q17" s="1350" t="str">
        <f>B17</f>
        <v>交通便捷度</v>
      </c>
      <c r="R17" s="703" t="s">
        <v>18</v>
      </c>
      <c r="S17" s="704">
        <f>F17</f>
        <v>100</v>
      </c>
      <c r="T17" s="703" t="s">
        <v>18</v>
      </c>
      <c r="U17" s="704">
        <f>H17</f>
        <v>100</v>
      </c>
      <c r="V17" s="703" t="s">
        <v>18</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0"/>
      <c r="Q19" s="1350" t="str">
        <f>B19</f>
        <v>公共配套设施</v>
      </c>
      <c r="R19" s="703" t="s">
        <v>18</v>
      </c>
      <c r="S19" s="704">
        <f>F19</f>
        <v>100</v>
      </c>
      <c r="T19" s="703" t="s">
        <v>18</v>
      </c>
      <c r="U19" s="704">
        <f>H19</f>
        <v>100</v>
      </c>
      <c r="V19" s="703" t="s">
        <v>18</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0"/>
      <c r="Q22" s="1350"/>
      <c r="R22" s="703"/>
      <c r="S22" s="704"/>
      <c r="T22" s="703"/>
      <c r="U22" s="704"/>
      <c r="V22" s="703"/>
      <c r="W22" s="704"/>
      <c r="X22" s="1353"/>
      <c r="Y22" s="3682"/>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0"/>
      <c r="Q23" s="1350" t="str">
        <f>B23</f>
        <v>自然及人文环境</v>
      </c>
      <c r="R23" s="703" t="s">
        <v>18</v>
      </c>
      <c r="S23" s="704">
        <f>F23</f>
        <v>100</v>
      </c>
      <c r="T23" s="703" t="s">
        <v>18</v>
      </c>
      <c r="U23" s="704">
        <f>H23</f>
        <v>100</v>
      </c>
      <c r="V23" s="703" t="s">
        <v>18</v>
      </c>
      <c r="W23" s="704">
        <f>J23</f>
        <v>100</v>
      </c>
      <c r="X23" s="1353"/>
      <c r="Y23" s="368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8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0"/>
      <c r="Q26" s="1350" t="str">
        <f t="shared" si="11"/>
        <v>朝向</v>
      </c>
      <c r="R26" s="703" t="s">
        <v>18</v>
      </c>
      <c r="S26" s="704">
        <f t="shared" si="12"/>
        <v>100</v>
      </c>
      <c r="T26" s="703" t="s">
        <v>18</v>
      </c>
      <c r="U26" s="704">
        <f t="shared" si="13"/>
        <v>100</v>
      </c>
      <c r="V26" s="703" t="s">
        <v>18</v>
      </c>
      <c r="W26" s="704">
        <f t="shared" si="14"/>
        <v>100</v>
      </c>
      <c r="X26" s="1353"/>
      <c r="Y26" s="368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0"/>
      <c r="Q27" s="1341">
        <f t="shared" si="11"/>
        <v>111</v>
      </c>
      <c r="R27" s="699" t="s">
        <v>18</v>
      </c>
      <c r="S27" s="700">
        <f t="shared" si="12"/>
        <v>100</v>
      </c>
      <c r="T27" s="699" t="s">
        <v>18</v>
      </c>
      <c r="U27" s="700">
        <f t="shared" si="13"/>
        <v>100</v>
      </c>
      <c r="V27" s="699" t="s">
        <v>18</v>
      </c>
      <c r="W27" s="700">
        <f t="shared" si="14"/>
        <v>100</v>
      </c>
      <c r="X27" s="701"/>
      <c r="Y27" s="368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0"/>
      <c r="Q28" s="1350">
        <f t="shared" si="11"/>
        <v>111</v>
      </c>
      <c r="R28" s="703" t="s">
        <v>18</v>
      </c>
      <c r="S28" s="704">
        <f t="shared" si="12"/>
        <v>100</v>
      </c>
      <c r="T28" s="703" t="s">
        <v>18</v>
      </c>
      <c r="U28" s="704">
        <f t="shared" si="13"/>
        <v>100</v>
      </c>
      <c r="V28" s="703" t="s">
        <v>18</v>
      </c>
      <c r="W28" s="704">
        <f t="shared" si="14"/>
        <v>100</v>
      </c>
      <c r="X28" s="1353"/>
      <c r="Y28" s="368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0"/>
      <c r="Q29" s="1350">
        <f t="shared" si="11"/>
        <v>111</v>
      </c>
      <c r="R29" s="703" t="s">
        <v>18</v>
      </c>
      <c r="S29" s="704">
        <f t="shared" si="12"/>
        <v>100</v>
      </c>
      <c r="T29" s="703" t="s">
        <v>18</v>
      </c>
      <c r="U29" s="704">
        <f t="shared" si="13"/>
        <v>100</v>
      </c>
      <c r="V29" s="703" t="s">
        <v>18</v>
      </c>
      <c r="W29" s="704">
        <f t="shared" si="14"/>
        <v>100</v>
      </c>
      <c r="X29" s="1353"/>
      <c r="Y29" s="368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0"/>
      <c r="Q30" s="1350">
        <f t="shared" si="11"/>
        <v>111</v>
      </c>
      <c r="R30" s="703" t="s">
        <v>18</v>
      </c>
      <c r="S30" s="704">
        <f t="shared" si="12"/>
        <v>100</v>
      </c>
      <c r="T30" s="703" t="s">
        <v>18</v>
      </c>
      <c r="U30" s="704">
        <f t="shared" si="13"/>
        <v>100</v>
      </c>
      <c r="V30" s="703" t="s">
        <v>18</v>
      </c>
      <c r="W30" s="704">
        <f t="shared" si="14"/>
        <v>100</v>
      </c>
      <c r="X30" s="1353"/>
      <c r="Y30" s="368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0"/>
      <c r="Q31" s="1350">
        <f t="shared" si="11"/>
        <v>111</v>
      </c>
      <c r="R31" s="703" t="s">
        <v>18</v>
      </c>
      <c r="S31" s="704">
        <f t="shared" si="12"/>
        <v>100</v>
      </c>
      <c r="T31" s="703" t="s">
        <v>18</v>
      </c>
      <c r="U31" s="704">
        <f t="shared" si="13"/>
        <v>100</v>
      </c>
      <c r="V31" s="703" t="s">
        <v>18</v>
      </c>
      <c r="W31" s="704">
        <f t="shared" si="14"/>
        <v>100</v>
      </c>
      <c r="X31" s="1353"/>
      <c r="Y31" s="368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83" t="s">
        <v>1696</v>
      </c>
      <c r="Q32" s="1350" t="str">
        <f t="shared" si="11"/>
        <v>建筑类型</v>
      </c>
      <c r="R32" s="703" t="s">
        <v>18</v>
      </c>
      <c r="S32" s="704">
        <f t="shared" si="12"/>
        <v>100</v>
      </c>
      <c r="T32" s="703" t="s">
        <v>18</v>
      </c>
      <c r="U32" s="704">
        <f t="shared" si="13"/>
        <v>100</v>
      </c>
      <c r="V32" s="703" t="s">
        <v>18</v>
      </c>
      <c r="W32" s="704">
        <f t="shared" si="14"/>
        <v>100</v>
      </c>
      <c r="X32" s="1353"/>
      <c r="Y32" s="368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84"/>
      <c r="Q33" s="705" t="str">
        <f t="shared" si="11"/>
        <v>项目建筑规模</v>
      </c>
      <c r="R33" s="706" t="s">
        <v>18</v>
      </c>
      <c r="S33" s="707" t="e">
        <f t="shared" si="12"/>
        <v>#N/A</v>
      </c>
      <c r="T33" s="706" t="s">
        <v>18</v>
      </c>
      <c r="U33" s="707" t="e">
        <f t="shared" si="13"/>
        <v>#N/A</v>
      </c>
      <c r="V33" s="706" t="s">
        <v>18</v>
      </c>
      <c r="W33" s="707" t="e">
        <f t="shared" si="14"/>
        <v>#N/A</v>
      </c>
      <c r="X33" s="708"/>
      <c r="Y33" s="368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84"/>
      <c r="Q34" s="1350" t="str">
        <f t="shared" si="11"/>
        <v>建筑结构</v>
      </c>
      <c r="R34" s="703" t="s">
        <v>18</v>
      </c>
      <c r="S34" s="704">
        <f t="shared" si="12"/>
        <v>100</v>
      </c>
      <c r="T34" s="703" t="s">
        <v>18</v>
      </c>
      <c r="U34" s="704">
        <f t="shared" si="13"/>
        <v>100</v>
      </c>
      <c r="V34" s="703" t="s">
        <v>18</v>
      </c>
      <c r="W34" s="704">
        <f t="shared" si="14"/>
        <v>100</v>
      </c>
      <c r="X34" s="1353"/>
      <c r="Y34" s="368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84"/>
      <c r="Q35" s="1350" t="str">
        <f t="shared" si="11"/>
        <v>建筑品质</v>
      </c>
      <c r="R35" s="703" t="s">
        <v>18</v>
      </c>
      <c r="S35" s="704">
        <f t="shared" si="12"/>
        <v>100</v>
      </c>
      <c r="T35" s="703" t="s">
        <v>18</v>
      </c>
      <c r="U35" s="704">
        <f t="shared" si="13"/>
        <v>100</v>
      </c>
      <c r="V35" s="703" t="s">
        <v>18</v>
      </c>
      <c r="W35" s="704">
        <f t="shared" si="14"/>
        <v>100</v>
      </c>
      <c r="X35" s="1353"/>
      <c r="Y35" s="368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84"/>
      <c r="Q36" s="1350" t="str">
        <f t="shared" si="11"/>
        <v>公共部分装修</v>
      </c>
      <c r="R36" s="703" t="s">
        <v>18</v>
      </c>
      <c r="S36" s="704">
        <f t="shared" si="12"/>
        <v>100</v>
      </c>
      <c r="T36" s="703" t="s">
        <v>18</v>
      </c>
      <c r="U36" s="704">
        <f t="shared" si="13"/>
        <v>100</v>
      </c>
      <c r="V36" s="703" t="s">
        <v>18</v>
      </c>
      <c r="W36" s="704">
        <f t="shared" si="14"/>
        <v>100</v>
      </c>
      <c r="X36" s="1353"/>
      <c r="Y36" s="368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4"/>
      <c r="Q37" s="1341" t="str">
        <f t="shared" si="11"/>
        <v>成新度</v>
      </c>
      <c r="R37" s="699" t="s">
        <v>18</v>
      </c>
      <c r="S37" s="700" t="e">
        <f t="shared" si="12"/>
        <v>#N/A</v>
      </c>
      <c r="T37" s="699" t="s">
        <v>18</v>
      </c>
      <c r="U37" s="700" t="e">
        <f t="shared" si="13"/>
        <v>#N/A</v>
      </c>
      <c r="V37" s="699" t="s">
        <v>18</v>
      </c>
      <c r="W37" s="700" t="e">
        <f t="shared" si="14"/>
        <v>#N/A</v>
      </c>
      <c r="X37" s="701"/>
      <c r="Y37" s="368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84" t="s">
        <v>1696</v>
      </c>
      <c r="Q38" s="1350" t="str">
        <f t="shared" si="11"/>
        <v>物业管理</v>
      </c>
      <c r="R38" s="703" t="s">
        <v>18</v>
      </c>
      <c r="S38" s="704">
        <f t="shared" si="12"/>
        <v>100</v>
      </c>
      <c r="T38" s="703" t="s">
        <v>18</v>
      </c>
      <c r="U38" s="704">
        <f t="shared" si="13"/>
        <v>100</v>
      </c>
      <c r="V38" s="703" t="s">
        <v>18</v>
      </c>
      <c r="W38" s="704">
        <f t="shared" si="14"/>
        <v>100</v>
      </c>
      <c r="X38" s="1353"/>
      <c r="Y38" s="368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84"/>
      <c r="Q39" s="1350" t="str">
        <f t="shared" si="11"/>
        <v>市政基础设施</v>
      </c>
      <c r="R39" s="703" t="s">
        <v>18</v>
      </c>
      <c r="S39" s="704">
        <f t="shared" si="12"/>
        <v>100</v>
      </c>
      <c r="T39" s="703" t="s">
        <v>18</v>
      </c>
      <c r="U39" s="704">
        <f t="shared" si="13"/>
        <v>100</v>
      </c>
      <c r="V39" s="703" t="s">
        <v>18</v>
      </c>
      <c r="W39" s="704">
        <f t="shared" si="14"/>
        <v>100</v>
      </c>
      <c r="X39" s="1353"/>
      <c r="Y39" s="368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84"/>
      <c r="Q40" s="1350" t="str">
        <f t="shared" si="11"/>
        <v>房型</v>
      </c>
      <c r="R40" s="703" t="s">
        <v>18</v>
      </c>
      <c r="S40" s="704">
        <f t="shared" si="12"/>
        <v>100</v>
      </c>
      <c r="T40" s="703" t="s">
        <v>18</v>
      </c>
      <c r="U40" s="704">
        <f t="shared" si="13"/>
        <v>100</v>
      </c>
      <c r="V40" s="703" t="s">
        <v>18</v>
      </c>
      <c r="W40" s="704">
        <f t="shared" si="14"/>
        <v>100</v>
      </c>
      <c r="X40" s="1353"/>
      <c r="Y40" s="368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84"/>
      <c r="Q41" s="705" t="str">
        <f t="shared" si="11"/>
        <v>单套/主力户型建筑面积</v>
      </c>
      <c r="R41" s="706" t="s">
        <v>18</v>
      </c>
      <c r="S41" s="707">
        <f t="shared" si="12"/>
        <v>100</v>
      </c>
      <c r="T41" s="706" t="s">
        <v>18</v>
      </c>
      <c r="U41" s="707">
        <f t="shared" si="13"/>
        <v>100</v>
      </c>
      <c r="V41" s="706" t="s">
        <v>18</v>
      </c>
      <c r="W41" s="707">
        <f t="shared" si="14"/>
        <v>100</v>
      </c>
      <c r="X41" s="708"/>
      <c r="Y41" s="368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84"/>
      <c r="Q42" s="1350" t="str">
        <f t="shared" si="11"/>
        <v>内部装修</v>
      </c>
      <c r="R42" s="703" t="s">
        <v>18</v>
      </c>
      <c r="S42" s="704">
        <f t="shared" si="12"/>
        <v>100</v>
      </c>
      <c r="T42" s="703" t="s">
        <v>18</v>
      </c>
      <c r="U42" s="704">
        <f t="shared" si="13"/>
        <v>100</v>
      </c>
      <c r="V42" s="703" t="s">
        <v>18</v>
      </c>
      <c r="W42" s="704">
        <f t="shared" si="14"/>
        <v>100</v>
      </c>
      <c r="X42" s="1353"/>
      <c r="Y42" s="368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84"/>
      <c r="Q43" s="1350" t="str">
        <f t="shared" si="11"/>
        <v>内部装修维护情况</v>
      </c>
      <c r="R43" s="703" t="s">
        <v>18</v>
      </c>
      <c r="S43" s="704">
        <f t="shared" si="12"/>
        <v>100</v>
      </c>
      <c r="T43" s="703" t="s">
        <v>18</v>
      </c>
      <c r="U43" s="704">
        <f t="shared" si="13"/>
        <v>100</v>
      </c>
      <c r="V43" s="703" t="s">
        <v>18</v>
      </c>
      <c r="W43" s="704">
        <f t="shared" si="14"/>
        <v>100</v>
      </c>
      <c r="X43" s="1353"/>
      <c r="Y43" s="368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84"/>
      <c r="Q44" s="1341">
        <f t="shared" si="11"/>
        <v>111</v>
      </c>
      <c r="R44" s="699" t="s">
        <v>18</v>
      </c>
      <c r="S44" s="700">
        <f t="shared" si="12"/>
        <v>100</v>
      </c>
      <c r="T44" s="699" t="s">
        <v>18</v>
      </c>
      <c r="U44" s="700">
        <f t="shared" si="13"/>
        <v>100</v>
      </c>
      <c r="V44" s="699" t="s">
        <v>18</v>
      </c>
      <c r="W44" s="700">
        <f t="shared" si="14"/>
        <v>100</v>
      </c>
      <c r="X44" s="701"/>
      <c r="Y44" s="368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84"/>
      <c r="Q45" s="1350">
        <f t="shared" si="11"/>
        <v>111</v>
      </c>
      <c r="R45" s="703" t="s">
        <v>18</v>
      </c>
      <c r="S45" s="704">
        <f t="shared" si="12"/>
        <v>100</v>
      </c>
      <c r="T45" s="703" t="s">
        <v>18</v>
      </c>
      <c r="U45" s="704">
        <f t="shared" si="13"/>
        <v>100</v>
      </c>
      <c r="V45" s="703" t="s">
        <v>18</v>
      </c>
      <c r="W45" s="704">
        <f t="shared" si="14"/>
        <v>100</v>
      </c>
      <c r="X45" s="1353"/>
      <c r="Y45" s="368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85"/>
      <c r="Q46" s="1350">
        <f t="shared" si="11"/>
        <v>111</v>
      </c>
      <c r="R46" s="703" t="s">
        <v>17</v>
      </c>
      <c r="S46" s="704">
        <f t="shared" si="12"/>
        <v>100</v>
      </c>
      <c r="T46" s="703" t="s">
        <v>17</v>
      </c>
      <c r="U46" s="704">
        <f t="shared" si="13"/>
        <v>100</v>
      </c>
      <c r="V46" s="703" t="s">
        <v>17</v>
      </c>
      <c r="W46" s="704">
        <f t="shared" si="14"/>
        <v>100</v>
      </c>
      <c r="X46" s="1353"/>
      <c r="Y46" s="368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88" t="str">
        <f>A47</f>
        <v>成交单价（元/平方米）</v>
      </c>
      <c r="Q47" s="3688"/>
      <c r="R47" s="3689">
        <f>E47</f>
        <v>0</v>
      </c>
      <c r="S47" s="3689"/>
      <c r="T47" s="3689">
        <f>G47</f>
        <v>0</v>
      </c>
      <c r="U47" s="3689"/>
      <c r="V47" s="3689">
        <f>I47</f>
        <v>0</v>
      </c>
      <c r="W47" s="368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09" priority="19" stopIfTrue="1" operator="containsText" text="超过">
      <formula>NOT(ISERROR(SEARCH("超过",F52)))</formula>
    </cfRule>
  </conditionalFormatting>
  <conditionalFormatting sqref="J54">
    <cfRule type="containsText" dxfId="108" priority="18" stopIfTrue="1" operator="containsText" text="超过">
      <formula>NOT(ISERROR(SEARCH("超过",J54)))</formula>
    </cfRule>
  </conditionalFormatting>
  <conditionalFormatting sqref="H54">
    <cfRule type="containsText" dxfId="107" priority="17" stopIfTrue="1" operator="containsText" text="超过">
      <formula>NOT(ISERROR(SEARCH("超过",H54)))</formula>
    </cfRule>
  </conditionalFormatting>
  <conditionalFormatting sqref="F54">
    <cfRule type="containsText" dxfId="106" priority="16" stopIfTrue="1" operator="containsText" text="超过">
      <formula>NOT(ISERROR(SEARCH("超过",F54)))</formula>
    </cfRule>
  </conditionalFormatting>
  <conditionalFormatting sqref="F53 H53 J53">
    <cfRule type="containsText" dxfId="105" priority="15" stopIfTrue="1" operator="containsText" text="超过">
      <formula>NOT(ISERROR(SEARCH("超过",F53)))</formula>
    </cfRule>
  </conditionalFormatting>
  <conditionalFormatting sqref="E52">
    <cfRule type="expression" dxfId="104" priority="14" stopIfTrue="1">
      <formula>$F$52="超过30%"</formula>
    </cfRule>
  </conditionalFormatting>
  <conditionalFormatting sqref="G54">
    <cfRule type="expression" dxfId="103" priority="12" stopIfTrue="1">
      <formula>$H$54="超过30%"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F7:F46 H7:H46 J7:J46">
    <cfRule type="cellIs" dxfId="9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176.09</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76"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76"/>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76"/>
      <c r="AC6" s="3644"/>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9"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9"/>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9"/>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9"/>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9"/>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9"/>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9" t="s">
        <v>1691</v>
      </c>
      <c r="Q15" s="1350" t="str">
        <f t="shared" si="6"/>
        <v>商业繁华度</v>
      </c>
      <c r="R15" s="703" t="s">
        <v>14</v>
      </c>
      <c r="S15" s="704">
        <f t="shared" si="0"/>
        <v>100</v>
      </c>
      <c r="T15" s="703" t="s">
        <v>14</v>
      </c>
      <c r="U15" s="704">
        <f t="shared" si="1"/>
        <v>100</v>
      </c>
      <c r="V15" s="703" t="s">
        <v>14</v>
      </c>
      <c r="W15" s="704">
        <f t="shared" si="2"/>
        <v>100</v>
      </c>
      <c r="X15" s="1353"/>
      <c r="Y15" s="368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0"/>
      <c r="Q16" s="1350"/>
      <c r="R16" s="703"/>
      <c r="S16" s="704"/>
      <c r="T16" s="703"/>
      <c r="U16" s="704"/>
      <c r="V16" s="703"/>
      <c r="W16" s="704"/>
      <c r="X16" s="1353"/>
      <c r="Y16" s="3682"/>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0"/>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0"/>
      <c r="Q18" s="1350"/>
      <c r="R18" s="703"/>
      <c r="S18" s="704"/>
      <c r="T18" s="703"/>
      <c r="U18" s="704"/>
      <c r="V18" s="703"/>
      <c r="W18" s="704"/>
      <c r="X18" s="1353"/>
      <c r="Y18" s="3682"/>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8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0"/>
      <c r="Q20" s="1350"/>
      <c r="R20" s="703"/>
      <c r="S20" s="704"/>
      <c r="T20" s="703"/>
      <c r="U20" s="704"/>
      <c r="V20" s="703"/>
      <c r="W20" s="704"/>
      <c r="X20" s="1353"/>
      <c r="Y20" s="3682"/>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8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0"/>
      <c r="Q22" s="1350"/>
      <c r="R22" s="703"/>
      <c r="S22" s="704"/>
      <c r="T22" s="703"/>
      <c r="U22" s="704"/>
      <c r="V22" s="703"/>
      <c r="W22" s="704"/>
      <c r="X22" s="1353"/>
      <c r="Y22" s="3682"/>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0"/>
      <c r="Q23" s="1350" t="str">
        <f>B23</f>
        <v>自然及人文环境</v>
      </c>
      <c r="R23" s="703" t="s">
        <v>14</v>
      </c>
      <c r="S23" s="704">
        <f>F23</f>
        <v>100</v>
      </c>
      <c r="T23" s="703" t="s">
        <v>14</v>
      </c>
      <c r="U23" s="704">
        <f>H23</f>
        <v>100</v>
      </c>
      <c r="V23" s="703" t="s">
        <v>14</v>
      </c>
      <c r="W23" s="704">
        <f>J23</f>
        <v>100</v>
      </c>
      <c r="X23" s="1353"/>
      <c r="Y23" s="368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0"/>
      <c r="Q24" s="1350"/>
      <c r="R24" s="703"/>
      <c r="S24" s="704"/>
      <c r="T24" s="703"/>
      <c r="U24" s="704"/>
      <c r="V24" s="703"/>
      <c r="W24" s="704"/>
      <c r="X24" s="1353"/>
      <c r="Y24" s="368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0"/>
      <c r="Q25" s="1350" t="str">
        <f t="shared" ref="Q25:Q46" si="11">B25</f>
        <v>临街状况</v>
      </c>
      <c r="R25" s="703" t="s">
        <v>14</v>
      </c>
      <c r="S25" s="704">
        <f>F25</f>
        <v>100</v>
      </c>
      <c r="T25" s="703" t="s">
        <v>14</v>
      </c>
      <c r="U25" s="704">
        <f>H25</f>
        <v>100</v>
      </c>
      <c r="V25" s="703" t="s">
        <v>14</v>
      </c>
      <c r="W25" s="704">
        <f>J25</f>
        <v>100</v>
      </c>
      <c r="X25" s="1353"/>
      <c r="Y25" s="368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0"/>
      <c r="Q26" s="1350" t="str">
        <f t="shared" si="11"/>
        <v>平面位置/可视性</v>
      </c>
      <c r="R26" s="703" t="s">
        <v>14</v>
      </c>
      <c r="S26" s="704">
        <f>F26</f>
        <v>100</v>
      </c>
      <c r="T26" s="703" t="s">
        <v>14</v>
      </c>
      <c r="U26" s="704">
        <f>H26</f>
        <v>100</v>
      </c>
      <c r="V26" s="703" t="s">
        <v>14</v>
      </c>
      <c r="W26" s="704">
        <f>J26</f>
        <v>100</v>
      </c>
      <c r="X26" s="1353"/>
      <c r="Y26" s="368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0"/>
      <c r="Q27" s="1341" t="str">
        <f t="shared" si="11"/>
        <v>人流量</v>
      </c>
      <c r="R27" s="699" t="s">
        <v>14</v>
      </c>
      <c r="S27" s="700">
        <f>F27</f>
        <v>100</v>
      </c>
      <c r="T27" s="699" t="s">
        <v>14</v>
      </c>
      <c r="U27" s="700">
        <f>H27</f>
        <v>100</v>
      </c>
      <c r="V27" s="699" t="s">
        <v>14</v>
      </c>
      <c r="W27" s="700">
        <f>J27</f>
        <v>100</v>
      </c>
      <c r="X27" s="701"/>
      <c r="Y27" s="368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8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0"/>
      <c r="Q29" s="1350">
        <f t="shared" si="11"/>
        <v>111</v>
      </c>
      <c r="R29" s="703" t="s">
        <v>14</v>
      </c>
      <c r="S29" s="704">
        <f t="shared" si="12"/>
        <v>100</v>
      </c>
      <c r="T29" s="703" t="s">
        <v>14</v>
      </c>
      <c r="U29" s="704">
        <f t="shared" si="13"/>
        <v>100</v>
      </c>
      <c r="V29" s="703" t="s">
        <v>14</v>
      </c>
      <c r="W29" s="704">
        <f t="shared" si="14"/>
        <v>100</v>
      </c>
      <c r="X29" s="1353"/>
      <c r="Y29" s="368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8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8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83" t="s">
        <v>1696</v>
      </c>
      <c r="Q32" s="1350" t="str">
        <f t="shared" si="11"/>
        <v>商业类型</v>
      </c>
      <c r="R32" s="703" t="s">
        <v>14</v>
      </c>
      <c r="S32" s="704">
        <f t="shared" si="12"/>
        <v>100</v>
      </c>
      <c r="T32" s="703" t="s">
        <v>14</v>
      </c>
      <c r="U32" s="704">
        <f t="shared" si="13"/>
        <v>100</v>
      </c>
      <c r="V32" s="703" t="s">
        <v>14</v>
      </c>
      <c r="W32" s="704">
        <f t="shared" si="14"/>
        <v>100</v>
      </c>
      <c r="X32" s="1353"/>
      <c r="Y32" s="368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4"/>
      <c r="Q33" s="705" t="str">
        <f t="shared" si="11"/>
        <v>项目建筑规模</v>
      </c>
      <c r="R33" s="706" t="s">
        <v>14</v>
      </c>
      <c r="S33" s="707" t="e">
        <f t="shared" si="12"/>
        <v>#N/A</v>
      </c>
      <c r="T33" s="706" t="s">
        <v>14</v>
      </c>
      <c r="U33" s="707" t="e">
        <f t="shared" si="13"/>
        <v>#N/A</v>
      </c>
      <c r="V33" s="706" t="s">
        <v>14</v>
      </c>
      <c r="W33" s="707" t="e">
        <f t="shared" si="14"/>
        <v>#N/A</v>
      </c>
      <c r="X33" s="708"/>
      <c r="Y33" s="368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84"/>
      <c r="Q34" s="1350" t="str">
        <f t="shared" si="11"/>
        <v>建筑结构</v>
      </c>
      <c r="R34" s="703" t="s">
        <v>14</v>
      </c>
      <c r="S34" s="704">
        <f t="shared" si="12"/>
        <v>100</v>
      </c>
      <c r="T34" s="703" t="s">
        <v>14</v>
      </c>
      <c r="U34" s="704">
        <f t="shared" si="13"/>
        <v>100</v>
      </c>
      <c r="V34" s="703" t="s">
        <v>14</v>
      </c>
      <c r="W34" s="704">
        <f t="shared" si="14"/>
        <v>100</v>
      </c>
      <c r="X34" s="1353"/>
      <c r="Y34" s="368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84"/>
      <c r="Q35" s="1350" t="str">
        <f t="shared" si="11"/>
        <v>公共部分装修</v>
      </c>
      <c r="R35" s="703" t="s">
        <v>14</v>
      </c>
      <c r="S35" s="704">
        <f t="shared" si="12"/>
        <v>100</v>
      </c>
      <c r="T35" s="703" t="s">
        <v>14</v>
      </c>
      <c r="U35" s="704">
        <f t="shared" si="13"/>
        <v>100</v>
      </c>
      <c r="V35" s="703" t="s">
        <v>14</v>
      </c>
      <c r="W35" s="704">
        <f t="shared" si="14"/>
        <v>100</v>
      </c>
      <c r="X35" s="1353"/>
      <c r="Y35" s="368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4"/>
      <c r="Q36" s="1350" t="str">
        <f t="shared" si="11"/>
        <v>成新度</v>
      </c>
      <c r="R36" s="703" t="s">
        <v>14</v>
      </c>
      <c r="S36" s="704" t="e">
        <f t="shared" si="12"/>
        <v>#N/A</v>
      </c>
      <c r="T36" s="703" t="s">
        <v>14</v>
      </c>
      <c r="U36" s="704" t="e">
        <f t="shared" si="13"/>
        <v>#N/A</v>
      </c>
      <c r="V36" s="703" t="s">
        <v>14</v>
      </c>
      <c r="W36" s="704" t="e">
        <f t="shared" si="14"/>
        <v>#N/A</v>
      </c>
      <c r="X36" s="1353"/>
      <c r="Y36" s="368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84"/>
      <c r="Q37" s="1341" t="str">
        <f t="shared" si="11"/>
        <v>市政基础设施</v>
      </c>
      <c r="R37" s="699" t="s">
        <v>14</v>
      </c>
      <c r="S37" s="700">
        <f t="shared" si="12"/>
        <v>100</v>
      </c>
      <c r="T37" s="699" t="s">
        <v>14</v>
      </c>
      <c r="U37" s="700">
        <f t="shared" si="13"/>
        <v>100</v>
      </c>
      <c r="V37" s="699" t="s">
        <v>14</v>
      </c>
      <c r="W37" s="700">
        <f t="shared" si="14"/>
        <v>100</v>
      </c>
      <c r="X37" s="701"/>
      <c r="Y37" s="368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84" t="s">
        <v>1696</v>
      </c>
      <c r="Q38" s="1350" t="str">
        <f t="shared" si="11"/>
        <v>业态</v>
      </c>
      <c r="R38" s="703" t="s">
        <v>14</v>
      </c>
      <c r="S38" s="704">
        <f t="shared" si="12"/>
        <v>100</v>
      </c>
      <c r="T38" s="703" t="s">
        <v>14</v>
      </c>
      <c r="U38" s="704">
        <f t="shared" si="13"/>
        <v>100</v>
      </c>
      <c r="V38" s="703" t="s">
        <v>14</v>
      </c>
      <c r="W38" s="704">
        <f t="shared" si="14"/>
        <v>100</v>
      </c>
      <c r="X38" s="1353"/>
      <c r="Y38" s="368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84"/>
      <c r="Q39" s="1350" t="str">
        <f t="shared" si="11"/>
        <v>层高</v>
      </c>
      <c r="R39" s="703" t="s">
        <v>14</v>
      </c>
      <c r="S39" s="704">
        <f t="shared" si="12"/>
        <v>100</v>
      </c>
      <c r="T39" s="703" t="s">
        <v>14</v>
      </c>
      <c r="U39" s="704">
        <f t="shared" si="13"/>
        <v>100</v>
      </c>
      <c r="V39" s="703" t="s">
        <v>14</v>
      </c>
      <c r="W39" s="704">
        <f t="shared" si="14"/>
        <v>100</v>
      </c>
      <c r="X39" s="1353"/>
      <c r="Y39" s="368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4"/>
      <c r="Q40" s="1350" t="str">
        <f t="shared" si="11"/>
        <v>单套建筑面积</v>
      </c>
      <c r="R40" s="703" t="s">
        <v>14</v>
      </c>
      <c r="S40" s="704">
        <f t="shared" si="12"/>
        <v>100</v>
      </c>
      <c r="T40" s="703" t="s">
        <v>14</v>
      </c>
      <c r="U40" s="704">
        <f t="shared" si="13"/>
        <v>100</v>
      </c>
      <c r="V40" s="703" t="s">
        <v>14</v>
      </c>
      <c r="W40" s="704">
        <f t="shared" si="14"/>
        <v>100</v>
      </c>
      <c r="X40" s="1353"/>
      <c r="Y40" s="368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4"/>
      <c r="Q41" s="705" t="str">
        <f t="shared" si="11"/>
        <v>进深比</v>
      </c>
      <c r="R41" s="706" t="s">
        <v>14</v>
      </c>
      <c r="S41" s="707">
        <f t="shared" si="12"/>
        <v>100</v>
      </c>
      <c r="T41" s="706" t="s">
        <v>14</v>
      </c>
      <c r="U41" s="707">
        <f t="shared" si="13"/>
        <v>100</v>
      </c>
      <c r="V41" s="706" t="s">
        <v>14</v>
      </c>
      <c r="W41" s="707">
        <f t="shared" si="14"/>
        <v>100</v>
      </c>
      <c r="X41" s="708"/>
      <c r="Y41" s="368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84"/>
      <c r="Q42" s="1350" t="str">
        <f t="shared" si="11"/>
        <v>内部装修</v>
      </c>
      <c r="R42" s="703" t="s">
        <v>14</v>
      </c>
      <c r="S42" s="704">
        <f t="shared" si="12"/>
        <v>100</v>
      </c>
      <c r="T42" s="703" t="s">
        <v>14</v>
      </c>
      <c r="U42" s="704">
        <f t="shared" si="13"/>
        <v>100</v>
      </c>
      <c r="V42" s="703" t="s">
        <v>14</v>
      </c>
      <c r="W42" s="704">
        <f t="shared" si="14"/>
        <v>100</v>
      </c>
      <c r="X42" s="1353"/>
      <c r="Y42" s="368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84"/>
      <c r="Q43" s="1350" t="str">
        <f t="shared" si="11"/>
        <v>内部装修维护情况</v>
      </c>
      <c r="R43" s="703" t="s">
        <v>14</v>
      </c>
      <c r="S43" s="704">
        <f t="shared" si="12"/>
        <v>100</v>
      </c>
      <c r="T43" s="703" t="s">
        <v>14</v>
      </c>
      <c r="U43" s="704">
        <f t="shared" si="13"/>
        <v>100</v>
      </c>
      <c r="V43" s="703" t="s">
        <v>14</v>
      </c>
      <c r="W43" s="704">
        <f t="shared" si="14"/>
        <v>100</v>
      </c>
      <c r="X43" s="1353"/>
      <c r="Y43" s="368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4"/>
      <c r="Q44" s="1341">
        <f t="shared" si="11"/>
        <v>111</v>
      </c>
      <c r="R44" s="699" t="s">
        <v>14</v>
      </c>
      <c r="S44" s="700">
        <f t="shared" si="12"/>
        <v>100</v>
      </c>
      <c r="T44" s="699" t="s">
        <v>14</v>
      </c>
      <c r="U44" s="700">
        <f t="shared" si="13"/>
        <v>100</v>
      </c>
      <c r="V44" s="699" t="s">
        <v>14</v>
      </c>
      <c r="W44" s="700">
        <f t="shared" si="14"/>
        <v>100</v>
      </c>
      <c r="X44" s="701"/>
      <c r="Y44" s="368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4"/>
      <c r="Q45" s="1350">
        <f t="shared" si="11"/>
        <v>111</v>
      </c>
      <c r="R45" s="703" t="s">
        <v>14</v>
      </c>
      <c r="S45" s="704">
        <f t="shared" si="12"/>
        <v>100</v>
      </c>
      <c r="T45" s="703" t="s">
        <v>14</v>
      </c>
      <c r="U45" s="704">
        <f t="shared" si="13"/>
        <v>100</v>
      </c>
      <c r="V45" s="703" t="s">
        <v>14</v>
      </c>
      <c r="W45" s="704">
        <f t="shared" si="14"/>
        <v>100</v>
      </c>
      <c r="X45" s="1353"/>
      <c r="Y45" s="368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5"/>
      <c r="Q46" s="1350">
        <f t="shared" si="11"/>
        <v>111</v>
      </c>
      <c r="R46" s="703" t="s">
        <v>14</v>
      </c>
      <c r="S46" s="704">
        <f t="shared" si="12"/>
        <v>100</v>
      </c>
      <c r="T46" s="703" t="s">
        <v>14</v>
      </c>
      <c r="U46" s="704">
        <f t="shared" si="13"/>
        <v>100</v>
      </c>
      <c r="V46" s="703" t="s">
        <v>14</v>
      </c>
      <c r="W46" s="704">
        <f t="shared" si="14"/>
        <v>100</v>
      </c>
      <c r="X46" s="1353"/>
      <c r="Y46" s="368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88" t="str">
        <f>A47</f>
        <v>成交单价（元/平方米）</v>
      </c>
      <c r="Q47" s="3688"/>
      <c r="R47" s="3676">
        <f>E47</f>
        <v>0</v>
      </c>
      <c r="S47" s="3676"/>
      <c r="T47" s="3676">
        <f>G47</f>
        <v>0</v>
      </c>
      <c r="U47" s="3676"/>
      <c r="V47" s="3676">
        <f>I47</f>
        <v>0</v>
      </c>
      <c r="W47" s="367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1" priority="21" stopIfTrue="1" operator="containsText" text="超过">
      <formula>NOT(ISERROR(SEARCH("超过",F52)))</formula>
    </cfRule>
  </conditionalFormatting>
  <conditionalFormatting sqref="H54">
    <cfRule type="containsText" dxfId="90" priority="19" stopIfTrue="1" operator="containsText" text="超过">
      <formula>NOT(ISERROR(SEARCH("超过",H54)))</formula>
    </cfRule>
  </conditionalFormatting>
  <conditionalFormatting sqref="F54">
    <cfRule type="containsText" dxfId="89" priority="18" stopIfTrue="1" operator="containsText" text="超过">
      <formula>NOT(ISERROR(SEARCH("超过",F54)))</formula>
    </cfRule>
  </conditionalFormatting>
  <conditionalFormatting sqref="F53 H53">
    <cfRule type="containsText" dxfId="88" priority="17" stopIfTrue="1" operator="containsText" text="超过">
      <formula>NOT(ISERROR(SEARCH("超过",F53)))</formula>
    </cfRule>
  </conditionalFormatting>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G54">
    <cfRule type="expression" dxfId="84" priority="13" stopIfTrue="1">
      <formula>$H$54="超过30%"</formula>
    </cfRule>
  </conditionalFormatting>
  <conditionalFormatting sqref="G52">
    <cfRule type="expression" dxfId="83" priority="12" stopIfTrue="1">
      <formula>$H$52="超过30%"</formula>
    </cfRule>
  </conditionalFormatting>
  <conditionalFormatting sqref="G53">
    <cfRule type="expression" dxfId="82" priority="11" stopIfTrue="1">
      <formula>$H$53="超过20%"</formula>
    </cfRule>
  </conditionalFormatting>
  <conditionalFormatting sqref="J52">
    <cfRule type="containsText" dxfId="81" priority="10" stopIfTrue="1" operator="containsText" text="超过">
      <formula>NOT(ISERROR(SEARCH("超过",J52)))</formula>
    </cfRule>
  </conditionalFormatting>
  <conditionalFormatting sqref="J54">
    <cfRule type="containsText" dxfId="80" priority="9" stopIfTrue="1" operator="containsText" text="超过">
      <formula>NOT(ISERROR(SEARCH("超过",J54)))</formula>
    </cfRule>
  </conditionalFormatting>
  <conditionalFormatting sqref="J53">
    <cfRule type="containsText" dxfId="79" priority="8" stopIfTrue="1" operator="containsText" text="超过">
      <formula>NOT(ISERROR(SEARCH("超过",J53)))</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48">
    <cfRule type="expression" dxfId="75" priority="4">
      <formula>$D$48="简单平均"</formula>
    </cfRule>
  </conditionalFormatting>
  <conditionalFormatting sqref="H48">
    <cfRule type="expression" dxfId="74" priority="3">
      <formula>$D$48="简单平均"</formula>
    </cfRule>
  </conditionalFormatting>
  <conditionalFormatting sqref="J48">
    <cfRule type="expression" dxfId="73" priority="2">
      <formula>$D$48="简单平均"</formula>
    </cfRule>
  </conditionalFormatting>
  <conditionalFormatting sqref="F7:F46 H7:H46 J7:J46">
    <cfRule type="cellIs" dxfId="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82"/>
      <c r="Q15" s="1350"/>
      <c r="R15" s="703"/>
      <c r="S15" s="704"/>
      <c r="T15" s="703"/>
      <c r="U15" s="704"/>
      <c r="V15" s="703"/>
      <c r="W15" s="704"/>
      <c r="X15" s="1353"/>
      <c r="Y15" s="3682"/>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82"/>
      <c r="Q17" s="1350"/>
      <c r="R17" s="703"/>
      <c r="S17" s="704"/>
      <c r="T17" s="703"/>
      <c r="U17" s="704"/>
      <c r="V17" s="703"/>
      <c r="W17" s="704"/>
      <c r="X17" s="1353"/>
      <c r="Y17" s="3682"/>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82"/>
      <c r="Q19" s="1350"/>
      <c r="R19" s="703"/>
      <c r="S19" s="704"/>
      <c r="T19" s="703"/>
      <c r="U19" s="704"/>
      <c r="V19" s="703"/>
      <c r="W19" s="704"/>
      <c r="X19" s="1353"/>
      <c r="Y19" s="3682"/>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82"/>
      <c r="Q21" s="1350"/>
      <c r="R21" s="703"/>
      <c r="S21" s="704"/>
      <c r="T21" s="703"/>
      <c r="U21" s="704"/>
      <c r="V21" s="703"/>
      <c r="W21" s="704"/>
      <c r="X21" s="1353"/>
      <c r="Y21" s="368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2"/>
      <c r="Q24" s="1350">
        <f t="shared" ref="Q24:Q36"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01"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8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6"/>
      <c r="Q27" s="705" t="str">
        <f t="shared" si="11"/>
        <v>项目停车位配比</v>
      </c>
      <c r="R27" s="706" t="s">
        <v>14</v>
      </c>
      <c r="S27" s="707">
        <f t="shared" si="12"/>
        <v>100</v>
      </c>
      <c r="T27" s="706" t="s">
        <v>14</v>
      </c>
      <c r="U27" s="707">
        <f t="shared" si="13"/>
        <v>100</v>
      </c>
      <c r="V27" s="706" t="s">
        <v>14</v>
      </c>
      <c r="W27" s="707">
        <f t="shared" si="14"/>
        <v>100</v>
      </c>
      <c r="X27" s="708"/>
      <c r="Y27" s="368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6"/>
      <c r="Q28" s="1350" t="str">
        <f t="shared" si="11"/>
        <v>公共部分装修</v>
      </c>
      <c r="R28" s="703" t="s">
        <v>14</v>
      </c>
      <c r="S28" s="704">
        <f t="shared" si="12"/>
        <v>100</v>
      </c>
      <c r="T28" s="703" t="s">
        <v>14</v>
      </c>
      <c r="U28" s="704">
        <f t="shared" si="13"/>
        <v>100</v>
      </c>
      <c r="V28" s="703" t="s">
        <v>14</v>
      </c>
      <c r="W28" s="704">
        <f t="shared" si="14"/>
        <v>100</v>
      </c>
      <c r="X28" s="1353"/>
      <c r="Y28" s="368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6"/>
      <c r="Q29" s="1350" t="str">
        <f t="shared" si="11"/>
        <v>成新率</v>
      </c>
      <c r="R29" s="703" t="s">
        <v>14</v>
      </c>
      <c r="S29" s="704" t="e">
        <f t="shared" si="12"/>
        <v>#N/A</v>
      </c>
      <c r="T29" s="703" t="s">
        <v>14</v>
      </c>
      <c r="U29" s="704" t="e">
        <f t="shared" si="13"/>
        <v>#N/A</v>
      </c>
      <c r="V29" s="703" t="s">
        <v>14</v>
      </c>
      <c r="W29" s="704" t="e">
        <f t="shared" si="14"/>
        <v>#N/A</v>
      </c>
      <c r="X29" s="1353"/>
      <c r="Y29" s="368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6"/>
      <c r="Q30" s="1350" t="str">
        <f t="shared" si="11"/>
        <v>物业等级</v>
      </c>
      <c r="R30" s="703" t="s">
        <v>14</v>
      </c>
      <c r="S30" s="704">
        <f t="shared" si="12"/>
        <v>100</v>
      </c>
      <c r="T30" s="703" t="s">
        <v>14</v>
      </c>
      <c r="U30" s="704">
        <f t="shared" si="13"/>
        <v>100</v>
      </c>
      <c r="V30" s="703" t="s">
        <v>14</v>
      </c>
      <c r="W30" s="704">
        <f t="shared" si="14"/>
        <v>100</v>
      </c>
      <c r="X30" s="1353"/>
      <c r="Y30" s="368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6"/>
      <c r="Q31" s="1341" t="str">
        <f t="shared" si="11"/>
        <v>停车位面积</v>
      </c>
      <c r="R31" s="699" t="s">
        <v>14</v>
      </c>
      <c r="S31" s="700" t="e">
        <f t="shared" si="12"/>
        <v>#N/A</v>
      </c>
      <c r="T31" s="699" t="s">
        <v>14</v>
      </c>
      <c r="U31" s="700" t="e">
        <f t="shared" si="13"/>
        <v>#N/A</v>
      </c>
      <c r="V31" s="699" t="s">
        <v>14</v>
      </c>
      <c r="W31" s="700" t="e">
        <f t="shared" si="14"/>
        <v>#N/A</v>
      </c>
      <c r="X31" s="701"/>
      <c r="Y31" s="368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6" t="s">
        <v>1696</v>
      </c>
      <c r="Q32" s="1350" t="str">
        <f t="shared" si="11"/>
        <v>车位类型</v>
      </c>
      <c r="R32" s="703" t="s">
        <v>14</v>
      </c>
      <c r="S32" s="704">
        <f t="shared" si="12"/>
        <v>100</v>
      </c>
      <c r="T32" s="703" t="s">
        <v>14</v>
      </c>
      <c r="U32" s="704">
        <f t="shared" si="13"/>
        <v>100</v>
      </c>
      <c r="V32" s="703" t="s">
        <v>14</v>
      </c>
      <c r="W32" s="704">
        <f t="shared" si="14"/>
        <v>100</v>
      </c>
      <c r="X32" s="1353"/>
      <c r="Y32" s="368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6"/>
      <c r="Q33" s="1350" t="str">
        <f t="shared" si="11"/>
        <v>是否直接入户</v>
      </c>
      <c r="R33" s="703" t="s">
        <v>14</v>
      </c>
      <c r="S33" s="704">
        <f t="shared" si="12"/>
        <v>100</v>
      </c>
      <c r="T33" s="703" t="s">
        <v>14</v>
      </c>
      <c r="U33" s="704">
        <f t="shared" si="13"/>
        <v>100</v>
      </c>
      <c r="V33" s="703" t="s">
        <v>14</v>
      </c>
      <c r="W33" s="704">
        <f t="shared" si="14"/>
        <v>100</v>
      </c>
      <c r="X33" s="1353"/>
      <c r="Y33" s="368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6"/>
      <c r="Q35" s="705">
        <f t="shared" si="11"/>
        <v>111</v>
      </c>
      <c r="R35" s="706" t="s">
        <v>14</v>
      </c>
      <c r="S35" s="707">
        <f t="shared" si="12"/>
        <v>100</v>
      </c>
      <c r="T35" s="706" t="s">
        <v>14</v>
      </c>
      <c r="U35" s="707">
        <f t="shared" si="13"/>
        <v>100</v>
      </c>
      <c r="V35" s="706" t="s">
        <v>14</v>
      </c>
      <c r="W35" s="707">
        <f t="shared" si="14"/>
        <v>100</v>
      </c>
      <c r="X35" s="708"/>
      <c r="Y35" s="368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6"/>
      <c r="Q36" s="1350">
        <f t="shared" si="11"/>
        <v>111</v>
      </c>
      <c r="R36" s="703" t="s">
        <v>14</v>
      </c>
      <c r="S36" s="704">
        <f t="shared" si="12"/>
        <v>100</v>
      </c>
      <c r="T36" s="703" t="s">
        <v>14</v>
      </c>
      <c r="U36" s="704">
        <f t="shared" si="13"/>
        <v>100</v>
      </c>
      <c r="V36" s="703" t="s">
        <v>14</v>
      </c>
      <c r="W36" s="704">
        <f t="shared" si="14"/>
        <v>100</v>
      </c>
      <c r="X36" s="1353"/>
      <c r="Y36" s="3686"/>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688" t="str">
        <f>A37</f>
        <v>成交单价</v>
      </c>
      <c r="Q37" s="3688"/>
      <c r="R37" s="3689">
        <f>E37</f>
        <v>0</v>
      </c>
      <c r="S37" s="3689"/>
      <c r="T37" s="3689">
        <f>G37</f>
        <v>0</v>
      </c>
      <c r="U37" s="3689"/>
      <c r="V37" s="3689">
        <f>I37</f>
        <v>0</v>
      </c>
      <c r="W37" s="368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02" t="str">
        <f>A39</f>
        <v>估价对象XX用房的比较价值（楼面单价，元/平方米）</v>
      </c>
      <c r="Q39" s="3703"/>
      <c r="R39" s="3756" t="e">
        <f>IF(F1="售价",ROUND(IF(D38="简单平均",AVERAGE(R38:W38),R38*F38+T38*H38+V38*J38),0),ROUND(IF(D38="简单平均",AVERAGE(R38:V38),R38*F38+T38*H38+V38*J38),1))</f>
        <v>#DIV/0!</v>
      </c>
      <c r="S39" s="3756"/>
      <c r="T39" s="3756"/>
      <c r="U39" s="3756"/>
      <c r="V39" s="3756"/>
      <c r="W39" s="375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45" t="s">
        <v>1680</v>
      </c>
      <c r="Q7" s="3678"/>
      <c r="R7" s="699" t="s">
        <v>14</v>
      </c>
      <c r="S7" s="700">
        <f t="shared" ref="S7:S14" si="0">F7</f>
        <v>0</v>
      </c>
      <c r="T7" s="699" t="s">
        <v>14</v>
      </c>
      <c r="U7" s="700">
        <f t="shared" ref="U7:U14" si="1">H7</f>
        <v>0</v>
      </c>
      <c r="V7" s="699" t="s">
        <v>14</v>
      </c>
      <c r="W7" s="700">
        <f t="shared" ref="W7:W14" si="2">J7</f>
        <v>0</v>
      </c>
      <c r="X7" s="701"/>
      <c r="Y7" s="3645" t="s">
        <v>1680</v>
      </c>
      <c r="Z7" s="364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5" t="s">
        <v>1683</v>
      </c>
      <c r="Q8" s="3646"/>
      <c r="R8" s="699" t="s">
        <v>14</v>
      </c>
      <c r="S8" s="700">
        <f t="shared" si="0"/>
        <v>100</v>
      </c>
      <c r="T8" s="699" t="s">
        <v>14</v>
      </c>
      <c r="U8" s="700">
        <f t="shared" si="1"/>
        <v>100</v>
      </c>
      <c r="V8" s="699" t="s">
        <v>14</v>
      </c>
      <c r="W8" s="700">
        <f t="shared" si="2"/>
        <v>100</v>
      </c>
      <c r="X8" s="701"/>
      <c r="Y8" s="3645" t="s">
        <v>1683</v>
      </c>
      <c r="Z8" s="364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1" t="s">
        <v>1691</v>
      </c>
      <c r="Q14" s="1350" t="str">
        <f t="shared" si="6"/>
        <v>交通便捷度</v>
      </c>
      <c r="R14" s="703" t="s">
        <v>14</v>
      </c>
      <c r="S14" s="704">
        <f t="shared" si="0"/>
        <v>100</v>
      </c>
      <c r="T14" s="703" t="s">
        <v>14</v>
      </c>
      <c r="U14" s="704">
        <f t="shared" si="1"/>
        <v>100</v>
      </c>
      <c r="V14" s="703" t="s">
        <v>14</v>
      </c>
      <c r="W14" s="704">
        <f t="shared" si="2"/>
        <v>100</v>
      </c>
      <c r="X14" s="1353"/>
      <c r="Y14" s="368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82"/>
      <c r="Q15" s="1350"/>
      <c r="R15" s="703"/>
      <c r="S15" s="704"/>
      <c r="T15" s="703"/>
      <c r="U15" s="704"/>
      <c r="V15" s="703"/>
      <c r="W15" s="704"/>
      <c r="X15" s="1353"/>
      <c r="Y15" s="3682"/>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2"/>
      <c r="Q16" s="1350" t="str">
        <f>B16</f>
        <v>公共配套设施</v>
      </c>
      <c r="R16" s="703" t="s">
        <v>14</v>
      </c>
      <c r="S16" s="704">
        <f>F16</f>
        <v>100</v>
      </c>
      <c r="T16" s="703" t="s">
        <v>14</v>
      </c>
      <c r="U16" s="704">
        <f>H16</f>
        <v>100</v>
      </c>
      <c r="V16" s="703" t="s">
        <v>14</v>
      </c>
      <c r="W16" s="704">
        <f>J16</f>
        <v>100</v>
      </c>
      <c r="X16" s="1353"/>
      <c r="Y16" s="368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82"/>
      <c r="Q17" s="1350"/>
      <c r="R17" s="703"/>
      <c r="S17" s="704"/>
      <c r="T17" s="703"/>
      <c r="U17" s="704"/>
      <c r="V17" s="703"/>
      <c r="W17" s="704"/>
      <c r="X17" s="1353"/>
      <c r="Y17" s="3682"/>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2"/>
      <c r="Q18" s="1350" t="str">
        <f>B18</f>
        <v>基础设施水平</v>
      </c>
      <c r="R18" s="703" t="s">
        <v>14</v>
      </c>
      <c r="S18" s="704">
        <f>F18</f>
        <v>100</v>
      </c>
      <c r="T18" s="703" t="s">
        <v>14</v>
      </c>
      <c r="U18" s="704">
        <f>H18</f>
        <v>100</v>
      </c>
      <c r="V18" s="703" t="s">
        <v>14</v>
      </c>
      <c r="W18" s="704">
        <f>J18</f>
        <v>100</v>
      </c>
      <c r="X18" s="1353"/>
      <c r="Y18" s="368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82"/>
      <c r="Q19" s="1350"/>
      <c r="R19" s="703"/>
      <c r="S19" s="704"/>
      <c r="T19" s="703"/>
      <c r="U19" s="704"/>
      <c r="V19" s="703"/>
      <c r="W19" s="704"/>
      <c r="X19" s="1353"/>
      <c r="Y19" s="3682"/>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2"/>
      <c r="Q20" s="1350" t="str">
        <f>B20</f>
        <v>自然及人文环境</v>
      </c>
      <c r="R20" s="703" t="s">
        <v>14</v>
      </c>
      <c r="S20" s="704">
        <f>F20</f>
        <v>100</v>
      </c>
      <c r="T20" s="703" t="s">
        <v>14</v>
      </c>
      <c r="U20" s="704">
        <f>H20</f>
        <v>100</v>
      </c>
      <c r="V20" s="703" t="s">
        <v>14</v>
      </c>
      <c r="W20" s="704">
        <f>J20</f>
        <v>100</v>
      </c>
      <c r="X20" s="1353"/>
      <c r="Y20" s="368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82"/>
      <c r="Q21" s="1350"/>
      <c r="R21" s="703"/>
      <c r="S21" s="704"/>
      <c r="T21" s="703"/>
      <c r="U21" s="704"/>
      <c r="V21" s="703"/>
      <c r="W21" s="704"/>
      <c r="X21" s="1353"/>
      <c r="Y21" s="368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2"/>
      <c r="Q22" s="1350" t="str">
        <f>B22</f>
        <v>楼层</v>
      </c>
      <c r="R22" s="703" t="s">
        <v>14</v>
      </c>
      <c r="S22" s="704">
        <f>F22</f>
        <v>100</v>
      </c>
      <c r="T22" s="703" t="s">
        <v>14</v>
      </c>
      <c r="U22" s="704">
        <f>H22</f>
        <v>100</v>
      </c>
      <c r="V22" s="703" t="s">
        <v>14</v>
      </c>
      <c r="W22" s="704">
        <f>J22</f>
        <v>100</v>
      </c>
      <c r="X22" s="1353"/>
      <c r="Y22" s="368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2"/>
      <c r="Q23" s="1350">
        <f>B23</f>
        <v>111</v>
      </c>
      <c r="R23" s="703" t="s">
        <v>14</v>
      </c>
      <c r="S23" s="704">
        <f>F23</f>
        <v>100</v>
      </c>
      <c r="T23" s="703" t="s">
        <v>14</v>
      </c>
      <c r="U23" s="704">
        <f>H23</f>
        <v>100</v>
      </c>
      <c r="V23" s="703" t="s">
        <v>14</v>
      </c>
      <c r="W23" s="704">
        <f>J23</f>
        <v>100</v>
      </c>
      <c r="X23" s="1353"/>
      <c r="Y23" s="368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2"/>
      <c r="Q24" s="1350">
        <f t="shared" ref="Q24:Q34" si="11">B24</f>
        <v>111</v>
      </c>
      <c r="R24" s="703" t="s">
        <v>14</v>
      </c>
      <c r="S24" s="704">
        <f>F24</f>
        <v>100</v>
      </c>
      <c r="T24" s="703" t="s">
        <v>14</v>
      </c>
      <c r="U24" s="704">
        <f>H24</f>
        <v>100</v>
      </c>
      <c r="V24" s="703" t="s">
        <v>14</v>
      </c>
      <c r="W24" s="704">
        <f>J24</f>
        <v>100</v>
      </c>
      <c r="X24" s="1353"/>
      <c r="Y24" s="368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82"/>
      <c r="Q25" s="1341">
        <f t="shared" si="11"/>
        <v>111</v>
      </c>
      <c r="R25" s="699" t="s">
        <v>14</v>
      </c>
      <c r="S25" s="700">
        <f>F25</f>
        <v>100</v>
      </c>
      <c r="T25" s="699" t="s">
        <v>14</v>
      </c>
      <c r="U25" s="700">
        <f>H25</f>
        <v>100</v>
      </c>
      <c r="V25" s="699" t="s">
        <v>14</v>
      </c>
      <c r="W25" s="700">
        <f>J25</f>
        <v>100</v>
      </c>
      <c r="X25" s="701"/>
      <c r="Y25" s="368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01"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8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6"/>
      <c r="Q27" s="705" t="str">
        <f t="shared" si="11"/>
        <v>成新率</v>
      </c>
      <c r="R27" s="706" t="s">
        <v>14</v>
      </c>
      <c r="S27" s="707" t="e">
        <f t="shared" si="12"/>
        <v>#N/A</v>
      </c>
      <c r="T27" s="706" t="s">
        <v>14</v>
      </c>
      <c r="U27" s="707" t="e">
        <f t="shared" si="13"/>
        <v>#N/A</v>
      </c>
      <c r="V27" s="706" t="s">
        <v>14</v>
      </c>
      <c r="W27" s="707" t="e">
        <f t="shared" si="14"/>
        <v>#N/A</v>
      </c>
      <c r="X27" s="708"/>
      <c r="Y27" s="368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6"/>
      <c r="Q28" s="1350" t="str">
        <f t="shared" si="11"/>
        <v>物业等级</v>
      </c>
      <c r="R28" s="703" t="s">
        <v>14</v>
      </c>
      <c r="S28" s="704">
        <f t="shared" si="12"/>
        <v>100</v>
      </c>
      <c r="T28" s="703" t="s">
        <v>14</v>
      </c>
      <c r="U28" s="704">
        <f t="shared" si="13"/>
        <v>100</v>
      </c>
      <c r="V28" s="703" t="s">
        <v>14</v>
      </c>
      <c r="W28" s="704">
        <f t="shared" si="14"/>
        <v>100</v>
      </c>
      <c r="X28" s="1353"/>
      <c r="Y28" s="368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6"/>
      <c r="Q29" s="1350" t="str">
        <f t="shared" si="11"/>
        <v>有无电梯</v>
      </c>
      <c r="R29" s="703" t="s">
        <v>14</v>
      </c>
      <c r="S29" s="704">
        <f t="shared" si="12"/>
        <v>100</v>
      </c>
      <c r="T29" s="703" t="s">
        <v>14</v>
      </c>
      <c r="U29" s="704">
        <f t="shared" si="13"/>
        <v>100</v>
      </c>
      <c r="V29" s="703" t="s">
        <v>14</v>
      </c>
      <c r="W29" s="704">
        <f t="shared" si="14"/>
        <v>100</v>
      </c>
      <c r="X29" s="1353"/>
      <c r="Y29" s="368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6"/>
      <c r="Q30" s="1350" t="str">
        <f t="shared" si="11"/>
        <v>建筑面积</v>
      </c>
      <c r="R30" s="703" t="s">
        <v>14</v>
      </c>
      <c r="S30" s="704" t="e">
        <f t="shared" si="12"/>
        <v>#N/A</v>
      </c>
      <c r="T30" s="703" t="s">
        <v>14</v>
      </c>
      <c r="U30" s="704" t="e">
        <f t="shared" si="13"/>
        <v>#N/A</v>
      </c>
      <c r="V30" s="703" t="s">
        <v>14</v>
      </c>
      <c r="W30" s="704" t="e">
        <f t="shared" si="14"/>
        <v>#N/A</v>
      </c>
      <c r="X30" s="1353"/>
      <c r="Y30" s="368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6"/>
      <c r="Q31" s="1341" t="str">
        <f t="shared" si="11"/>
        <v>是否封闭</v>
      </c>
      <c r="R31" s="699" t="s">
        <v>14</v>
      </c>
      <c r="S31" s="700">
        <f t="shared" si="12"/>
        <v>100</v>
      </c>
      <c r="T31" s="699" t="s">
        <v>14</v>
      </c>
      <c r="U31" s="700">
        <f t="shared" si="13"/>
        <v>100</v>
      </c>
      <c r="V31" s="699" t="s">
        <v>14</v>
      </c>
      <c r="W31" s="700">
        <f t="shared" si="14"/>
        <v>100</v>
      </c>
      <c r="X31" s="701"/>
      <c r="Y31" s="368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6" t="s">
        <v>1696</v>
      </c>
      <c r="Q32" s="1350">
        <f t="shared" si="11"/>
        <v>111</v>
      </c>
      <c r="R32" s="703" t="s">
        <v>14</v>
      </c>
      <c r="S32" s="704">
        <f t="shared" si="12"/>
        <v>100</v>
      </c>
      <c r="T32" s="703" t="s">
        <v>14</v>
      </c>
      <c r="U32" s="704">
        <f t="shared" si="13"/>
        <v>100</v>
      </c>
      <c r="V32" s="703" t="s">
        <v>14</v>
      </c>
      <c r="W32" s="704">
        <f t="shared" si="14"/>
        <v>100</v>
      </c>
      <c r="X32" s="1353"/>
      <c r="Y32" s="368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6"/>
      <c r="Q33" s="1350">
        <f t="shared" si="11"/>
        <v>111</v>
      </c>
      <c r="R33" s="703" t="s">
        <v>14</v>
      </c>
      <c r="S33" s="704">
        <f t="shared" si="12"/>
        <v>100</v>
      </c>
      <c r="T33" s="703" t="s">
        <v>14</v>
      </c>
      <c r="U33" s="704">
        <f t="shared" si="13"/>
        <v>100</v>
      </c>
      <c r="V33" s="703" t="s">
        <v>14</v>
      </c>
      <c r="W33" s="704">
        <f t="shared" si="14"/>
        <v>100</v>
      </c>
      <c r="X33" s="1353"/>
      <c r="Y33" s="368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86"/>
      <c r="Q34" s="1350">
        <f t="shared" si="11"/>
        <v>111</v>
      </c>
      <c r="R34" s="703" t="s">
        <v>14</v>
      </c>
      <c r="S34" s="704">
        <f t="shared" si="12"/>
        <v>100</v>
      </c>
      <c r="T34" s="703" t="s">
        <v>14</v>
      </c>
      <c r="U34" s="704">
        <f t="shared" si="13"/>
        <v>100</v>
      </c>
      <c r="V34" s="703" t="s">
        <v>14</v>
      </c>
      <c r="W34" s="704">
        <f t="shared" si="14"/>
        <v>100</v>
      </c>
      <c r="X34" s="1353"/>
      <c r="Y34" s="368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88" t="str">
        <f>A35</f>
        <v>成交单价（元/平方米）</v>
      </c>
      <c r="Q35" s="3688"/>
      <c r="R35" s="3689">
        <f>E35</f>
        <v>0</v>
      </c>
      <c r="S35" s="3689"/>
      <c r="T35" s="3689">
        <f>G35</f>
        <v>0</v>
      </c>
      <c r="U35" s="3689"/>
      <c r="V35" s="3689">
        <f>I35</f>
        <v>0</v>
      </c>
      <c r="W35" s="368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02" t="str">
        <f>A37</f>
        <v>估价对象XX用房的比较价值（楼面单价，元/平方米）</v>
      </c>
      <c r="Q37" s="3703"/>
      <c r="R37" s="3756" t="e">
        <f>IF(F1="售价",ROUND(IF(D36="简单平均",AVERAGE(R36:W36),R36*F36+T36*H36+V36*J36),0),ROUND(IF(D36="简单平均",AVERAGE(R36:V36),R36*F36+T36*H36+V36*J36),1))</f>
        <v>#DIV/0!</v>
      </c>
      <c r="S37" s="3756"/>
      <c r="T37" s="3756"/>
      <c r="U37" s="3756"/>
      <c r="V37" s="3756"/>
      <c r="W37" s="375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30"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30" ht="15.75" thickBot="1">
      <c r="A6" s="360"/>
      <c r="B6" s="361"/>
      <c r="C6" s="3655" t="s">
        <v>1677</v>
      </c>
      <c r="D6" s="3656"/>
      <c r="E6" s="3657" t="s">
        <v>1677</v>
      </c>
      <c r="F6" s="3658"/>
      <c r="G6" s="3655" t="s">
        <v>1677</v>
      </c>
      <c r="H6" s="3656"/>
      <c r="I6" s="3655" t="s">
        <v>1677</v>
      </c>
      <c r="J6" s="3656"/>
      <c r="K6" s="559" t="s">
        <v>1678</v>
      </c>
      <c r="L6" s="2713"/>
      <c r="M6" s="2714"/>
      <c r="N6" s="2714"/>
      <c r="O6" s="2714"/>
      <c r="P6" s="3700"/>
      <c r="Q6" s="3672"/>
      <c r="R6" s="3649"/>
      <c r="S6" s="3650"/>
      <c r="T6" s="3673"/>
      <c r="U6" s="3674"/>
      <c r="V6" s="3676"/>
      <c r="W6" s="3676"/>
      <c r="X6" s="1353"/>
      <c r="Y6" s="3673"/>
      <c r="Z6" s="3674"/>
      <c r="AA6" s="3644"/>
      <c r="AB6" s="3644"/>
      <c r="AC6" s="3644"/>
    </row>
    <row r="7" spans="1:30" s="108" customFormat="1" ht="15.75" thickBot="1">
      <c r="A7" s="362" t="s">
        <v>1679</v>
      </c>
      <c r="B7" s="363"/>
      <c r="C7" s="364">
        <f>'数据-取费表'!B2</f>
        <v>45160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8"/>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1" t="s">
        <v>1691</v>
      </c>
      <c r="Q15" s="1350" t="str">
        <f t="shared" si="6"/>
        <v>居住社区成熟度</v>
      </c>
      <c r="R15" s="703" t="s">
        <v>14</v>
      </c>
      <c r="S15" s="704">
        <f t="shared" si="0"/>
        <v>100</v>
      </c>
      <c r="T15" s="703" t="s">
        <v>14</v>
      </c>
      <c r="U15" s="704">
        <f t="shared" si="1"/>
        <v>100</v>
      </c>
      <c r="V15" s="703" t="s">
        <v>14</v>
      </c>
      <c r="W15" s="704">
        <f t="shared" si="2"/>
        <v>100</v>
      </c>
      <c r="X15" s="1353"/>
      <c r="Y15" s="368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2"/>
      <c r="Q17" s="1350" t="str">
        <f>B17</f>
        <v>商业繁华度</v>
      </c>
      <c r="R17" s="703" t="s">
        <v>14</v>
      </c>
      <c r="S17" s="704">
        <f>F17</f>
        <v>100</v>
      </c>
      <c r="T17" s="703" t="s">
        <v>14</v>
      </c>
      <c r="U17" s="704">
        <f>H17</f>
        <v>100</v>
      </c>
      <c r="V17" s="703" t="s">
        <v>14</v>
      </c>
      <c r="W17" s="704">
        <f>J17</f>
        <v>100</v>
      </c>
      <c r="X17" s="1353"/>
      <c r="Y17" s="368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2"/>
      <c r="Q19" s="1350" t="str">
        <f>B19</f>
        <v>办公集聚程度</v>
      </c>
      <c r="R19" s="703" t="s">
        <v>14</v>
      </c>
      <c r="S19" s="704">
        <f>F19</f>
        <v>100</v>
      </c>
      <c r="T19" s="703" t="s">
        <v>14</v>
      </c>
      <c r="U19" s="704">
        <f>H19</f>
        <v>100</v>
      </c>
      <c r="V19" s="703" t="s">
        <v>14</v>
      </c>
      <c r="W19" s="704">
        <f>J19</f>
        <v>100</v>
      </c>
      <c r="X19" s="1353"/>
      <c r="Y19" s="368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82"/>
      <c r="Q20" s="1350"/>
      <c r="R20" s="703"/>
      <c r="S20" s="704"/>
      <c r="T20" s="703"/>
      <c r="U20" s="704"/>
      <c r="V20" s="703"/>
      <c r="W20" s="704"/>
      <c r="X20" s="1353"/>
      <c r="Y20" s="3682"/>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2"/>
      <c r="Q21" s="1350" t="str">
        <f>B21</f>
        <v>交通便捷度</v>
      </c>
      <c r="R21" s="703" t="s">
        <v>14</v>
      </c>
      <c r="S21" s="704">
        <f>F21</f>
        <v>100</v>
      </c>
      <c r="T21" s="703" t="s">
        <v>14</v>
      </c>
      <c r="U21" s="704">
        <f>H21</f>
        <v>100</v>
      </c>
      <c r="V21" s="703" t="s">
        <v>14</v>
      </c>
      <c r="W21" s="704">
        <f>J21</f>
        <v>100</v>
      </c>
      <c r="X21" s="1353"/>
      <c r="Y21" s="368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2"/>
      <c r="Q23" s="1350" t="str">
        <f t="shared" ref="Q23:Q37" si="8">B23</f>
        <v>区域土地利用方向</v>
      </c>
      <c r="R23" s="703" t="s">
        <v>14</v>
      </c>
      <c r="S23" s="704">
        <f>F23</f>
        <v>100</v>
      </c>
      <c r="T23" s="703" t="s">
        <v>14</v>
      </c>
      <c r="U23" s="704">
        <f>H23</f>
        <v>100</v>
      </c>
      <c r="V23" s="703" t="s">
        <v>14</v>
      </c>
      <c r="W23" s="704">
        <f>J23</f>
        <v>100</v>
      </c>
      <c r="X23" s="1353"/>
      <c r="Y23" s="368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82"/>
      <c r="Q24" s="1350"/>
      <c r="R24" s="703"/>
      <c r="S24" s="704"/>
      <c r="T24" s="703"/>
      <c r="U24" s="704"/>
      <c r="V24" s="703"/>
      <c r="W24" s="704"/>
      <c r="X24" s="1353"/>
      <c r="Y24" s="3682"/>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2"/>
      <c r="Q25" s="1350" t="str">
        <f t="shared" si="8"/>
        <v>自然及人文环境状况</v>
      </c>
      <c r="R25" s="703" t="s">
        <v>14</v>
      </c>
      <c r="S25" s="704">
        <f>F25</f>
        <v>100</v>
      </c>
      <c r="T25" s="703" t="s">
        <v>14</v>
      </c>
      <c r="U25" s="704">
        <f>H25</f>
        <v>100</v>
      </c>
      <c r="V25" s="703" t="s">
        <v>14</v>
      </c>
      <c r="W25" s="704">
        <f>J25</f>
        <v>100</v>
      </c>
      <c r="X25" s="1353"/>
      <c r="Y25" s="368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82"/>
      <c r="Q26" s="1350"/>
      <c r="R26" s="703"/>
      <c r="S26" s="704"/>
      <c r="T26" s="703"/>
      <c r="U26" s="704"/>
      <c r="V26" s="703"/>
      <c r="W26" s="704"/>
      <c r="X26" s="1353"/>
      <c r="Y26" s="3682"/>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2"/>
      <c r="Q27" s="1341" t="str">
        <f t="shared" si="8"/>
        <v>公共配套设施</v>
      </c>
      <c r="R27" s="699" t="s">
        <v>14</v>
      </c>
      <c r="S27" s="700">
        <f>F27</f>
        <v>100</v>
      </c>
      <c r="T27" s="699" t="s">
        <v>14</v>
      </c>
      <c r="U27" s="700">
        <f>H27</f>
        <v>100</v>
      </c>
      <c r="V27" s="699" t="s">
        <v>14</v>
      </c>
      <c r="W27" s="700">
        <f>J27</f>
        <v>100</v>
      </c>
      <c r="X27" s="701"/>
      <c r="Y27" s="368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82"/>
      <c r="Q28" s="1341"/>
      <c r="R28" s="699"/>
      <c r="S28" s="700"/>
      <c r="T28" s="699"/>
      <c r="U28" s="700"/>
      <c r="V28" s="699"/>
      <c r="W28" s="700"/>
      <c r="X28" s="701"/>
      <c r="Y28" s="3682"/>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2"/>
      <c r="Q29" s="1341" t="str">
        <f t="shared" ref="Q29" si="9">B29</f>
        <v>基础设施水平</v>
      </c>
      <c r="R29" s="699" t="s">
        <v>14</v>
      </c>
      <c r="S29" s="700">
        <f>F29</f>
        <v>100</v>
      </c>
      <c r="T29" s="699" t="s">
        <v>14</v>
      </c>
      <c r="U29" s="700">
        <f>H29</f>
        <v>100</v>
      </c>
      <c r="V29" s="699" t="s">
        <v>14</v>
      </c>
      <c r="W29" s="700">
        <f>J29</f>
        <v>100</v>
      </c>
      <c r="X29" s="701"/>
      <c r="Y29" s="368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82"/>
      <c r="Q30" s="1341"/>
      <c r="R30" s="699"/>
      <c r="S30" s="700"/>
      <c r="T30" s="699"/>
      <c r="U30" s="700"/>
      <c r="V30" s="699"/>
      <c r="W30" s="700"/>
      <c r="X30" s="701"/>
      <c r="Y30" s="368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8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2"/>
      <c r="Q32" s="1350" t="str">
        <f t="shared" si="8"/>
        <v>毗邻道路的类型与等级</v>
      </c>
      <c r="R32" s="703" t="s">
        <v>14</v>
      </c>
      <c r="S32" s="704">
        <f t="shared" si="10"/>
        <v>100</v>
      </c>
      <c r="T32" s="703" t="s">
        <v>14</v>
      </c>
      <c r="U32" s="704">
        <f t="shared" si="11"/>
        <v>100</v>
      </c>
      <c r="V32" s="703" t="s">
        <v>14</v>
      </c>
      <c r="W32" s="704">
        <f t="shared" si="12"/>
        <v>100</v>
      </c>
      <c r="X32" s="1353"/>
      <c r="Y32" s="368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82"/>
      <c r="Q33" s="1350"/>
      <c r="R33" s="703"/>
      <c r="S33" s="704"/>
      <c r="T33" s="703"/>
      <c r="U33" s="704"/>
      <c r="V33" s="703"/>
      <c r="W33" s="704"/>
      <c r="X33" s="1353"/>
      <c r="Y33" s="368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2"/>
      <c r="Q34" s="1350" t="str">
        <f t="shared" si="8"/>
        <v>土地级别</v>
      </c>
      <c r="R34" s="703" t="s">
        <v>14</v>
      </c>
      <c r="S34" s="704">
        <f t="shared" si="10"/>
        <v>100</v>
      </c>
      <c r="T34" s="703" t="s">
        <v>14</v>
      </c>
      <c r="U34" s="704">
        <f t="shared" si="11"/>
        <v>100</v>
      </c>
      <c r="V34" s="703" t="s">
        <v>14</v>
      </c>
      <c r="W34" s="704">
        <f t="shared" si="12"/>
        <v>100</v>
      </c>
      <c r="X34" s="1353"/>
      <c r="Y34" s="368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2"/>
      <c r="Q35" s="1350">
        <f t="shared" si="8"/>
        <v>111</v>
      </c>
      <c r="R35" s="703" t="s">
        <v>14</v>
      </c>
      <c r="S35" s="704">
        <f t="shared" si="10"/>
        <v>100</v>
      </c>
      <c r="T35" s="703" t="s">
        <v>14</v>
      </c>
      <c r="U35" s="704">
        <f t="shared" si="11"/>
        <v>100</v>
      </c>
      <c r="V35" s="703" t="s">
        <v>14</v>
      </c>
      <c r="W35" s="704">
        <f t="shared" si="12"/>
        <v>100</v>
      </c>
      <c r="X35" s="1353"/>
      <c r="Y35" s="368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01" t="s">
        <v>1696</v>
      </c>
      <c r="Q36" s="1350">
        <f t="shared" si="8"/>
        <v>111</v>
      </c>
      <c r="R36" s="703" t="s">
        <v>14</v>
      </c>
      <c r="S36" s="704">
        <f t="shared" si="10"/>
        <v>100</v>
      </c>
      <c r="T36" s="703" t="s">
        <v>14</v>
      </c>
      <c r="U36" s="704">
        <f t="shared" si="11"/>
        <v>100</v>
      </c>
      <c r="V36" s="703" t="s">
        <v>14</v>
      </c>
      <c r="W36" s="704">
        <f t="shared" si="12"/>
        <v>100</v>
      </c>
      <c r="X36" s="1353"/>
      <c r="Y36" s="368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6"/>
      <c r="Q37" s="1350">
        <f t="shared" si="8"/>
        <v>111</v>
      </c>
      <c r="R37" s="706" t="s">
        <v>14</v>
      </c>
      <c r="S37" s="707">
        <f t="shared" si="10"/>
        <v>100</v>
      </c>
      <c r="T37" s="706" t="s">
        <v>14</v>
      </c>
      <c r="U37" s="707">
        <f t="shared" si="11"/>
        <v>100</v>
      </c>
      <c r="V37" s="706" t="s">
        <v>14</v>
      </c>
      <c r="W37" s="707">
        <f t="shared" si="12"/>
        <v>100</v>
      </c>
      <c r="X37" s="708"/>
      <c r="Y37" s="368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6"/>
      <c r="Q38" s="1350" t="str">
        <f>B38</f>
        <v>宗地面积</v>
      </c>
      <c r="R38" s="703" t="s">
        <v>14</v>
      </c>
      <c r="S38" s="704" t="e">
        <f t="shared" si="10"/>
        <v>#N/A</v>
      </c>
      <c r="T38" s="703" t="s">
        <v>14</v>
      </c>
      <c r="U38" s="704" t="e">
        <f t="shared" si="11"/>
        <v>#N/A</v>
      </c>
      <c r="V38" s="703" t="s">
        <v>14</v>
      </c>
      <c r="W38" s="704" t="e">
        <f t="shared" si="12"/>
        <v>#N/A</v>
      </c>
      <c r="X38" s="1353"/>
      <c r="Y38" s="368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86"/>
      <c r="Q39" s="1350" t="str">
        <f t="shared" ref="Q39:Q45" si="14">B39</f>
        <v>宗地形状</v>
      </c>
      <c r="R39" s="703" t="s">
        <v>14</v>
      </c>
      <c r="S39" s="704">
        <f t="shared" si="10"/>
        <v>100</v>
      </c>
      <c r="T39" s="703" t="s">
        <v>14</v>
      </c>
      <c r="U39" s="704">
        <f t="shared" si="11"/>
        <v>100</v>
      </c>
      <c r="V39" s="703" t="s">
        <v>14</v>
      </c>
      <c r="W39" s="704">
        <f t="shared" si="12"/>
        <v>100</v>
      </c>
      <c r="X39" s="1353"/>
      <c r="Y39" s="368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86"/>
      <c r="Q40" s="1350" t="str">
        <f t="shared" si="14"/>
        <v>临街宽度及深度</v>
      </c>
      <c r="R40" s="703" t="s">
        <v>14</v>
      </c>
      <c r="S40" s="704">
        <f t="shared" si="10"/>
        <v>100</v>
      </c>
      <c r="T40" s="703" t="s">
        <v>14</v>
      </c>
      <c r="U40" s="704">
        <f t="shared" si="11"/>
        <v>100</v>
      </c>
      <c r="V40" s="703" t="s">
        <v>14</v>
      </c>
      <c r="W40" s="704">
        <f t="shared" si="12"/>
        <v>100</v>
      </c>
      <c r="X40" s="1353"/>
      <c r="Y40" s="368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86"/>
      <c r="Q41" s="1350" t="str">
        <f t="shared" si="14"/>
        <v>宗地开发程度</v>
      </c>
      <c r="R41" s="699" t="s">
        <v>14</v>
      </c>
      <c r="S41" s="700">
        <f t="shared" si="10"/>
        <v>100</v>
      </c>
      <c r="T41" s="699" t="s">
        <v>14</v>
      </c>
      <c r="U41" s="700">
        <f t="shared" si="11"/>
        <v>100</v>
      </c>
      <c r="V41" s="699" t="s">
        <v>14</v>
      </c>
      <c r="W41" s="700">
        <f t="shared" si="12"/>
        <v>100</v>
      </c>
      <c r="X41" s="701"/>
      <c r="Y41" s="368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86" t="s">
        <v>1696</v>
      </c>
      <c r="Q42" s="1350" t="str">
        <f t="shared" si="14"/>
        <v>工程地质条件</v>
      </c>
      <c r="R42" s="703" t="s">
        <v>14</v>
      </c>
      <c r="S42" s="704">
        <f t="shared" si="10"/>
        <v>100</v>
      </c>
      <c r="T42" s="703" t="s">
        <v>14</v>
      </c>
      <c r="U42" s="704">
        <f t="shared" si="11"/>
        <v>100</v>
      </c>
      <c r="V42" s="703" t="s">
        <v>14</v>
      </c>
      <c r="W42" s="704">
        <f t="shared" si="12"/>
        <v>100</v>
      </c>
      <c r="X42" s="1353"/>
      <c r="Y42" s="368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6"/>
      <c r="Q43" s="1350">
        <f t="shared" si="14"/>
        <v>111</v>
      </c>
      <c r="R43" s="703" t="s">
        <v>14</v>
      </c>
      <c r="S43" s="704">
        <f t="shared" si="10"/>
        <v>100</v>
      </c>
      <c r="T43" s="703" t="s">
        <v>14</v>
      </c>
      <c r="U43" s="704">
        <f t="shared" si="11"/>
        <v>100</v>
      </c>
      <c r="V43" s="703" t="s">
        <v>14</v>
      </c>
      <c r="W43" s="704">
        <f t="shared" si="12"/>
        <v>100</v>
      </c>
      <c r="X43" s="1353"/>
      <c r="Y43" s="368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6"/>
      <c r="Q44" s="1350">
        <f t="shared" si="14"/>
        <v>111</v>
      </c>
      <c r="R44" s="703" t="s">
        <v>14</v>
      </c>
      <c r="S44" s="704">
        <f t="shared" si="10"/>
        <v>100</v>
      </c>
      <c r="T44" s="703" t="s">
        <v>14</v>
      </c>
      <c r="U44" s="704">
        <f t="shared" si="11"/>
        <v>100</v>
      </c>
      <c r="V44" s="703" t="s">
        <v>14</v>
      </c>
      <c r="W44" s="704">
        <f t="shared" si="12"/>
        <v>100</v>
      </c>
      <c r="X44" s="1353"/>
      <c r="Y44" s="368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6"/>
      <c r="Q45" s="1350">
        <f t="shared" si="14"/>
        <v>111</v>
      </c>
      <c r="R45" s="706" t="s">
        <v>14</v>
      </c>
      <c r="S45" s="707">
        <f t="shared" si="10"/>
        <v>100</v>
      </c>
      <c r="T45" s="706" t="s">
        <v>14</v>
      </c>
      <c r="U45" s="707">
        <f t="shared" si="11"/>
        <v>100</v>
      </c>
      <c r="V45" s="706" t="s">
        <v>14</v>
      </c>
      <c r="W45" s="707">
        <f t="shared" si="12"/>
        <v>100</v>
      </c>
      <c r="X45" s="708"/>
      <c r="Y45" s="368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88" t="str">
        <f>A46</f>
        <v>成交单价</v>
      </c>
      <c r="Q46" s="3688"/>
      <c r="R46" s="3676">
        <f>E46</f>
        <v>0</v>
      </c>
      <c r="S46" s="3676"/>
      <c r="T46" s="3676">
        <f>G46</f>
        <v>0</v>
      </c>
      <c r="U46" s="3676"/>
      <c r="V46" s="3676">
        <f>I46</f>
        <v>0</v>
      </c>
      <c r="W46" s="367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88" t="str">
        <f>A47</f>
        <v>比较价值（元/平方米）</v>
      </c>
      <c r="Q47" s="3688"/>
      <c r="R47" s="3757" t="e">
        <f>ROUND(PRODUCT(R46,AA7:AA45),0)</f>
        <v>#DIV/0!</v>
      </c>
      <c r="S47" s="3757"/>
      <c r="T47" s="3757" t="e">
        <f>ROUND(PRODUCT(T46,AB7:AB45),0)</f>
        <v>#DIV/0!</v>
      </c>
      <c r="U47" s="3757"/>
      <c r="V47" s="3757" t="e">
        <f>ROUND(PRODUCT(V46,AC7:AC45),0)</f>
        <v>#DIV/0!</v>
      </c>
      <c r="W47" s="375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02" t="str">
        <f>A48</f>
        <v>估价对象XX用房的比较价值（楼面单价，元/平方米）</v>
      </c>
      <c r="Q48" s="3703"/>
      <c r="R48" s="3758" t="e">
        <f>ROUND(IF(D47="简单平均",AVERAGE(R47:W47),R47*F47+T47*H47+V47*J47),0)</f>
        <v>#DIV/0!</v>
      </c>
      <c r="S48" s="3758"/>
      <c r="T48" s="3758"/>
      <c r="U48" s="3758"/>
      <c r="V48" s="3758"/>
      <c r="W48" s="375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3" t="s">
        <v>1887</v>
      </c>
      <c r="H55" s="375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176.09</v>
      </c>
      <c r="F56" s="884" t="e">
        <f t="shared" ref="F56:F64" si="15">ROUND(B56*E56/10000,0)</f>
        <v>#DIV/0!</v>
      </c>
      <c r="G56" s="3659"/>
      <c r="H56" s="368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3">
        <v>0.25</v>
      </c>
      <c r="E60" s="217">
        <f>'数据-汇总表'!E11</f>
        <v>0</v>
      </c>
      <c r="F60" s="884" t="e">
        <f t="shared" si="15"/>
        <v>#DIV/0!</v>
      </c>
      <c r="G60" s="1985" t="s">
        <v>1896</v>
      </c>
      <c r="H60" s="885" t="str">
        <f>项目基本情况!C37</f>
        <v>一级</v>
      </c>
      <c r="I60" s="889">
        <f>SUMIF(修正!A57:A68,H60,修正!E57:E68)</f>
        <v>0.3</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3">
        <v>0.25</v>
      </c>
      <c r="E61" s="217">
        <f>'数据-汇总表'!E12</f>
        <v>0</v>
      </c>
      <c r="F61" s="884" t="e">
        <f t="shared" si="15"/>
        <v>#DIV/0!</v>
      </c>
      <c r="G61" s="890" t="s">
        <v>1898</v>
      </c>
      <c r="H61" s="885" t="str">
        <f>IF(G61="商业",项目基本情况!B37,IF(G61="办公",项目基本情况!C37,IF(G61="住宅",项目基本情况!D37,项目基本情况!E37)))</f>
        <v>一级</v>
      </c>
      <c r="I61" s="889">
        <f>SUMIF(修正!A57:A68,H61,修正!F57:F68)</f>
        <v>0.3</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3">
        <v>0.25</v>
      </c>
      <c r="E64" s="217">
        <f>'数据-汇总表'!E15</f>
        <v>0</v>
      </c>
      <c r="F64" s="884" t="e">
        <f t="shared" si="15"/>
        <v>#DIV/0!</v>
      </c>
      <c r="G64" s="1986" t="s">
        <v>1896</v>
      </c>
      <c r="H64" s="895" t="str">
        <f>项目基本情况!C37</f>
        <v>一级</v>
      </c>
      <c r="I64" s="891">
        <f>SUMIF(修正!A57:A68,H64,修正!G57:G68)</f>
        <v>0.2</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176.09</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3" t="s">
        <v>1770</v>
      </c>
      <c r="D4" s="3664"/>
      <c r="E4" s="3665" t="s">
        <v>1771</v>
      </c>
      <c r="F4" s="3666"/>
      <c r="G4" s="3663" t="s">
        <v>1772</v>
      </c>
      <c r="H4" s="3664"/>
      <c r="I4" s="3663" t="s">
        <v>1773</v>
      </c>
      <c r="J4" s="3664"/>
      <c r="K4" s="559" t="s">
        <v>1774</v>
      </c>
      <c r="L4" s="2713"/>
      <c r="M4" s="2714"/>
      <c r="N4" s="2714"/>
      <c r="O4" s="2714"/>
      <c r="P4" s="3697" t="s">
        <v>1775</v>
      </c>
      <c r="Q4" s="3698"/>
      <c r="R4" s="3694" t="s">
        <v>1771</v>
      </c>
      <c r="S4" s="3695"/>
      <c r="T4" s="3694" t="s">
        <v>1772</v>
      </c>
      <c r="U4" s="3695"/>
      <c r="V4" s="3676" t="s">
        <v>1773</v>
      </c>
      <c r="W4" s="3676"/>
      <c r="X4" s="1353"/>
      <c r="Y4" s="3694" t="s">
        <v>1775</v>
      </c>
      <c r="Z4" s="3695"/>
      <c r="AA4" s="3693" t="s">
        <v>1771</v>
      </c>
      <c r="AB4" s="3643" t="s">
        <v>1772</v>
      </c>
      <c r="AC4" s="3693" t="s">
        <v>1773</v>
      </c>
    </row>
    <row r="5" spans="1:29" ht="15">
      <c r="A5" s="358"/>
      <c r="B5" s="359"/>
      <c r="C5" s="3653" t="s">
        <v>1673</v>
      </c>
      <c r="D5" s="3654"/>
      <c r="E5" s="3651" t="s">
        <v>1674</v>
      </c>
      <c r="F5" s="3652"/>
      <c r="G5" s="3653" t="s">
        <v>1675</v>
      </c>
      <c r="H5" s="3654"/>
      <c r="I5" s="3653" t="s">
        <v>1676</v>
      </c>
      <c r="J5" s="3654"/>
      <c r="K5" s="559"/>
      <c r="L5" s="2713"/>
      <c r="M5" s="2714"/>
      <c r="N5" s="2714"/>
      <c r="O5" s="2714"/>
      <c r="P5" s="3699"/>
      <c r="Q5" s="3670"/>
      <c r="R5" s="3649"/>
      <c r="S5" s="3650"/>
      <c r="T5" s="3649"/>
      <c r="U5" s="3650"/>
      <c r="V5" s="3676"/>
      <c r="W5" s="3676"/>
      <c r="X5" s="1353"/>
      <c r="Y5" s="3649"/>
      <c r="Z5" s="3650"/>
      <c r="AA5" s="3643"/>
      <c r="AB5" s="3643"/>
      <c r="AC5" s="3643"/>
    </row>
    <row r="6" spans="1:29" ht="15.75" thickBot="1">
      <c r="A6" s="360"/>
      <c r="B6" s="361"/>
      <c r="C6" s="3760" t="s">
        <v>1919</v>
      </c>
      <c r="D6" s="3761"/>
      <c r="E6" s="3762" t="s">
        <v>1919</v>
      </c>
      <c r="F6" s="3763"/>
      <c r="G6" s="3760" t="s">
        <v>1919</v>
      </c>
      <c r="H6" s="3761"/>
      <c r="I6" s="3760" t="s">
        <v>1919</v>
      </c>
      <c r="J6" s="3761"/>
      <c r="K6" s="559" t="s">
        <v>1678</v>
      </c>
      <c r="L6" s="2713"/>
      <c r="M6" s="2714"/>
      <c r="N6" s="2714"/>
      <c r="O6" s="2714"/>
      <c r="P6" s="3700"/>
      <c r="Q6" s="3672"/>
      <c r="R6" s="3649"/>
      <c r="S6" s="3650"/>
      <c r="T6" s="3673"/>
      <c r="U6" s="3674"/>
      <c r="V6" s="3676"/>
      <c r="W6" s="3676"/>
      <c r="X6" s="1353"/>
      <c r="Y6" s="3673"/>
      <c r="Z6" s="3674"/>
      <c r="AA6" s="3644"/>
      <c r="AB6" s="3644"/>
      <c r="AC6" s="3644"/>
    </row>
    <row r="7" spans="1:29" s="108" customFormat="1" ht="15.75" thickBot="1">
      <c r="A7" s="362" t="s">
        <v>1679</v>
      </c>
      <c r="B7" s="363"/>
      <c r="C7" s="364">
        <f>'数据-取费表'!B2</f>
        <v>45160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45" t="s">
        <v>1680</v>
      </c>
      <c r="Q7" s="3678"/>
      <c r="R7" s="699" t="s">
        <v>14</v>
      </c>
      <c r="S7" s="700">
        <f t="shared" ref="S7:S15" si="0">F7</f>
        <v>0</v>
      </c>
      <c r="T7" s="699" t="s">
        <v>14</v>
      </c>
      <c r="U7" s="700">
        <f t="shared" ref="U7:U15" si="1">H7</f>
        <v>0</v>
      </c>
      <c r="V7" s="699" t="s">
        <v>14</v>
      </c>
      <c r="W7" s="700">
        <f t="shared" ref="W7:W15" si="2">J7</f>
        <v>0</v>
      </c>
      <c r="X7" s="701"/>
      <c r="Y7" s="3645" t="s">
        <v>1680</v>
      </c>
      <c r="Z7" s="364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5" t="s">
        <v>1683</v>
      </c>
      <c r="Q8" s="3646"/>
      <c r="R8" s="699" t="s">
        <v>14</v>
      </c>
      <c r="S8" s="700">
        <f t="shared" si="0"/>
        <v>0</v>
      </c>
      <c r="T8" s="699" t="s">
        <v>14</v>
      </c>
      <c r="U8" s="700">
        <f t="shared" si="1"/>
        <v>0</v>
      </c>
      <c r="V8" s="699" t="s">
        <v>14</v>
      </c>
      <c r="W8" s="700">
        <f t="shared" si="2"/>
        <v>0</v>
      </c>
      <c r="X8" s="701"/>
      <c r="Y8" s="3645" t="s">
        <v>1683</v>
      </c>
      <c r="Z8" s="3646"/>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8"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7"/>
      <c r="M10" s="2718"/>
      <c r="N10" s="2718"/>
      <c r="O10" s="2771"/>
      <c r="P10" s="3688"/>
      <c r="Q10" s="1341" t="str">
        <f t="shared" si="6"/>
        <v>土地使用年限（年）</v>
      </c>
      <c r="R10" s="699" t="s">
        <v>14</v>
      </c>
      <c r="S10" s="700">
        <f t="shared" si="0"/>
        <v>119</v>
      </c>
      <c r="T10" s="699" t="s">
        <v>14</v>
      </c>
      <c r="U10" s="700">
        <f t="shared" si="1"/>
        <v>119</v>
      </c>
      <c r="V10" s="699" t="s">
        <v>14</v>
      </c>
      <c r="W10" s="700">
        <f t="shared" si="2"/>
        <v>119</v>
      </c>
      <c r="X10" s="701"/>
      <c r="Y10" s="3615"/>
      <c r="Z10" s="52" t="str">
        <f t="shared" si="7"/>
        <v>土地使用年限（年）</v>
      </c>
      <c r="AA10" s="702">
        <f t="shared" si="3"/>
        <v>0.84033613445378152</v>
      </c>
      <c r="AB10" s="702">
        <f t="shared" si="4"/>
        <v>0.84033613445378152</v>
      </c>
      <c r="AC10" s="702">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8"/>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8"/>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8"/>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8"/>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1" t="s">
        <v>1691</v>
      </c>
      <c r="Q15" s="1350" t="str">
        <f t="shared" si="6"/>
        <v>产业集聚程度</v>
      </c>
      <c r="R15" s="703" t="s">
        <v>14</v>
      </c>
      <c r="S15" s="704">
        <f t="shared" si="0"/>
        <v>100</v>
      </c>
      <c r="T15" s="703" t="s">
        <v>14</v>
      </c>
      <c r="U15" s="704">
        <f t="shared" si="1"/>
        <v>100</v>
      </c>
      <c r="V15" s="703" t="s">
        <v>14</v>
      </c>
      <c r="W15" s="704">
        <f t="shared" si="2"/>
        <v>100</v>
      </c>
      <c r="X15" s="1353"/>
      <c r="Y15" s="368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82"/>
      <c r="Q16" s="1350"/>
      <c r="R16" s="703"/>
      <c r="S16" s="704"/>
      <c r="T16" s="703"/>
      <c r="U16" s="704"/>
      <c r="V16" s="703"/>
      <c r="W16" s="704"/>
      <c r="X16" s="1353"/>
      <c r="Y16" s="3682"/>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2"/>
      <c r="Q17" s="1350" t="str">
        <f>B17</f>
        <v>交通便捷度</v>
      </c>
      <c r="R17" s="703" t="s">
        <v>14</v>
      </c>
      <c r="S17" s="704">
        <f>F17</f>
        <v>100</v>
      </c>
      <c r="T17" s="703" t="s">
        <v>14</v>
      </c>
      <c r="U17" s="704">
        <f>H17</f>
        <v>100</v>
      </c>
      <c r="V17" s="703" t="s">
        <v>14</v>
      </c>
      <c r="W17" s="704">
        <f>J17</f>
        <v>100</v>
      </c>
      <c r="X17" s="1353"/>
      <c r="Y17" s="368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82"/>
      <c r="Q18" s="1350"/>
      <c r="R18" s="703"/>
      <c r="S18" s="704"/>
      <c r="T18" s="703"/>
      <c r="U18" s="704"/>
      <c r="V18" s="703"/>
      <c r="W18" s="704"/>
      <c r="X18" s="1353"/>
      <c r="Y18" s="368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2"/>
      <c r="Q19" s="1350" t="str">
        <f t="shared" ref="Q19:Q33" si="8">B19</f>
        <v>区域土地利用方向</v>
      </c>
      <c r="R19" s="703" t="s">
        <v>14</v>
      </c>
      <c r="S19" s="704">
        <f>F19</f>
        <v>100</v>
      </c>
      <c r="T19" s="703" t="s">
        <v>14</v>
      </c>
      <c r="U19" s="704">
        <f>H19</f>
        <v>100</v>
      </c>
      <c r="V19" s="703" t="s">
        <v>14</v>
      </c>
      <c r="W19" s="704">
        <f>J19</f>
        <v>100</v>
      </c>
      <c r="X19" s="1353"/>
      <c r="Y19" s="368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82"/>
      <c r="Q20" s="1350"/>
      <c r="R20" s="703"/>
      <c r="S20" s="704"/>
      <c r="T20" s="703"/>
      <c r="U20" s="704"/>
      <c r="V20" s="703"/>
      <c r="W20" s="704"/>
      <c r="X20" s="1353"/>
      <c r="Y20" s="3682"/>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2"/>
      <c r="Q21" s="1350" t="str">
        <f t="shared" si="8"/>
        <v>环境状况</v>
      </c>
      <c r="R21" s="703" t="s">
        <v>14</v>
      </c>
      <c r="S21" s="704">
        <f>F21</f>
        <v>100</v>
      </c>
      <c r="T21" s="703" t="s">
        <v>14</v>
      </c>
      <c r="U21" s="704">
        <f>H21</f>
        <v>100</v>
      </c>
      <c r="V21" s="703" t="s">
        <v>14</v>
      </c>
      <c r="W21" s="704">
        <f>J21</f>
        <v>100</v>
      </c>
      <c r="X21" s="1353"/>
      <c r="Y21" s="368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82"/>
      <c r="Q22" s="1350"/>
      <c r="R22" s="703"/>
      <c r="S22" s="704"/>
      <c r="T22" s="703"/>
      <c r="U22" s="704"/>
      <c r="V22" s="703"/>
      <c r="W22" s="704"/>
      <c r="X22" s="1353"/>
      <c r="Y22" s="3682"/>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2"/>
      <c r="Q23" s="1341" t="str">
        <f t="shared" si="8"/>
        <v>公共配套设施</v>
      </c>
      <c r="R23" s="699" t="s">
        <v>14</v>
      </c>
      <c r="S23" s="700">
        <f>F23</f>
        <v>100</v>
      </c>
      <c r="T23" s="699" t="s">
        <v>14</v>
      </c>
      <c r="U23" s="700">
        <f>H23</f>
        <v>100</v>
      </c>
      <c r="V23" s="699" t="s">
        <v>14</v>
      </c>
      <c r="W23" s="700">
        <f>J23</f>
        <v>100</v>
      </c>
      <c r="X23" s="701"/>
      <c r="Y23" s="368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82"/>
      <c r="Q24" s="1341"/>
      <c r="R24" s="699"/>
      <c r="S24" s="700"/>
      <c r="T24" s="699"/>
      <c r="U24" s="700"/>
      <c r="V24" s="699"/>
      <c r="W24" s="700"/>
      <c r="X24" s="701"/>
      <c r="Y24" s="3682"/>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2"/>
      <c r="Q25" s="1341" t="str">
        <f t="shared" ref="Q25" si="9">B25</f>
        <v>基础设施水平</v>
      </c>
      <c r="R25" s="699" t="s">
        <v>14</v>
      </c>
      <c r="S25" s="700">
        <f>F25</f>
        <v>100</v>
      </c>
      <c r="T25" s="699" t="s">
        <v>14</v>
      </c>
      <c r="U25" s="700">
        <f>H25</f>
        <v>100</v>
      </c>
      <c r="V25" s="699" t="s">
        <v>14</v>
      </c>
      <c r="W25" s="700">
        <f>J25</f>
        <v>100</v>
      </c>
      <c r="X25" s="701"/>
      <c r="Y25" s="368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82"/>
      <c r="Q26" s="1341"/>
      <c r="R26" s="699"/>
      <c r="S26" s="700"/>
      <c r="T26" s="699"/>
      <c r="U26" s="700"/>
      <c r="V26" s="699"/>
      <c r="W26" s="700"/>
      <c r="X26" s="701"/>
      <c r="Y26" s="368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8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2"/>
      <c r="Q28" s="1350" t="str">
        <f t="shared" si="8"/>
        <v>毗邻道路的类型与等级</v>
      </c>
      <c r="R28" s="703" t="s">
        <v>14</v>
      </c>
      <c r="S28" s="704">
        <f t="shared" si="10"/>
        <v>100</v>
      </c>
      <c r="T28" s="703" t="s">
        <v>14</v>
      </c>
      <c r="U28" s="704">
        <f t="shared" si="11"/>
        <v>100</v>
      </c>
      <c r="V28" s="703" t="s">
        <v>14</v>
      </c>
      <c r="W28" s="704">
        <f t="shared" si="12"/>
        <v>100</v>
      </c>
      <c r="X28" s="1353"/>
      <c r="Y28" s="368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82"/>
      <c r="Q29" s="1350"/>
      <c r="R29" s="703"/>
      <c r="S29" s="704"/>
      <c r="T29" s="703"/>
      <c r="U29" s="704"/>
      <c r="V29" s="703"/>
      <c r="W29" s="704"/>
      <c r="X29" s="1353"/>
      <c r="Y29" s="368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2"/>
      <c r="Q30" s="1350" t="str">
        <f t="shared" si="8"/>
        <v>土地级别</v>
      </c>
      <c r="R30" s="703" t="s">
        <v>14</v>
      </c>
      <c r="S30" s="704">
        <f t="shared" si="10"/>
        <v>100</v>
      </c>
      <c r="T30" s="703" t="s">
        <v>14</v>
      </c>
      <c r="U30" s="704">
        <f t="shared" si="11"/>
        <v>100</v>
      </c>
      <c r="V30" s="703" t="s">
        <v>14</v>
      </c>
      <c r="W30" s="704">
        <f t="shared" si="12"/>
        <v>100</v>
      </c>
      <c r="X30" s="1353"/>
      <c r="Y30" s="368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2"/>
      <c r="Q31" s="1350">
        <f t="shared" si="8"/>
        <v>111</v>
      </c>
      <c r="R31" s="703" t="s">
        <v>14</v>
      </c>
      <c r="S31" s="704">
        <f t="shared" si="10"/>
        <v>100</v>
      </c>
      <c r="T31" s="703" t="s">
        <v>14</v>
      </c>
      <c r="U31" s="704">
        <f t="shared" si="11"/>
        <v>100</v>
      </c>
      <c r="V31" s="703" t="s">
        <v>14</v>
      </c>
      <c r="W31" s="704">
        <f t="shared" si="12"/>
        <v>100</v>
      </c>
      <c r="X31" s="1353"/>
      <c r="Y31" s="368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01" t="s">
        <v>1696</v>
      </c>
      <c r="Q32" s="1350">
        <f t="shared" si="8"/>
        <v>111</v>
      </c>
      <c r="R32" s="703" t="s">
        <v>14</v>
      </c>
      <c r="S32" s="704">
        <f t="shared" si="10"/>
        <v>100</v>
      </c>
      <c r="T32" s="703" t="s">
        <v>14</v>
      </c>
      <c r="U32" s="704">
        <f t="shared" si="11"/>
        <v>100</v>
      </c>
      <c r="V32" s="703" t="s">
        <v>14</v>
      </c>
      <c r="W32" s="704">
        <f t="shared" si="12"/>
        <v>100</v>
      </c>
      <c r="X32" s="1353"/>
      <c r="Y32" s="368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6"/>
      <c r="Q33" s="1350">
        <f t="shared" si="8"/>
        <v>111</v>
      </c>
      <c r="R33" s="706" t="s">
        <v>14</v>
      </c>
      <c r="S33" s="707">
        <f t="shared" si="10"/>
        <v>100</v>
      </c>
      <c r="T33" s="706" t="s">
        <v>14</v>
      </c>
      <c r="U33" s="707">
        <f t="shared" si="11"/>
        <v>100</v>
      </c>
      <c r="V33" s="706" t="s">
        <v>14</v>
      </c>
      <c r="W33" s="707">
        <f t="shared" si="12"/>
        <v>100</v>
      </c>
      <c r="X33" s="708"/>
      <c r="Y33" s="368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6"/>
      <c r="Q34" s="1350" t="str">
        <f>B34</f>
        <v>宗地面积</v>
      </c>
      <c r="R34" s="703" t="s">
        <v>14</v>
      </c>
      <c r="S34" s="704" t="e">
        <f t="shared" si="10"/>
        <v>#N/A</v>
      </c>
      <c r="T34" s="703" t="s">
        <v>14</v>
      </c>
      <c r="U34" s="704" t="e">
        <f t="shared" si="11"/>
        <v>#N/A</v>
      </c>
      <c r="V34" s="703" t="s">
        <v>14</v>
      </c>
      <c r="W34" s="704" t="e">
        <f t="shared" si="12"/>
        <v>#N/A</v>
      </c>
      <c r="X34" s="1353"/>
      <c r="Y34" s="368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86"/>
      <c r="Q35" s="1350" t="str">
        <f t="shared" ref="Q35:Q40" si="14">B35</f>
        <v>宗地形状</v>
      </c>
      <c r="R35" s="703" t="s">
        <v>14</v>
      </c>
      <c r="S35" s="704">
        <f t="shared" si="10"/>
        <v>100</v>
      </c>
      <c r="T35" s="703" t="s">
        <v>14</v>
      </c>
      <c r="U35" s="704">
        <f t="shared" si="11"/>
        <v>100</v>
      </c>
      <c r="V35" s="703" t="s">
        <v>14</v>
      </c>
      <c r="W35" s="704">
        <f t="shared" si="12"/>
        <v>100</v>
      </c>
      <c r="X35" s="1353"/>
      <c r="Y35" s="368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86"/>
      <c r="Q36" s="1350" t="str">
        <f t="shared" si="14"/>
        <v>宗地开发程度</v>
      </c>
      <c r="R36" s="699" t="s">
        <v>14</v>
      </c>
      <c r="S36" s="700">
        <f t="shared" si="10"/>
        <v>100</v>
      </c>
      <c r="T36" s="699" t="s">
        <v>14</v>
      </c>
      <c r="U36" s="700">
        <f t="shared" si="11"/>
        <v>100</v>
      </c>
      <c r="V36" s="699" t="s">
        <v>14</v>
      </c>
      <c r="W36" s="700">
        <f t="shared" si="12"/>
        <v>100</v>
      </c>
      <c r="X36" s="701"/>
      <c r="Y36" s="368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86" t="s">
        <v>1696</v>
      </c>
      <c r="Q37" s="1350" t="str">
        <f t="shared" si="14"/>
        <v>工程地质条件</v>
      </c>
      <c r="R37" s="703" t="s">
        <v>14</v>
      </c>
      <c r="S37" s="704">
        <f t="shared" si="10"/>
        <v>100</v>
      </c>
      <c r="T37" s="703" t="s">
        <v>14</v>
      </c>
      <c r="U37" s="704">
        <f t="shared" si="11"/>
        <v>100</v>
      </c>
      <c r="V37" s="703" t="s">
        <v>14</v>
      </c>
      <c r="W37" s="704">
        <f t="shared" si="12"/>
        <v>100</v>
      </c>
      <c r="X37" s="1353"/>
      <c r="Y37" s="368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6"/>
      <c r="Q38" s="1350">
        <f t="shared" si="14"/>
        <v>111</v>
      </c>
      <c r="R38" s="703" t="s">
        <v>14</v>
      </c>
      <c r="S38" s="704">
        <f t="shared" si="10"/>
        <v>100</v>
      </c>
      <c r="T38" s="703" t="s">
        <v>14</v>
      </c>
      <c r="U38" s="704">
        <f t="shared" si="11"/>
        <v>100</v>
      </c>
      <c r="V38" s="703" t="s">
        <v>14</v>
      </c>
      <c r="W38" s="704">
        <f t="shared" si="12"/>
        <v>100</v>
      </c>
      <c r="X38" s="1353"/>
      <c r="Y38" s="368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6"/>
      <c r="Q39" s="1350">
        <f t="shared" si="14"/>
        <v>111</v>
      </c>
      <c r="R39" s="703" t="s">
        <v>14</v>
      </c>
      <c r="S39" s="704">
        <f t="shared" si="10"/>
        <v>100</v>
      </c>
      <c r="T39" s="703" t="s">
        <v>14</v>
      </c>
      <c r="U39" s="704">
        <f t="shared" si="11"/>
        <v>100</v>
      </c>
      <c r="V39" s="703" t="s">
        <v>14</v>
      </c>
      <c r="W39" s="704">
        <f t="shared" si="12"/>
        <v>100</v>
      </c>
      <c r="X39" s="1353"/>
      <c r="Y39" s="368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6"/>
      <c r="Q40" s="1350">
        <f t="shared" si="14"/>
        <v>111</v>
      </c>
      <c r="R40" s="706" t="s">
        <v>14</v>
      </c>
      <c r="S40" s="707">
        <f t="shared" si="10"/>
        <v>100</v>
      </c>
      <c r="T40" s="706" t="s">
        <v>14</v>
      </c>
      <c r="U40" s="707">
        <f t="shared" si="11"/>
        <v>100</v>
      </c>
      <c r="V40" s="706" t="s">
        <v>14</v>
      </c>
      <c r="W40" s="707">
        <f t="shared" si="12"/>
        <v>100</v>
      </c>
      <c r="X40" s="708"/>
      <c r="Y40" s="3686"/>
      <c r="Z40" s="709">
        <f t="shared" si="13"/>
        <v>111</v>
      </c>
      <c r="AA40" s="1351">
        <f t="shared" si="3"/>
        <v>1</v>
      </c>
      <c r="AB40" s="1351">
        <f t="shared" si="4"/>
        <v>1</v>
      </c>
      <c r="AC40" s="1351">
        <f t="shared" si="5"/>
        <v>1</v>
      </c>
    </row>
    <row r="41" spans="1:31" ht="15">
      <c r="A41" s="430" t="s">
        <v>1844</v>
      </c>
      <c r="B41" s="1980" t="s">
        <v>1922</v>
      </c>
      <c r="C41" s="630" t="s">
        <v>0</v>
      </c>
      <c r="D41" s="432"/>
      <c r="E41" s="433">
        <v>9000</v>
      </c>
      <c r="F41" s="434"/>
      <c r="G41" s="435">
        <f>E41</f>
        <v>9000</v>
      </c>
      <c r="H41" s="436"/>
      <c r="I41" s="433"/>
      <c r="J41" s="436"/>
      <c r="K41" s="712"/>
      <c r="L41" s="2722"/>
      <c r="M41" s="2714"/>
      <c r="N41" s="2714"/>
      <c r="O41" s="2723"/>
      <c r="P41" s="3688" t="str">
        <f>A41</f>
        <v>成交单价</v>
      </c>
      <c r="Q41" s="3688"/>
      <c r="R41" s="3676">
        <f>E41</f>
        <v>9000</v>
      </c>
      <c r="S41" s="3676"/>
      <c r="T41" s="3676">
        <f>G41</f>
        <v>9000</v>
      </c>
      <c r="U41" s="3676"/>
      <c r="V41" s="3676">
        <f>I41</f>
        <v>0</v>
      </c>
      <c r="W41" s="367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88" t="str">
        <f>A42</f>
        <v>比较价值（元/平方米）</v>
      </c>
      <c r="Q42" s="3688"/>
      <c r="R42" s="3757" t="e">
        <f>ROUND(PRODUCT(R41,AA7:AA40),0)</f>
        <v>#DIV/0!</v>
      </c>
      <c r="S42" s="3757"/>
      <c r="T42" s="3757" t="e">
        <f>ROUND(PRODUCT(T41,AB7:AB40),0)</f>
        <v>#DIV/0!</v>
      </c>
      <c r="U42" s="3757"/>
      <c r="V42" s="3757" t="e">
        <f>ROUND(PRODUCT(V41,AC7:AC40),0)</f>
        <v>#DIV/0!</v>
      </c>
      <c r="W42" s="375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02" t="str">
        <f>A43</f>
        <v>估价对象XX用房的比较价值（楼面单价，元/平方米）</v>
      </c>
      <c r="Q43" s="3703"/>
      <c r="R43" s="3758" t="e">
        <f>ROUND(IF(D42="简单平均",AVERAGE(R42:W42),R42*F42+T42*H42+V42*J42),0)</f>
        <v>#DIV/0!</v>
      </c>
      <c r="S43" s="3758"/>
      <c r="T43" s="3758"/>
      <c r="U43" s="3758"/>
      <c r="V43" s="3758"/>
      <c r="W43" s="375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v>
      </c>
      <c r="F48" s="449" t="str">
        <f>IF(OR(E48&gt;=0.3,E48&lt;=-0.3),"超过30%","")</f>
        <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3" t="s">
        <v>1887</v>
      </c>
      <c r="H50" s="375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176.09</v>
      </c>
      <c r="F51" s="639" t="e">
        <f t="shared" ref="F51:F60" si="15">ROUND(B51*E51/10000,0)</f>
        <v>#DIV/0!</v>
      </c>
      <c r="G51" s="3659"/>
      <c r="H51" s="368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3">
        <v>0.25</v>
      </c>
      <c r="E56" s="217">
        <f>'数据-汇总表'!E11</f>
        <v>0</v>
      </c>
      <c r="F56" s="639" t="e">
        <f t="shared" si="15"/>
        <v>#DIV/0!</v>
      </c>
      <c r="G56" s="1985" t="s">
        <v>1896</v>
      </c>
      <c r="H56" s="885" t="str">
        <f>项目基本情况!C37</f>
        <v>一级</v>
      </c>
      <c r="I56" s="771">
        <f>SUMIF(修正!A57:A68,H56,修正!E57:E68)</f>
        <v>0.3</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3">
        <v>0.25</v>
      </c>
      <c r="E57" s="217">
        <f>'数据-汇总表'!E12</f>
        <v>0</v>
      </c>
      <c r="F57" s="639" t="e">
        <f t="shared" si="15"/>
        <v>#DIV/0!</v>
      </c>
      <c r="G57" s="890" t="s">
        <v>1898</v>
      </c>
      <c r="H57" s="885" t="str">
        <f>IF(G57="商业",项目基本情况!B37,IF(G57="办公",项目基本情况!C37,IF(G57="住宅",项目基本情况!D37,项目基本情况!E37)))</f>
        <v>一级</v>
      </c>
      <c r="I57" s="771">
        <f>SUMIF(修正!A57:A68,H57,修正!F57:F68)</f>
        <v>0.3</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3">
        <v>0.25</v>
      </c>
      <c r="E60" s="217">
        <f>'数据-汇总表'!E15</f>
        <v>0</v>
      </c>
      <c r="F60" s="639" t="e">
        <f t="shared" si="15"/>
        <v>#DIV/0!</v>
      </c>
      <c r="G60" s="1986" t="s">
        <v>1896</v>
      </c>
      <c r="H60" s="895" t="str">
        <f>项目基本情况!C37</f>
        <v>一级</v>
      </c>
      <c r="I60" s="771">
        <f>SUMIF(修正!A57:A68,H60,修正!G57:G68)</f>
        <v>0.2</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570</v>
      </c>
      <c r="C2" s="2143" t="s">
        <v>2074</v>
      </c>
      <c r="D2" s="2143" t="s">
        <v>2075</v>
      </c>
      <c r="E2" s="2610">
        <f ca="1">SUMIF(E6:E13,"&lt;&gt;#ref!",E6:E13)</f>
        <v>176.09</v>
      </c>
      <c r="F2" s="2791"/>
      <c r="G2" s="2791"/>
      <c r="H2" s="2791"/>
      <c r="I2" s="2791"/>
      <c r="J2" s="2791"/>
      <c r="K2" s="2791"/>
      <c r="L2" s="2791"/>
      <c r="M2" s="2791"/>
      <c r="N2" s="2791"/>
      <c r="O2" s="2791"/>
      <c r="P2" s="2791"/>
    </row>
    <row r="3" spans="1:16" ht="15.75">
      <c r="A3" s="2143" t="s">
        <v>2076</v>
      </c>
      <c r="B3" s="2600">
        <f ca="1">ROUND(B2*10000/E2,0)</f>
        <v>32370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570</v>
      </c>
      <c r="C6" s="2143" t="s">
        <v>2074</v>
      </c>
      <c r="D6" s="2791"/>
      <c r="E6" s="2610">
        <f ca="1">SUMIF(INDIRECT("'"&amp;A6&amp;"'"&amp;"!C:C"),"建筑面积",INDIRECT("'"&amp;A6&amp;"'"&amp;"!D:D"))</f>
        <v>176.09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4"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4" t="s">
        <v>2615</v>
      </c>
      <c r="C27" s="3101" t="s">
        <v>2455</v>
      </c>
      <c r="D27" s="3102"/>
      <c r="E27" s="3103">
        <v>1</v>
      </c>
      <c r="F27" s="3104" t="s">
        <v>2456</v>
      </c>
      <c r="G27" s="3104"/>
    </row>
    <row r="28" spans="1:13" ht="19.5" customHeight="1">
      <c r="A28" s="3768"/>
      <c r="B28" s="3765"/>
      <c r="C28" s="3105" t="s">
        <v>2457</v>
      </c>
      <c r="D28" s="3106"/>
      <c r="E28" s="3107">
        <v>1</v>
      </c>
      <c r="F28" s="3104" t="s">
        <v>2458</v>
      </c>
      <c r="G28" s="3104"/>
    </row>
    <row r="29" spans="1:13" ht="19.5" customHeight="1">
      <c r="A29" s="3768"/>
      <c r="B29" s="3765"/>
      <c r="C29" s="3105" t="s">
        <v>2459</v>
      </c>
      <c r="D29" s="3106"/>
      <c r="E29" s="3107">
        <v>0.8</v>
      </c>
      <c r="F29" s="3104" t="s">
        <v>2460</v>
      </c>
      <c r="G29" s="3104"/>
    </row>
    <row r="30" spans="1:13" ht="19.5" customHeight="1">
      <c r="A30" s="3768"/>
      <c r="B30" s="3765"/>
      <c r="C30" s="3105" t="s">
        <v>2461</v>
      </c>
      <c r="D30" s="3106"/>
      <c r="E30" s="3107">
        <v>0.8</v>
      </c>
      <c r="F30" s="3104" t="s">
        <v>2462</v>
      </c>
      <c r="G30" s="3104"/>
    </row>
    <row r="31" spans="1:13" ht="19.5" customHeight="1">
      <c r="A31" s="3768"/>
      <c r="B31" s="3765"/>
      <c r="C31" s="3105" t="s">
        <v>2463</v>
      </c>
      <c r="D31" s="3106"/>
      <c r="E31" s="3107">
        <v>0.8</v>
      </c>
      <c r="F31" s="3104" t="s">
        <v>2464</v>
      </c>
      <c r="G31" s="3104"/>
    </row>
    <row r="32" spans="1:13" ht="19.5" customHeight="1">
      <c r="A32" s="3768"/>
      <c r="B32" s="3765"/>
      <c r="C32" s="3105" t="s">
        <v>2465</v>
      </c>
      <c r="D32" s="3106"/>
      <c r="E32" s="3107">
        <v>0.7</v>
      </c>
      <c r="F32" s="3104" t="s">
        <v>2466</v>
      </c>
      <c r="G32" s="3104"/>
    </row>
    <row r="33" spans="1:7" ht="19.5" customHeight="1">
      <c r="A33" s="3768"/>
      <c r="B33" s="3765"/>
      <c r="C33" s="3105" t="s">
        <v>2467</v>
      </c>
      <c r="D33" s="3106"/>
      <c r="E33" s="3107">
        <v>0.8</v>
      </c>
      <c r="F33" s="3104" t="s">
        <v>2468</v>
      </c>
      <c r="G33" s="3104"/>
    </row>
    <row r="34" spans="1:7" ht="19.5" customHeight="1">
      <c r="A34" s="3768"/>
      <c r="B34" s="3765"/>
      <c r="C34" s="3105" t="s">
        <v>2469</v>
      </c>
      <c r="D34" s="3106"/>
      <c r="E34" s="3107">
        <v>0.6</v>
      </c>
      <c r="F34" s="3104" t="s">
        <v>2470</v>
      </c>
      <c r="G34" s="3104"/>
    </row>
    <row r="35" spans="1:7" ht="19.5" customHeight="1">
      <c r="A35" s="3768"/>
      <c r="B35" s="3765"/>
      <c r="C35" s="3105" t="s">
        <v>2471</v>
      </c>
      <c r="D35" s="3106"/>
      <c r="E35" s="3107">
        <v>0.2</v>
      </c>
      <c r="F35" s="3104" t="s">
        <v>2472</v>
      </c>
      <c r="G35" s="3104"/>
    </row>
    <row r="36" spans="1:7" ht="19.5" customHeight="1">
      <c r="A36" s="3768"/>
      <c r="B36" s="3765"/>
      <c r="C36" s="3105" t="s">
        <v>2473</v>
      </c>
      <c r="D36" s="3106"/>
      <c r="E36" s="3107">
        <v>0.2</v>
      </c>
      <c r="F36" s="3104" t="s">
        <v>2474</v>
      </c>
      <c r="G36" s="3104"/>
    </row>
    <row r="37" spans="1:7" ht="19.5" customHeight="1">
      <c r="A37" s="3768"/>
      <c r="B37" s="3770" t="s">
        <v>2635</v>
      </c>
      <c r="C37" s="3105" t="s">
        <v>2475</v>
      </c>
      <c r="D37" s="3106"/>
      <c r="E37" s="3107">
        <v>0.6</v>
      </c>
      <c r="F37" s="3104" t="s">
        <v>2476</v>
      </c>
      <c r="G37" s="3104"/>
    </row>
    <row r="38" spans="1:7" ht="19.5" customHeight="1">
      <c r="A38" s="3768"/>
      <c r="B38" s="3765"/>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4"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7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70"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0"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74"/>
      <c r="C89" s="3090" t="s">
        <v>2687</v>
      </c>
      <c r="D89" s="3090" t="s">
        <v>2688</v>
      </c>
      <c r="E89" s="3116">
        <v>0.1</v>
      </c>
      <c r="F89" s="3116">
        <v>15</v>
      </c>
    </row>
    <row r="90" spans="1:6" ht="13.5">
      <c r="A90" s="3116">
        <v>18</v>
      </c>
      <c r="B90" s="3770"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74"/>
      <c r="C106" s="3090" t="s">
        <v>2722</v>
      </c>
      <c r="D106" s="3090" t="s">
        <v>2723</v>
      </c>
      <c r="E106" s="3116">
        <v>0.1</v>
      </c>
      <c r="F106" s="3116">
        <v>15</v>
      </c>
    </row>
    <row r="107" spans="1:6" ht="24">
      <c r="A107" s="3116">
        <v>35</v>
      </c>
      <c r="B107" s="3770"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74"/>
      <c r="C112" s="3116" t="s">
        <v>2735</v>
      </c>
      <c r="D112" s="3090" t="s">
        <v>2736</v>
      </c>
      <c r="E112" s="3116">
        <v>0.1</v>
      </c>
      <c r="F112" s="3116">
        <v>15</v>
      </c>
    </row>
    <row r="113" spans="1:6" ht="13.5">
      <c r="A113" s="3116">
        <v>41</v>
      </c>
      <c r="B113" s="3775" t="s">
        <v>2737</v>
      </c>
      <c r="C113" s="3116" t="s">
        <v>2738</v>
      </c>
      <c r="D113" s="3090" t="s">
        <v>2739</v>
      </c>
      <c r="E113" s="3116">
        <v>0.1</v>
      </c>
      <c r="F113" s="3116">
        <v>15</v>
      </c>
    </row>
    <row r="114" spans="1:6" ht="13.5">
      <c r="A114" s="3116">
        <v>42</v>
      </c>
      <c r="B114" s="3775"/>
      <c r="C114" s="3116" t="s">
        <v>2740</v>
      </c>
      <c r="D114" s="3090" t="s">
        <v>2741</v>
      </c>
      <c r="E114" s="3116">
        <v>0.1</v>
      </c>
      <c r="F114" s="3116">
        <v>15</v>
      </c>
    </row>
    <row r="115" spans="1:6" ht="24">
      <c r="A115" s="3116">
        <v>43</v>
      </c>
      <c r="B115" s="3775"/>
      <c r="C115" s="3116" t="s">
        <v>2742</v>
      </c>
      <c r="D115" s="3090" t="s">
        <v>2743</v>
      </c>
      <c r="E115" s="3116">
        <v>0.1</v>
      </c>
      <c r="F115" s="3116">
        <v>15</v>
      </c>
    </row>
    <row r="116" spans="1:6" ht="13.5">
      <c r="A116" s="3116">
        <v>44</v>
      </c>
      <c r="B116" s="3770" t="s">
        <v>2744</v>
      </c>
      <c r="C116" s="3116" t="s">
        <v>2745</v>
      </c>
      <c r="D116" s="3090" t="s">
        <v>2746</v>
      </c>
      <c r="E116" s="3116">
        <v>0.1</v>
      </c>
      <c r="F116" s="3116">
        <v>15</v>
      </c>
    </row>
    <row r="117" spans="1:6" ht="24">
      <c r="A117" s="3116">
        <v>45</v>
      </c>
      <c r="B117" s="3774"/>
      <c r="C117" s="3090" t="s">
        <v>2747</v>
      </c>
      <c r="D117" s="3090" t="s">
        <v>2748</v>
      </c>
      <c r="E117" s="3116">
        <v>0.1</v>
      </c>
      <c r="F117" s="3116">
        <v>15</v>
      </c>
    </row>
    <row r="118" spans="1:6" ht="24">
      <c r="A118" s="3116">
        <v>46</v>
      </c>
      <c r="B118" s="3770" t="s">
        <v>2749</v>
      </c>
      <c r="C118" s="3116" t="s">
        <v>2750</v>
      </c>
      <c r="D118" s="3090" t="s">
        <v>2751</v>
      </c>
      <c r="E118" s="3116">
        <v>0.1</v>
      </c>
      <c r="F118" s="3116">
        <v>15</v>
      </c>
    </row>
    <row r="119" spans="1:6" ht="24">
      <c r="A119" s="3116">
        <v>47</v>
      </c>
      <c r="B119" s="3774"/>
      <c r="C119" s="3116" t="s">
        <v>2752</v>
      </c>
      <c r="D119" s="3090" t="s">
        <v>2753</v>
      </c>
      <c r="E119" s="3116">
        <v>0.1</v>
      </c>
      <c r="F119" s="3116">
        <v>15</v>
      </c>
    </row>
    <row r="120" spans="1:6" ht="13.5">
      <c r="A120" s="3116">
        <v>48</v>
      </c>
      <c r="B120" s="3770" t="s">
        <v>2754</v>
      </c>
      <c r="C120" s="3116" t="s">
        <v>2755</v>
      </c>
      <c r="D120" s="3090" t="s">
        <v>2756</v>
      </c>
      <c r="E120" s="3116">
        <v>0.1</v>
      </c>
      <c r="F120" s="3116">
        <v>15</v>
      </c>
    </row>
    <row r="121" spans="1:6" ht="13.5">
      <c r="A121" s="3116">
        <v>49</v>
      </c>
      <c r="B121" s="3774"/>
      <c r="C121" s="3116" t="s">
        <v>2757</v>
      </c>
      <c r="D121" s="3090" t="s">
        <v>2758</v>
      </c>
      <c r="E121" s="3116">
        <v>0.1</v>
      </c>
      <c r="F121" s="3116">
        <v>15</v>
      </c>
    </row>
    <row r="122" spans="1:6" ht="24">
      <c r="A122" s="3116">
        <v>50</v>
      </c>
      <c r="B122" s="3775" t="s">
        <v>2759</v>
      </c>
      <c r="C122" s="3116" t="s">
        <v>2760</v>
      </c>
      <c r="D122" s="3090" t="s">
        <v>2761</v>
      </c>
      <c r="E122" s="3116">
        <v>0.1</v>
      </c>
      <c r="F122" s="3116">
        <v>15</v>
      </c>
    </row>
    <row r="123" spans="1:6" ht="24">
      <c r="A123" s="3116">
        <v>51</v>
      </c>
      <c r="B123" s="3775"/>
      <c r="C123" s="3116" t="s">
        <v>2762</v>
      </c>
      <c r="D123" s="3090" t="s">
        <v>2763</v>
      </c>
      <c r="E123" s="3116">
        <v>0.1</v>
      </c>
      <c r="F123" s="3116">
        <v>15</v>
      </c>
    </row>
    <row r="124" spans="1:6" ht="24">
      <c r="A124" s="3116">
        <v>52</v>
      </c>
      <c r="B124" s="3775" t="s">
        <v>2764</v>
      </c>
      <c r="C124" s="3116" t="s">
        <v>2765</v>
      </c>
      <c r="D124" s="3090" t="s">
        <v>2766</v>
      </c>
      <c r="E124" s="3116">
        <v>0.1</v>
      </c>
      <c r="F124" s="3116">
        <v>15</v>
      </c>
    </row>
    <row r="125" spans="1:6" ht="24">
      <c r="A125" s="3116">
        <v>53</v>
      </c>
      <c r="B125" s="377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5" t="s">
        <v>2772</v>
      </c>
      <c r="C127" s="3116" t="s">
        <v>2773</v>
      </c>
      <c r="D127" s="3090" t="s">
        <v>2774</v>
      </c>
      <c r="E127" s="3116">
        <v>0.1</v>
      </c>
      <c r="F127" s="3116">
        <v>15</v>
      </c>
    </row>
    <row r="128" spans="1:6" ht="13.5">
      <c r="A128" s="3116">
        <v>56</v>
      </c>
      <c r="B128" s="3775"/>
      <c r="C128" s="3116" t="s">
        <v>2775</v>
      </c>
      <c r="D128" s="3090" t="s">
        <v>2776</v>
      </c>
      <c r="E128" s="3116">
        <v>0.1</v>
      </c>
      <c r="F128" s="3116">
        <v>15</v>
      </c>
    </row>
    <row r="129" spans="1:6" ht="24">
      <c r="A129" s="3116">
        <v>57</v>
      </c>
      <c r="B129" s="3775"/>
      <c r="C129" s="3116" t="s">
        <v>2777</v>
      </c>
      <c r="D129" s="3090" t="s">
        <v>2778</v>
      </c>
      <c r="E129" s="3116">
        <v>0.1</v>
      </c>
      <c r="F129" s="3116">
        <v>15</v>
      </c>
    </row>
    <row r="130" spans="1:6" ht="24">
      <c r="A130" s="3116">
        <v>58</v>
      </c>
      <c r="B130" s="3775" t="s">
        <v>2779</v>
      </c>
      <c r="C130" s="3116" t="s">
        <v>2780</v>
      </c>
      <c r="D130" s="3090" t="s">
        <v>2781</v>
      </c>
      <c r="E130" s="3116">
        <v>0.1</v>
      </c>
      <c r="F130" s="3116">
        <v>15</v>
      </c>
    </row>
    <row r="131" spans="1:6" ht="13.5">
      <c r="A131" s="3116">
        <v>59</v>
      </c>
      <c r="B131" s="3775"/>
      <c r="C131" s="3116" t="s">
        <v>2782</v>
      </c>
      <c r="D131" s="3090" t="s">
        <v>2783</v>
      </c>
      <c r="E131" s="3116">
        <v>0.1</v>
      </c>
      <c r="F131" s="3116">
        <v>15</v>
      </c>
    </row>
    <row r="132" spans="1:6" ht="13.5">
      <c r="A132" s="3116">
        <v>60</v>
      </c>
      <c r="B132" s="3770" t="s">
        <v>2784</v>
      </c>
      <c r="C132" s="3116" t="s">
        <v>2785</v>
      </c>
      <c r="D132" s="3090" t="s">
        <v>2786</v>
      </c>
      <c r="E132" s="3116">
        <v>0.1</v>
      </c>
      <c r="F132" s="3116">
        <v>15</v>
      </c>
    </row>
    <row r="133" spans="1:6" ht="13.5">
      <c r="A133" s="3116">
        <v>61</v>
      </c>
      <c r="B133" s="377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5" t="s">
        <v>2792</v>
      </c>
      <c r="C135" s="3116" t="s">
        <v>2793</v>
      </c>
      <c r="D135" s="3090" t="s">
        <v>2794</v>
      </c>
      <c r="E135" s="3116">
        <v>0.1</v>
      </c>
      <c r="F135" s="3116">
        <v>15</v>
      </c>
    </row>
    <row r="136" spans="1:6" ht="13.5">
      <c r="A136" s="3116">
        <v>64</v>
      </c>
      <c r="B136" s="377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0.93859999999999999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0.88900000000000001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27863</v>
      </c>
      <c r="C2" s="2" t="s">
        <v>106</v>
      </c>
      <c r="D2" s="199"/>
      <c r="E2" s="199"/>
      <c r="F2" s="199"/>
      <c r="G2" s="199"/>
    </row>
    <row r="3" spans="1:7" s="200" customFormat="1" ht="18" customHeight="1" thickBot="1">
      <c r="A3" s="203" t="s">
        <v>58</v>
      </c>
      <c r="B3" s="204">
        <f ca="1">ROUND(B2*10000/'数据-汇总表'!E3,0)</f>
        <v>1582316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176.09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176.09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176.09</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5" t="s">
        <v>341</v>
      </c>
      <c r="B45" s="244" t="s">
        <v>85</v>
      </c>
      <c r="C45" s="245">
        <f>C46</f>
        <v>12</v>
      </c>
      <c r="D45" s="235">
        <f>C47</f>
        <v>3.0000000000000001E-3</v>
      </c>
      <c r="E45" s="236" t="s">
        <v>102</v>
      </c>
      <c r="F45" s="246"/>
      <c r="G45" s="247" t="s">
        <v>434</v>
      </c>
    </row>
    <row r="46" spans="1:7" s="214" customFormat="1" ht="13.5" customHeight="1">
      <c r="A46" s="778" t="s">
        <v>349</v>
      </c>
      <c r="B46" s="248" t="s">
        <v>427</v>
      </c>
      <c r="C46" s="249">
        <f>ROUND((C33+C39)*F27,0)</f>
        <v>12</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102</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82</v>
      </c>
      <c r="D51" s="232"/>
      <c r="E51" s="232"/>
      <c r="F51" s="264"/>
      <c r="G51" s="234" t="s">
        <v>37</v>
      </c>
    </row>
    <row r="52" spans="1:7" s="208" customFormat="1" ht="16.5" thickBot="1">
      <c r="A52" s="265" t="s">
        <v>38</v>
      </c>
      <c r="B52" s="266"/>
      <c r="C52" s="267">
        <f ca="1">C31+C51</f>
        <v>27863</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640</v>
      </c>
      <c r="E5" s="1489"/>
    </row>
    <row r="6" spans="1:5" ht="15.75">
      <c r="A6" s="1489"/>
      <c r="B6" s="3458"/>
      <c r="C6" s="1492" t="s">
        <v>911</v>
      </c>
      <c r="D6" s="848" t="str">
        <f ca="1">NUMBERSTRING(INT(D5*10000),2)&amp;"元整"</f>
        <v>陆佰肆拾万元整</v>
      </c>
      <c r="E6" s="1489"/>
    </row>
    <row r="7" spans="1:5" ht="15.75">
      <c r="A7" s="1489"/>
      <c r="B7" s="3463"/>
      <c r="C7" s="1493" t="s">
        <v>912</v>
      </c>
      <c r="D7" s="849">
        <f ca="1">结果表!H102</f>
        <v>36340</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640</v>
      </c>
      <c r="E13" s="1489"/>
    </row>
    <row r="14" spans="1:5" ht="15.75">
      <c r="A14" s="1489"/>
      <c r="B14" s="3458"/>
      <c r="C14" s="1492" t="s">
        <v>911</v>
      </c>
      <c r="D14" s="848" t="str">
        <f ca="1">NUMBERSTRING(INT(D13*10000),2)&amp;"元整"</f>
        <v>陆佰肆拾万元整</v>
      </c>
      <c r="E14" s="1489"/>
    </row>
    <row r="15" spans="1:5" ht="15">
      <c r="A15" s="1489"/>
      <c r="B15" s="3463"/>
      <c r="C15" s="1493" t="s">
        <v>921</v>
      </c>
      <c r="D15" s="857">
        <f ca="1">结果表!H108</f>
        <v>36340</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2844</v>
      </c>
      <c r="B1" s="3778"/>
      <c r="C1" s="3778"/>
      <c r="D1" s="3778"/>
      <c r="E1" s="3778"/>
      <c r="F1" s="3778"/>
      <c r="G1" s="3779"/>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6"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7"/>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3186</v>
      </c>
      <c r="B1" s="3780"/>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3237</v>
      </c>
      <c r="B1" s="3781"/>
      <c r="C1" s="3781"/>
      <c r="D1" s="3781"/>
      <c r="E1" s="3781"/>
      <c r="F1" s="3782"/>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45160</v>
      </c>
      <c r="B1" s="3208" t="s">
        <v>2843</v>
      </c>
      <c r="C1" s="3209"/>
      <c r="D1" s="3209"/>
      <c r="E1" s="3209"/>
      <c r="F1" s="3209"/>
      <c r="G1" s="3209"/>
      <c r="H1" s="3209"/>
      <c r="I1" s="3209"/>
      <c r="J1" s="3163"/>
      <c r="K1" s="3209" t="s">
        <v>454</v>
      </c>
      <c r="L1" s="3209"/>
      <c r="M1" s="3209"/>
      <c r="N1" s="3209"/>
      <c r="O1" s="3209"/>
      <c r="P1" s="3209"/>
      <c r="Q1" s="3163"/>
      <c r="R1" s="3783" t="s">
        <v>456</v>
      </c>
      <c r="S1" s="3784"/>
      <c r="T1" s="3784"/>
      <c r="U1" s="3784"/>
      <c r="V1" s="3784"/>
      <c r="W1" s="3784"/>
      <c r="X1" s="3163"/>
      <c r="Y1" s="3783" t="s">
        <v>457</v>
      </c>
      <c r="Z1" s="3784"/>
      <c r="AA1" s="3784"/>
      <c r="AB1" s="3784"/>
      <c r="AC1" s="3784"/>
      <c r="AD1" s="3784"/>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3372</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3373</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3377</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3376</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3374</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3" t="s">
        <v>2831</v>
      </c>
      <c r="S21" s="3784"/>
      <c r="T21" s="3784"/>
      <c r="U21" s="3784"/>
      <c r="V21" s="3784"/>
      <c r="W21" s="3784"/>
      <c r="X21" s="3163"/>
      <c r="Y21" s="3783" t="s">
        <v>2832</v>
      </c>
      <c r="Z21" s="3784"/>
      <c r="AA21" s="3784"/>
      <c r="AB21" s="3784"/>
      <c r="AC21" s="3784"/>
      <c r="AD21" s="3784"/>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3372</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3373</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3375</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3376</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3374</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30">
      <c r="A4" s="1503" t="str">
        <f>项目基本情况!S2</f>
        <v>北京市东城区东四十条甲22号1号楼房地产</v>
      </c>
      <c r="B4" s="852">
        <f>项目基本情况!C17</f>
        <v>176.09</v>
      </c>
      <c r="C4" s="852">
        <f>项目基本情况!C18</f>
        <v>0</v>
      </c>
      <c r="D4" s="852">
        <f ca="1">结果表!D118</f>
        <v>512</v>
      </c>
      <c r="E4" s="852">
        <f ca="1">结果表!E118</f>
        <v>29072</v>
      </c>
      <c r="F4" s="852">
        <f ca="1">结果表!F118</f>
        <v>128</v>
      </c>
      <c r="G4" s="852">
        <f ca="1">结果表!G118</f>
        <v>7268</v>
      </c>
      <c r="H4" s="852">
        <f ca="1">结果表!H118</f>
        <v>640</v>
      </c>
      <c r="I4" s="852">
        <f ca="1">结果表!I118</f>
        <v>36340</v>
      </c>
    </row>
    <row r="5" spans="1:9" ht="30" customHeight="1">
      <c r="A5" s="3469" t="s">
        <v>927</v>
      </c>
      <c r="B5" s="3469"/>
      <c r="C5" s="3469"/>
      <c r="D5" s="3469" t="str">
        <f ca="1">结果表!D119</f>
        <v>伍佰壹拾贰万元整</v>
      </c>
      <c r="E5" s="3469"/>
      <c r="F5" s="3469" t="str">
        <f ca="1">结果表!F119</f>
        <v>壹佰贰拾捌万元整</v>
      </c>
      <c r="G5" s="3469"/>
      <c r="H5" s="3469" t="str">
        <f ca="1">结果表!H119</f>
        <v>陆佰肆拾万元整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640</v>
      </c>
      <c r="E8" s="3470"/>
      <c r="F8" s="3470"/>
      <c r="G8" s="3470"/>
      <c r="H8" s="3470"/>
      <c r="I8" s="3470"/>
    </row>
    <row r="9" spans="1:9" ht="15">
      <c r="A9" s="3469" t="s">
        <v>927</v>
      </c>
      <c r="B9" s="3469"/>
      <c r="C9" s="3469"/>
      <c r="D9" s="3469" t="str">
        <f ca="1">结果表!D123</f>
        <v>陆佰肆拾万元整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45162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2023-08-24T12:50:20Z</dcterms:modified>
</cp:coreProperties>
</file>