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3" i="1" l="1"/>
  <c r="N21" i="1"/>
  <c r="N6" i="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4" i="15"/>
  <c r="F3" i="73"/>
  <c r="L47" i="15"/>
  <c r="M24" i="67"/>
  <c r="D5" i="73"/>
  <c r="F37" i="67"/>
  <c r="F36" i="15"/>
  <c r="M6" i="15"/>
  <c r="L47" i="67"/>
  <c r="B13" i="76"/>
  <c r="D4" i="73"/>
  <c r="F26" i="67"/>
  <c r="F13" i="15"/>
  <c r="F38" i="67"/>
  <c r="F40" i="15"/>
  <c r="F43" i="67"/>
  <c r="M26" i="15"/>
  <c r="E2" i="68"/>
  <c r="M29" i="67"/>
  <c r="B8" i="76"/>
  <c r="F5" i="73"/>
  <c r="M26" i="67"/>
  <c r="D6" i="73"/>
  <c r="F6" i="73"/>
  <c r="B12" i="76"/>
  <c r="M8" i="67"/>
  <c r="D3" i="73"/>
  <c r="F9" i="67"/>
  <c r="L48" i="67"/>
  <c r="M9" i="67"/>
  <c r="F4" i="73"/>
  <c r="E11" i="76"/>
  <c r="F43" i="15"/>
  <c r="F16" i="67"/>
  <c r="F8" i="67"/>
  <c r="E12" i="76"/>
  <c r="F7" i="73"/>
  <c r="B9" i="76"/>
  <c r="E9" i="76"/>
  <c r="E8" i="76"/>
  <c r="M23" i="67"/>
  <c r="B7" i="76"/>
  <c r="F7" i="15"/>
  <c r="M28" i="67"/>
  <c r="F16" i="15"/>
  <c r="B11" i="76"/>
  <c r="L48" i="15"/>
  <c r="M22" i="15"/>
  <c r="F42" i="15"/>
  <c r="F26" i="15"/>
  <c r="J15" i="15"/>
  <c r="F7" i="67"/>
  <c r="F9" i="15"/>
  <c r="E2" i="69"/>
  <c r="C76" i="67"/>
  <c r="F20" i="31"/>
  <c r="F38" i="15"/>
  <c r="J15" i="67"/>
  <c r="M9" i="15"/>
  <c r="F40" i="67"/>
  <c r="F37" i="15"/>
  <c r="F8" i="15"/>
  <c r="AO13" i="1"/>
  <c r="M23" i="15"/>
  <c r="M8" i="15"/>
  <c r="M29" i="15"/>
  <c r="E7" i="76"/>
  <c r="F13" i="67"/>
  <c r="F36" i="67"/>
  <c r="F6" i="67"/>
  <c r="C76" i="15"/>
  <c r="D7" i="73"/>
  <c r="E10" i="76"/>
  <c r="F6" i="15"/>
  <c r="M28" i="15"/>
  <c r="F42" i="67"/>
  <c r="B10" i="76"/>
  <c r="M22" i="67"/>
  <c r="E13" i="76"/>
  <c r="M6"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9"/>
  <c r="D9" i="69"/>
  <c r="C36" i="68"/>
  <c r="G1" i="73"/>
  <c r="C16" i="67"/>
  <c r="D9" i="68"/>
  <c r="F27" i="69"/>
  <c r="C16" i="15"/>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F69" i="67" l="1"/>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14" i="67"/>
  <c r="C17" i="15"/>
  <c r="C17" i="67"/>
  <c r="C34" i="69"/>
  <c r="D10" i="68"/>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C34" i="68"/>
  <c r="B6" i="76"/>
  <c r="C14" i="15"/>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C21" i="12" l="1"/>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R22" i="31"/>
  <c r="B20" i="31"/>
  <c r="B21" i="3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AO7" i="1"/>
  <c r="AO10" i="1"/>
  <c r="D19" i="9"/>
  <c r="AO9" i="1"/>
  <c r="C19" i="9"/>
  <c r="AO6" i="1"/>
  <c r="AO12"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35" i="9"/>
  <c r="D34"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C104" i="9"/>
  <c r="H101" i="9"/>
  <c r="H107" i="9" s="1"/>
  <c r="M49" i="9" s="1"/>
  <c r="G14" i="74"/>
  <c r="B6" i="74" s="1"/>
  <c r="D6" i="74" s="1"/>
  <c r="H109" i="9"/>
  <c r="C105" i="9"/>
  <c r="H102" i="9"/>
  <c r="I4" i="52"/>
  <c r="M48" i="9"/>
  <c r="D5" i="53" l="1"/>
  <c r="B20" i="72" s="1"/>
  <c r="D45" i="9"/>
  <c r="F14" i="74"/>
  <c r="B5" i="74"/>
  <c r="D5" i="74" s="1"/>
  <c r="D124" i="9"/>
  <c r="D16" i="53"/>
  <c r="H110" i="9"/>
  <c r="L68" i="9"/>
  <c r="M68" i="9" s="1"/>
  <c r="L66" i="9"/>
  <c r="M66" i="9" s="1"/>
  <c r="L63" i="9"/>
  <c r="M63" i="9" s="1"/>
  <c r="L65" i="9"/>
  <c r="M65" i="9" s="1"/>
  <c r="L64" i="9"/>
  <c r="M64" i="9" s="1"/>
  <c r="L67" i="9"/>
  <c r="M67" i="9" s="1"/>
  <c r="D6" i="53"/>
  <c r="B22" i="72" s="1"/>
  <c r="D52" i="9"/>
  <c r="D53" i="9"/>
  <c r="C93" i="9"/>
  <c r="C86" i="9" s="1"/>
  <c r="D55" i="9"/>
  <c r="M53" i="9" s="1"/>
  <c r="C78" i="9"/>
  <c r="C73" i="9" s="1"/>
  <c r="C72" i="9"/>
  <c r="C85" i="9"/>
  <c r="C64" i="9"/>
  <c r="C63" i="9" s="1"/>
  <c r="C67" i="9" s="1"/>
  <c r="D13" i="53"/>
  <c r="D122" i="9"/>
  <c r="H108" i="9"/>
  <c r="D7" i="53"/>
  <c r="B21" i="72" s="1"/>
  <c r="C5" i="74" l="1"/>
  <c r="C7" i="74"/>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 r="G118" i="9"/>
  <c r="E118" i="9" s="1"/>
  <c r="D118" i="9" s="1"/>
  <c r="F118" i="9"/>
  <c r="F4" i="52" s="1"/>
  <c r="B51" i="72" s="1"/>
  <c r="G4" i="52"/>
  <c r="B52" i="72"/>
  <c r="F119" i="9" l="1"/>
  <c r="F5" i="52" s="1"/>
  <c r="B53" i="72" s="1"/>
  <c r="D4" i="52"/>
  <c r="B47" i="72" s="1"/>
  <c r="D119" i="9"/>
  <c r="D5" i="52" s="1"/>
  <c r="B49"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<sst xmlns="http://schemas.openxmlformats.org/spreadsheetml/2006/main" count="7923" uniqueCount="3447">
  <si>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</si>
  <si>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</si>
  <si>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</si>
  <si>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</si>
  <si>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</si>
  <si>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</si>
  <si>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</si>
  <si>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</si>
  <si>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</si>
  <si>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</si>
  <si>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</si>
  <si>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</si>
  <si>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</si>
  <si>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</si>
  <si>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</si>
  <si>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</si>
  <si>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</si>
  <si>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</si>
  <si>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</si>
  <si>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</si>
  <si>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</si>
  <si>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</si>
  <si>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</si>
  <si>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</si>
  <si>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</si>
  <si>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</si>
  <si>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</si>
  <si>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</si>
  <si>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</si>
  <si>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</si>
  <si>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</si>
  <si>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</si>
  <si>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</si>
  <si>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</si>
  <si>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</si>
  <si>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</si>
  <si>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</si>
  <si>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</si>
  <si>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</si>
  <si>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</si>
  <si>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</si>
  <si>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</si>
  <si>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</si>
  <si>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</si>
  <si>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</si>
  <si>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</si>
  <si>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</si>
  <si>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</si>
  <si>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</si>
  <si>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</si>
  <si>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</si>
  <si>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</si>
  <si>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</si>
  <si>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</si>
  <si>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</si>
  <si>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</si>
  <si>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</si>
  <si>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</si>
  <si>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</si>
  <si>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</si>
  <si>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</si>
  <si>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</si>
  <si>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</si>
  <si>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</si>
  <si>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</si>
  <si>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</si>
  <si>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</si>
  <si>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</si>
  <si>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</si>
  <si>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</si>
  <si>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</si>
  <si>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</si>
  <si>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</si>
  <si>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</si>
  <si>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</si>
  <si>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</si>
  <si>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</si>
  <si>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</si>
  <si>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</si>
  <si>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</si>
  <si>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</si>
  <si>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</si>
  <si>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</si>
  <si>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</si>
  <si>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</si>
  <si>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</si>
  <si>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</si>
  <si>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</si>
  <si>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</si>
  <si>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</si>
  <si>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</si>
  <si>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</si>
  <si>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</si>
  <si>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</si>
  <si>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</si>
  <si>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</si>
  <si>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</si>
  <si>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</si>
  <si>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</si>
  <si>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</si>
  <si>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</si>
  <si>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</si>
  <si>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</si>
  <si>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</si>
  <si>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</si>
  <si>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</si>
  <si>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</si>
  <si>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</si>
  <si>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</si>
  <si>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</si>
  <si>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</si>
  <si>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</si>
  <si>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</si>
  <si>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</si>
  <si>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</si>
  <si>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</si>
  <si>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</si>
  <si>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</si>
  <si>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</si>
  <si>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</si>
  <si>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</si>
  <si>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</si>
  <si>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</si>
  <si>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</si>
  <si>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</si>
  <si>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</si>
  <si>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</si>
  <si>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</si>
  <si>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</si>
  <si>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</si>
  <si>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</si>
  <si>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</si>
  <si>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</si>
  <si>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</si>
  <si>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</si>
  <si>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</si>
  <si>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</si>
  <si>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</si>
  <si>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</si>
  <si>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</si>
  <si>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</si>
  <si>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</si>
  <si>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</si>
  <si>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</si>
  <si>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</si>
  <si>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</si>
  <si>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</si>
  <si>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</si>
  <si>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</si>
  <si>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</si>
  <si>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</si>
  <si>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</si>
  <si>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</si>
  <si>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</si>
  <si>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</si>
  <si>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</si>
  <si>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</si>
  <si>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</si>
  <si>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</si>
  <si>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</si>
  <si>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</si>
  <si>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</si>
  <si>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</si>
  <si>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</si>
  <si>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</si>
  <si>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</si>
  <si>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</si>
  <si>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</si>
  <si>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</si>
  <si>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</si>
  <si>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</si>
  <si>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</si>
  <si>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</si>
  <si>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</si>
  <si>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</si>
  <si>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</si>
  <si>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</si>
  <si>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</si>
  <si>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</si>
  <si>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</si>
  <si>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</si>
  <si>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</si>
  <si>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</si>
  <si>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</si>
  <si>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</si>
  <si>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</si>
  <si>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</si>
  <si>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</si>
  <si>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</si>
  <si>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</si>
  <si>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</si>
  <si>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</si>
  <si>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</si>
  <si>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</si>
  <si>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</si>
  <si>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</si>
  <si>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</si>
  <si>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</si>
  <si>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</si>
  <si>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</si>
  <si>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</si>
  <si>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</si>
  <si>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</si>
  <si>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</si>
  <si>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</si>
  <si>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</si>
  <si>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</si>
  <si>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</si>
  <si>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</si>
  <si>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</si>
  <si>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</si>
  <si>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</si>
  <si>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</si>
  <si>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</si>
  <si>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</si>
  <si>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</si>
  <si>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</si>
  <si>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</si>
  <si>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</si>
  <si>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</si>
  <si>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</si>
  <si>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</si>
  <si>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</si>
  <si>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</si>
  <si>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</si>
  <si>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</si>
  <si>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</si>
  <si>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</si>
  <si>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</si>
  <si>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</si>
  <si>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</si>
  <si>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</si>
  <si>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</si>
  <si>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</si>
  <si>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</si>
  <si>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</si>
  <si>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</si>
  <si>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</si>
  <si>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</si>
  <si>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</si>
  <si>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</si>
  <si>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</si>
  <si>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</si>
  <si>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</si>
  <si>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</si>
  <si>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</si>
  <si>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</si>
  <si>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</si>
  <si>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</si>
  <si>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</si>
  <si>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</si>
  <si>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</si>
  <si>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</si>
  <si>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</si>
  <si>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</si>
  <si>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</si>
  <si>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</si>
  <si>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</si>
  <si>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</si>
  <si>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</si>
  <si>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</si>
  <si>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</si>
  <si>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</si>
  <si>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</si>
  <si>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</si>
  <si>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</si>
  <si>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</si>
  <si>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</si>
  <si>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</si>
  <si>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</si>
  <si>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</si>
  <si>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</si>
  <si>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</si>
  <si>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</si>
  <si>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</si>
  <si>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</si>
  <si>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</si>
  <si>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</si>
  <si>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</si>
  <si>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</si>
  <si>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</si>
  <si>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</si>
  <si>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</si>
  <si>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</si>
  <si>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</si>
  <si>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</si>
  <si>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</si>
  <si>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</si>
  <si>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</si>
  <si>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</si>
  <si>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</si>
  <si>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</si>
  <si>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</si>
  <si>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</si>
  <si>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</si>
  <si>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</si>
  <si>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</si>
  <si>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</si>
  <si>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</si>
  <si>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</si>
  <si>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</si>
  <si>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</si>
  <si>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</si>
  <si>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</si>
  <si>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</si>
  <si>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</si>
  <si>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</si>
  <si>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</si>
  <si>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</si>
  <si>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</si>
  <si>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</si>
  <si>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</si>
  <si>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</si>
  <si>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</si>
  <si>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</si>
  <si>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</si>
  <si>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</si>
  <si>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</si>
  <si>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</si>
  <si>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</si>
  <si>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</si>
  <si>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</si>
  <si>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</si>
  <si>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</si>
  <si>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</si>
  <si>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</si>
  <si>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</si>
  <si>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</si>
  <si>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</si>
  <si>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</si>
  <si>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</si>
  <si>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</si>
  <si>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</si>
  <si>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</si>
  <si>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</si>
  <si>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</si>
  <si>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</si>
  <si>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</si>
  <si>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</si>
  <si>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</si>
  <si>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</si>
  <si>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</si>
  <si>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</si>
  <si>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</si>
  <si>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</si>
  <si>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</si>
  <si>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</si>
  <si>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</si>
  <si>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</si>
  <si>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</si>
  <si>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</si>
  <si>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</si>
  <si>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</si>
  <si>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</si>
  <si>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</si>
  <si>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</si>
  <si>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</si>
  <si>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</si>
  <si>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</si>
  <si>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</si>
  <si>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</si>
  <si>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</si>
  <si>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</si>
  <si>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</si>
  <si>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</si>
  <si>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</si>
  <si>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</si>
  <si>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</si>
  <si>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</si>
  <si>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</si>
  <si>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</si>
  <si>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</si>
  <si>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</si>
  <si>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</si>
  <si>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</si>
  <si>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</si>
  <si>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</si>
  <si>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</si>
  <si>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</si>
  <si>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</si>
  <si>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</si>
  <si>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</si>
  <si>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</si>
  <si>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</si>
  <si>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</si>
  <si>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</si>
  <si>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</si>
  <si>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</si>
  <si>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</si>
  <si>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</si>
  <si>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</si>
  <si>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</si>
  <si>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</si>
  <si>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</si>
  <si>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</si>
  <si>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</si>
  <si>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</si>
  <si>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</si>
  <si>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</si>
  <si>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</si>
  <si>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</si>
  <si>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</si>
  <si>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</si>
  <si>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</si>
  <si>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</si>
  <si>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</si>
  <si>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</si>
  <si>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</si>
  <si>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</si>
  <si>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</si>
  <si>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</si>
  <si>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</si>
  <si>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</si>
  <si>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</si>
  <si>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</si>
  <si>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</si>
  <si>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</si>
  <si>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</si>
  <si>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</si>
  <si>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</si>
  <si>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</si>
  <si>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</si>
  <si>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</si>
  <si>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</si>
  <si>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</si>
  <si>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</si>
  <si>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</si>
  <si>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</si>
  <si>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</si>
  <si>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</si>
  <si>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</si>
  <si>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</si>
  <si>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</si>
  <si>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</si>
  <si>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</si>
  <si>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</si>
  <si>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</si>
  <si>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</si>
  <si>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</si>
  <si>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</si>
  <si>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</si>
  <si>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</si>
  <si>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</si>
  <si>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</si>
  <si>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</si>
  <si>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</si>
  <si>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</si>
  <si>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</si>
  <si>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</si>
  <si>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</si>
  <si>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</si>
  <si>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</si>
  <si>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</si>
  <si>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</si>
  <si>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</si>
  <si>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</si>
  <si>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</si>
  <si>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</si>
  <si>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</si>
  <si>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</si>
  <si>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</si>
  <si>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</si>
  <si>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</si>
  <si>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</si>
  <si>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</si>
  <si>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</si>
  <si>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</si>
  <si>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</si>
  <si>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</si>
  <si>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</si>
  <si>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</si>
  <si>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</si>
  <si>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</si>
  <si>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</si>
  <si>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</si>
  <si>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</si>
  <si>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</si>
  <si>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</si>
  <si>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</si>
  <si>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</si>
  <si>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</si>
  <si>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</si>
  <si>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</si>
  <si>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</si>
  <si>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</si>
  <si>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</si>
  <si>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</si>
  <si>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</si>
  <si>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</si>
  <si>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</si>
  <si>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</si>
  <si>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</si>
  <si>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</si>
  <si>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</si>
  <si>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</si>
  <si>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</si>
  <si>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</si>
  <si>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</si>
  <si>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</si>
  <si>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</si>
  <si>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</si>
  <si>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</si>
  <si>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</si>
  <si>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</si>
  <si>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</si>
  <si>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</si>
  <si>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</si>
  <si>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</si>
  <si>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</si>
  <si>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</si>
  <si>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</si>
  <si>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</si>
  <si>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</si>
  <si>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</si>
  <si>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</si>
  <si>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</si>
  <si>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</si>
  <si>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</si>
  <si>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</si>
  <si>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</si>
  <si>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</si>
  <si>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</si>
  <si>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</si>
  <si>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</si>
  <si>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</si>
  <si>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</si>
  <si>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</si>
  <si>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</si>
  <si>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</si>
  <si>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</si>
  <si>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</si>
  <si>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</si>
  <si>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</si>
  <si>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</si>
  <si>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</si>
  <si>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</si>
  <si>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</si>
  <si>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</si>
  <si>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</si>
  <si>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</si>
  <si>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</si>
  <si>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</si>
  <si>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</si>
  <si>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</si>
  <si>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</si>
  <si>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</si>
  <si>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</si>
  <si>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</si>
  <si>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</si>
  <si>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</si>
  <si>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</si>
  <si>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</si>
  <si>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</si>
  <si>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</si>
  <si>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</si>
  <si>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</si>
  <si>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</si>
  <si>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</si>
  <si>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</si>
  <si>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</si>
  <si>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</si>
  <si>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</si>
  <si>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</si>
  <si>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</si>
  <si>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</si>
  <si>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</si>
  <si>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</si>
  <si>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</si>
  <si>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</si>
  <si>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</si>
  <si>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</si>
  <si>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</si>
  <si>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</si>
  <si>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</si>
  <si>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</si>
  <si>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</si>
  <si>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</si>
  <si>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</si>
  <si>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</si>
  <si>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</si>
  <si>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</si>
  <si>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</si>
  <si>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</si>
  <si>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</si>
  <si>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</si>
  <si>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</si>
  <si>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</si>
  <si>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</si>
  <si>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</si>
  <si>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</si>
  <si>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</si>
  <si>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</si>
  <si>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</si>
  <si>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</si>
  <si>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</si>
  <si>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</si>
  <si>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</si>
  <si>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</si>
  <si>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</si>
  <si>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</si>
  <si>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</si>
  <si>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</si>
  <si>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</si>
  <si>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</si>
  <si>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</si>
  <si>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</si>
  <si>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</si>
  <si>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</si>
  <si>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</si>
  <si>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</si>
  <si>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</si>
  <si>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</si>
  <si>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</si>
  <si>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</si>
  <si>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</si>
  <si>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</si>
  <si>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</si>
  <si>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</si>
  <si>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</si>
  <si>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</si>
  <si>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</si>
  <si>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</si>
  <si>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</si>
  <si>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</si>
  <si>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</si>
  <si>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</si>
  <si>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</si>
  <si>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</si>
  <si>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</si>
  <si>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</si>
  <si>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</si>
  <si>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</si>
  <si>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</si>
  <si>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</si>
  <si>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</si>
  <si>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</si>
  <si>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</si>
  <si>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</si>
  <si>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</si>
  <si>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</si>
  <si>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</si>
  <si>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</si>
  <si>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</si>
  <si>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</si>
  <si>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</si>
  <si>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</si>
  <si>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</si>
  <si>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</si>
  <si>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</si>
  <si>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</si>
  <si>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</si>
  <si>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</si>
  <si>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</si>
  <si>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</si>
  <si>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</si>
  <si>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</si>
  <si>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</si>
  <si>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</si>
  <si>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</si>
  <si>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</si>
  <si>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</si>
  <si>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</si>
  <si>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</si>
  <si>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</si>
  <si>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</si>
  <si>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</si>
  <si>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</si>
  <si>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</si>
  <si>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</si>
  <si>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</si>
  <si>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</si>
  <si>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</si>
  <si>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</si>
  <si>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</si>
  <si>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</si>
  <si>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</si>
  <si>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</si>
  <si>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</si>
  <si>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</si>
  <si>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</si>
  <si>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</si>
  <si>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</si>
  <si>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</si>
  <si>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</si>
  <si>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</si>
  <si>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</si>
  <si>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</si>
  <si>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</si>
  <si>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</si>
  <si>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</si>
  <si>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</si>
  <si>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</si>
  <si>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</si>
  <si>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</si>
  <si>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</si>
  <si>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</si>
  <si>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</si>
  <si>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</si>
  <si>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</si>
  <si>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</si>
  <si>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</si>
  <si>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</si>
  <si>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</si>
  <si>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</si>
  <si>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</si>
  <si>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</si>
  <si>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</si>
  <si>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</si>
  <si>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</si>
  <si>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</si>
  <si>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</si>
  <si>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</si>
  <si>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</si>
  <si>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</si>
  <si>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</si>
  <si>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</si>
  <si>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</si>
  <si>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</si>
  <si>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</si>
  <si>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</si>
  <si>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</si>
  <si>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</si>
  <si>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</si>
  <si>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</si>
  <si>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</si>
  <si>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</si>
  <si>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</si>
  <si>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</si>
  <si>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</si>
  <si>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</si>
  <si>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</si>
  <si>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</si>
  <si>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</si>
  <si>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</si>
  <si>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</si>
  <si>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</si>
  <si>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</si>
  <si>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</si>
  <si>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</si>
  <si>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</si>
  <si>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</si>
  <si>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</si>
  <si>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</si>
  <si>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</si>
  <si>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</si>
  <si>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</si>
  <si>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</si>
  <si>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</si>
  <si>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</si>
  <si>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</si>
  <si>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</si>
  <si>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</si>
  <si>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</si>
  <si>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</si>
  <si>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</si>
  <si>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</si>
  <si>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</si>
  <si>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</si>
  <si>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</si>
  <si>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</si>
  <si>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</si>
  <si>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</si>
  <si>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</si>
  <si>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</si>
  <si>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</si>
  <si>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</si>
  <si>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</si>
  <si>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</si>
  <si>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</si>
  <si>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</si>
  <si>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</si>
  <si>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</si>
  <si>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</si>
  <si>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</si>
  <si>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</si>
  <si>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</si>
  <si>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</si>
  <si>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</si>
  <si>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</si>
  <si>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</si>
  <si>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</si>
  <si>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</si>
  <si>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</si>
  <si>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</si>
  <si>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</si>
  <si>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</si>
  <si>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</si>
  <si>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</si>
  <si>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</si>
  <si>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</si>
  <si>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</si>
  <si>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</si>
  <si>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</si>
  <si>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</si>
  <si>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</si>
  <si>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</si>
  <si>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</si>
  <si>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</si>
  <si>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</si>
  <si>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</si>
  <si>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</si>
  <si>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</si>
  <si>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</si>
  <si>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</si>
  <si>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</si>
  <si>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</si>
  <si>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</si>
  <si>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</si>
  <si>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</si>
  <si>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</si>
  <si>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</si>
  <si>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</si>
  <si>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</si>
  <si>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</si>
  <si>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</si>
  <si>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</si>
  <si>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</si>
  <si>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</si>
  <si>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</si>
  <si>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</si>
  <si>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</si>
  <si>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</si>
  <si>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</si>
  <si>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</si>
  <si>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</si>
  <si>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</si>
  <si>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</si>
  <si>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</si>
  <si>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</si>
  <si>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</si>
  <si>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</si>
  <si>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</si>
  <si>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</si>
  <si>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</si>
  <si>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</si>
  <si>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</si>
  <si>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</si>
  <si>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</si>
  <si>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</si>
  <si>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</si>
  <si>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</si>
  <si>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</si>
  <si>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</si>
  <si>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</si>
  <si>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</si>
  <si>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</si>
  <si>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</si>
  <si>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</si>
  <si>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</si>
  <si>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</si>
  <si>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</si>
  <si>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</si>
  <si>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</si>
  <si>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</si>
  <si>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</si>
  <si>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</si>
  <si>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</si>
  <si>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</si>
  <si>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</si>
  <si>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</si>
  <si>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</si>
  <si>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</si>
  <si>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</si>
  <si>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</si>
  <si>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</si>
  <si>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</si>
  <si>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</si>
  <si>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</si>
  <si>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</si>
  <si>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</si>
  <si>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</si>
  <si>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</si>
  <si>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</si>
  <si>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</si>
  <si>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</si>
  <si>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</si>
  <si>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</si>
  <si>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</si>
  <si>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</si>
  <si>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</si>
  <si>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</si>
  <si>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</si>
  <si>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</si>
  <si>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</si>
  <si>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</si>
  <si>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</si>
  <si>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</si>
  <si>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</si>
  <si>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</si>
  <si>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</si>
  <si>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</si>
  <si>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</si>
  <si>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</si>
  <si>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</si>
  <si>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</si>
  <si>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</si>
  <si>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</si>
  <si>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</si>
  <si>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</si>
  <si>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</si>
  <si>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</si>
  <si>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</si>
  <si>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</si>
  <si>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</si>
  <si>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</si>
  <si>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</si>
  <si>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</si>
  <si>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</si>
  <si>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</si>
  <si>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</si>
  <si>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</si>
  <si>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</si>
  <si>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</si>
  <si>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</si>
  <si>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</si>
  <si>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</si>
  <si>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</si>
  <si>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</si>
  <si>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</si>
  <si>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</si>
  <si>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</si>
  <si>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</si>
  <si>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</si>
  <si>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</si>
  <si>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</si>
  <si>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</si>
  <si>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</si>
  <si>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</si>
  <si>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</si>
  <si>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</si>
  <si>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</si>
  <si>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</si>
  <si>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</si>
  <si>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</si>
  <si>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</si>
  <si>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</si>
  <si>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</si>
  <si>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</si>
  <si>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</si>
  <si>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</si>
  <si>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</si>
  <si>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</si>
  <si>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</si>
  <si>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</si>
  <si>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</si>
  <si>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</si>
  <si>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</si>
  <si>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</si>
  <si>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</si>
  <si>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</si>
  <si>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</si>
  <si>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</si>
  <si>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</si>
  <si>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</si>
  <si>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</si>
  <si>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</si>
  <si>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</si>
  <si>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</si>
  <si>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</si>
  <si>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</si>
  <si>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</si>
  <si>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</si>
  <si>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</si>
  <si>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</si>
  <si>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</si>
  <si>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</si>
  <si>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</si>
  <si>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</si>
  <si>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</si>
  <si>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</si>
  <si>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</si>
  <si>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</si>
  <si>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</si>
  <si>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</si>
  <si>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</si>
  <si>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</si>
  <si>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</si>
  <si>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</si>
  <si>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</si>
  <si>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</si>
  <si>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</si>
  <si>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</si>
  <si>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</si>
  <si>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</si>
  <si>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</si>
  <si>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</si>
  <si>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</si>
  <si>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</si>
  <si>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</si>
  <si>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</si>
  <si>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</si>
  <si>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</si>
  <si>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</si>
  <si>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</si>
  <si>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</si>
  <si>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</si>
  <si>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</si>
  <si>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</si>
  <si>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</si>
  <si>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</si>
  <si>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</si>
  <si>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</si>
  <si>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</si>
  <si>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</si>
  <si>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</si>
  <si>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</si>
  <si>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</si>
  <si>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</si>
  <si>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</si>
  <si>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</si>
  <si>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</si>
  <si>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</si>
  <si>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</si>
  <si>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</si>
  <si>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</si>
  <si>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</si>
  <si>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</si>
  <si>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</si>
  <si>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</si>
  <si>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</si>
  <si>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</si>
  <si>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</si>
  <si>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</si>
  <si>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</si>
  <si>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</si>
  <si>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</si>
  <si>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</si>
  <si>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</si>
  <si>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</si>
  <si>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</si>
  <si>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</si>
  <si>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</si>
  <si>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</si>
  <si>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</si>
  <si>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</si>
  <si>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</si>
  <si>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</si>
  <si>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</si>
  <si>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</si>
  <si>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</si>
  <si>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</si>
  <si>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</si>
  <si>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</si>
  <si>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</si>
  <si>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</si>
  <si>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</si>
  <si>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</si>
  <si>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</si>
  <si>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</si>
  <si>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</si>
  <si>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</si>
  <si>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</si>
  <si>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</si>
  <si>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</si>
  <si>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</si>
  <si>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</si>
  <si>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</si>
  <si>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</si>
  <si>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</si>
  <si>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</si>
  <si>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</si>
  <si>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</si>
  <si>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</si>
  <si>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</si>
  <si>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</si>
  <si>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</si>
  <si>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</si>
  <si>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</si>
  <si>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</si>
  <si>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</si>
  <si>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</si>
  <si>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</si>
  <si>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</si>
  <si>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</si>
  <si>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</si>
  <si>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</si>
  <si>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</si>
  <si>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</si>
  <si>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</si>
  <si>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</si>
  <si>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</si>
  <si>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</si>
  <si>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</si>
  <si>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</si>
  <si>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</si>
  <si>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</si>
  <si>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</si>
  <si>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</si>
  <si>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</si>
  <si>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</si>
  <si>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</si>
  <si>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</si>
  <si>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</si>
  <si>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</si>
  <si>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</si>
  <si>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</si>
  <si>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</si>
  <si>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</si>
  <si>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</si>
  <si>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</si>
  <si>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</si>
  <si>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</si>
  <si>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</si>
  <si>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</si>
  <si>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</si>
  <si>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</si>
  <si>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</si>
  <si>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</si>
  <si>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</si>
  <si>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</si>
  <si>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</si>
  <si>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</si>
  <si>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</si>
  <si>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</si>
  <si>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</si>
  <si>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</si>
  <si>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</si>
  <si>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</si>
  <si>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</si>
  <si>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</si>
  <si>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</si>
  <si>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</si>
  <si>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</si>
  <si>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</si>
  <si>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</si>
  <si>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</si>
  <si>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</si>
  <si>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</si>
  <si>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</si>
  <si>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</si>
  <si>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</si>
  <si>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</si>
  <si>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</si>
  <si>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</si>
  <si>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</si>
  <si>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</si>
  <si>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</si>
  <si>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</si>
  <si>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</si>
  <si>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</si>
  <si>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</si>
  <si>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</si>
  <si>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</si>
  <si>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</si>
  <si>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</si>
  <si>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</si>
  <si>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</si>
  <si>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</si>
  <si>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</si>
  <si>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</si>
  <si>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</si>
  <si>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</si>
  <si>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</si>
  <si>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</si>
  <si>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</si>
  <si>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</si>
  <si>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</si>
  <si>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</si>
  <si>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</si>
  <si>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</si>
  <si>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</si>
  <si>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</si>
  <si>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</si>
  <si>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</si>
  <si>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</si>
  <si>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</si>
  <si>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</si>
  <si>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</si>
  <si>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</si>
  <si>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</si>
  <si>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</si>
  <si>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</si>
  <si>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</si>
  <si>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</si>
  <si>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</si>
  <si>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</si>
  <si>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</si>
  <si>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</si>
  <si>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</si>
  <si>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</si>
  <si>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</si>
  <si>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</si>
  <si>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</si>
  <si>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</si>
  <si>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</si>
  <si>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</si>
  <si>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</si>
  <si>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</si>
  <si>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</si>
  <si>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</si>
  <si>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</si>
  <si>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</si>
  <si>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</si>
  <si>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</si>
  <si>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</si>
  <si>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</si>
  <si>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</si>
  <si>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</si>
  <si>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</si>
  <si>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</si>
  <si>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</si>
  <si>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</si>
  <si>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</si>
  <si>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</si>
  <si>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</si>
  <si>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</si>
  <si>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</si>
  <si>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</si>
  <si>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</si>
  <si>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</si>
  <si>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</si>
  <si>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</si>
  <si>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</si>
  <si>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</si>
  <si>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</si>
  <si>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</si>
  <si>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</si>
  <si>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</si>
  <si>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</si>
  <si>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</si>
  <si>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</si>
  <si>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</si>
  <si>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</si>
  <si>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</si>
  <si>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</si>
  <si>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</si>
  <si>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</si>
  <si>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</si>
  <si>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</si>
  <si>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</si>
  <si>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</si>
  <si>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</si>
  <si>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</si>
  <si>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</si>
  <si>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</si>
  <si>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</si>
  <si>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</si>
  <si>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</si>
  <si>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</si>
  <si>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</si>
  <si>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</si>
  <si>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</si>
  <si>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</si>
  <si>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</si>
  <si>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</si>
  <si>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</si>
  <si>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</si>
  <si>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</si>
  <si>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</si>
  <si>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</si>
  <si>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</si>
  <si>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</si>
  <si>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</si>
  <si>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</si>
  <si>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</si>
  <si>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</si>
  <si>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</si>
  <si>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</si>
  <si>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</si>
  <si>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</si>
  <si>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</si>
  <si>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</si>
  <si>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</si>
  <si>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</si>
  <si>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</si>
  <si>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</si>
  <si>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</si>
  <si>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</si>
  <si>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</si>
  <si>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</si>
  <si>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</si>
  <si>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</si>
  <si>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</si>
  <si>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</si>
  <si>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</si>
  <si>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</si>
  <si>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</si>
  <si>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</si>
  <si>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</si>
  <si>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</si>
  <si>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</si>
  <si>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</si>
  <si>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</si>
  <si>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</si>
  <si>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</si>
  <si>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</si>
  <si>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</si>
  <si>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</si>
  <si>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</si>
  <si>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</si>
  <si>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</si>
  <si>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</si>
  <si>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</si>
  <si>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</si>
  <si>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</si>
  <si>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</si>
  <si>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</si>
  <si>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</si>
  <si>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</si>
  <si>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</si>
  <si>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</si>
  <si>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</si>
  <si>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</si>
  <si>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</si>
  <si>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</si>
  <si>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</si>
  <si>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</si>
  <si>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</si>
  <si>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</si>
  <si>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</si>
  <si>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</si>
  <si>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</si>
  <si>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</si>
  <si>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</si>
  <si>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</si>
  <si>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</si>
  <si>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</si>
  <si>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</si>
  <si>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</si>
  <si>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</si>
  <si>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</si>
  <si>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</si>
  <si>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</si>
  <si>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</si>
  <si>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</si>
  <si>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</si>
  <si>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</si>
  <si>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</si>
  <si>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</si>
  <si>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</si>
  <si>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</si>
  <si>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</si>
  <si>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</si>
  <si>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</si>
  <si>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</si>
  <si>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</si>
  <si>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</si>
  <si>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</si>
  <si>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</si>
  <si>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</si>
  <si>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</si>
  <si>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</si>
  <si>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</si>
  <si>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</si>
  <si>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</si>
  <si>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</si>
  <si>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</si>
  <si>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</si>
  <si>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</si>
  <si>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</si>
  <si>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</si>
  <si>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</si>
  <si>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</si>
  <si>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</si>
  <si>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</si>
  <si>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</si>
  <si>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</si>
  <si>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</si>
  <si>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</si>
  <si>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</si>
  <si>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</si>
  <si>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</si>
  <si>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</si>
  <si>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</si>
  <si>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</si>
  <si>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</si>
  <si>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</si>
  <si>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</si>
  <si>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</si>
  <si>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</si>
  <si>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</si>
  <si>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</si>
  <si>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</si>
  <si>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</si>
  <si>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</si>
  <si>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</si>
  <si>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</si>
  <si>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</si>
  <si>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</si>
  <si>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</si>
  <si>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</si>
  <si>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</si>
  <si>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</si>
  <si>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</si>
  <si>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</si>
  <si>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</si>
  <si>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</si>
  <si>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</si>
  <si>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</si>
  <si>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</si>
  <si>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</si>
  <si>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</si>
  <si>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</si>
  <si>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</si>
  <si>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</si>
  <si>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</si>
  <si>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</si>
  <si>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</si>
  <si>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</si>
  <si>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</si>
  <si>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</si>
  <si>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</si>
  <si>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</si>
  <si>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</si>
  <si>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</si>
  <si>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</si>
  <si>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</si>
  <si>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</si>
  <si>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</si>
  <si>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</si>
  <si>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</si>
  <si>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</si>
  <si>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</si>
  <si>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</si>
  <si>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</si>
  <si>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</si>
  <si>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</si>
  <si>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</si>
  <si>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</si>
  <si>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</si>
  <si>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</si>
  <si>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</si>
  <si>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</si>
  <si>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</si>
  <si>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</si>
  <si>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</si>
  <si>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</si>
  <si>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</si>
  <si>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</si>
  <si>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</si>
  <si>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</si>
  <si>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</si>
  <si>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</si>
  <si>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</si>
  <si>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</si>
  <si>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</si>
  <si>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</si>
  <si>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</si>
  <si>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</si>
  <si>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</si>
  <si>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</si>
  <si>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</si>
  <si>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</si>
  <si>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</si>
  <si>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</si>
  <si>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</si>
  <si>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</si>
  <si>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</si>
  <si>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</si>
  <si>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</si>
  <si>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</si>
  <si>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</si>
  <si>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</si>
  <si>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</si>
  <si>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</si>
  <si>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</si>
  <si>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</si>
  <si>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</si>
  <si>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</si>
  <si>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</si>
  <si>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</si>
  <si>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</si>
  <si>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</si>
  <si>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</si>
  <si>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</si>
  <si>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</si>
  <si>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</si>
  <si>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</si>
  <si>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</si>
  <si>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</si>
  <si>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</si>
  <si>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</si>
  <si>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</si>
  <si>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</si>
  <si>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</si>
  <si>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</si>
  <si>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</si>
  <si>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</si>
  <si>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</si>
  <si>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</si>
  <si>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</si>
  <si>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</si>
  <si>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</si>
  <si>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</si>
  <si>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</si>
  <si>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</si>
  <si>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</si>
  <si>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</si>
  <si>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</si>
  <si>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</si>
  <si>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</si>
  <si>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</si>
  <si>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</si>
  <si>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</si>
  <si>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</si>
  <si>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</si>
  <si>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</si>
  <si>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</si>
  <si>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</si>
  <si>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</si>
  <si>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</si>
  <si>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</si>
  <si>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</si>
  <si>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</si>
  <si>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</si>
  <si>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</si>
  <si>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</si>
  <si>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</si>
  <si>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</si>
  <si>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</si>
  <si>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</si>
  <si>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</si>
  <si>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</si>
  <si>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</si>
  <si>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</si>
  <si>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</si>
  <si>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</si>
  <si>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</si>
  <si>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</si>
  <si>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</si>
  <si>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</si>
  <si>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</si>
  <si>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</si>
  <si>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</si>
  <si>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</si>
  <si>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</si>
  <si>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</si>
  <si>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</si>
  <si>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</si>
  <si>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</si>
  <si>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</si>
  <si>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</si>
  <si>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</si>
  <si>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</si>
  <si>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</si>
  <si>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</si>
  <si>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</si>
  <si>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</si>
  <si>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</si>
  <si>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</si>
  <si>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</si>
  <si>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</si>
  <si>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</si>
  <si>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</si>
  <si>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</si>
  <si>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</si>
  <si>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</si>
  <si>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</si>
  <si>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</si>
  <si>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</si>
  <si>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</si>
  <si>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</si>
  <si>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</si>
  <si>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</si>
  <si>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</si>
  <si>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</si>
  <si>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</si>
  <si>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</si>
  <si>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</si>
  <si>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</si>
  <si>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</si>
  <si>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</si>
  <si>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</si>
  <si>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</si>
  <si>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</si>
  <si>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</si>
  <si>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</si>
  <si>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</si>
  <si>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</si>
  <si>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</si>
  <si>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</si>
  <si>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</si>
  <si>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</si>
  <si>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</si>
  <si>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</si>
  <si>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</si>
  <si>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</si>
  <si>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</si>
  <si>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</si>
  <si>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</si>
  <si>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</si>
  <si>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</si>
  <si>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</si>
  <si>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</si>
  <si>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</si>
  <si>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</si>
  <si>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</si>
  <si>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</si>
  <si>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</si>
  <si>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</si>
  <si>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</si>
  <si>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</si>
  <si>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</si>
  <si>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</si>
  <si>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</si>
  <si>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</si>
  <si>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</si>
  <si>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</si>
  <si>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</si>
  <si>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</si>
  <si>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</si>
  <si>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</si>
  <si>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</si>
  <si>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</si>
  <si>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</si>
  <si>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</si>
  <si>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</si>
  <si>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</si>
  <si>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</si>
  <si>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</si>
  <si>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</si>
  <si>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</si>
  <si>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</si>
  <si>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</si>
  <si>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</si>
  <si>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</si>
  <si>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</si>
  <si>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</si>
  <si>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</si>
  <si>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</si>
  <si>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</si>
  <si>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</si>
  <si>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</si>
  <si>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</si>
  <si>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</si>
  <si>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</si>
  <si>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</si>
  <si>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</si>
  <si>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</si>
  <si>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</si>
  <si>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</si>
  <si>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</si>
  <si>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</si>
  <si>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</si>
  <si>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</si>
  <si>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</si>
  <si>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</si>
  <si>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</si>
  <si>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</si>
  <si>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</si>
  <si>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</si>
  <si>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</si>
  <si>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</si>
  <si>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</si>
  <si>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</si>
  <si>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</si>
  <si>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</si>
  <si>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</si>
  <si>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</si>
  <si>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</si>
  <si>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</si>
  <si>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</si>
  <si>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</si>
  <si>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</si>
  <si>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</si>
  <si>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</si>
  <si>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</si>
  <si>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</si>
  <si>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</si>
  <si>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</si>
  <si>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</si>
  <si>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</si>
  <si>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</si>
  <si>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</si>
  <si>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</si>
  <si>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</si>
  <si>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</si>
  <si>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</si>
  <si>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</si>
  <si>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</si>
  <si>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</si>
  <si>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</si>
  <si>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</si>
  <si>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</si>
  <si>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</si>
  <si>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</si>
  <si>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</si>
  <si>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</si>
  <si>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</si>
  <si>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</si>
  <si>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</si>
  <si>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</si>
  <si>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</si>
  <si>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</si>
  <si>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</si>
  <si>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</si>
  <si>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</si>
  <si>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</si>
  <si>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</si>
  <si>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</si>
  <si>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</si>
  <si>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</si>
  <si>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</si>
  <si>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</si>
  <si>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</si>
  <si>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</si>
  <si>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</si>
  <si>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</si>
  <si>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</si>
  <si>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</si>
  <si>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</si>
  <si>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</si>
  <si>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</si>
  <si>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</si>
  <si>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</si>
  <si>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</si>
  <si>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</si>
  <si>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</si>
  <si>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</si>
  <si>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</si>
  <si>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</si>
  <si>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</si>
  <si>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</si>
  <si>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</si>
  <si>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</si>
  <si>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</si>
  <si>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</si>
  <si>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</si>
  <si>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</si>
  <si>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</si>
  <si>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</si>
  <si>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</si>
  <si>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</si>
  <si>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</si>
  <si>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</si>
  <si>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</si>
  <si>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</si>
  <si>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</si>
  <si>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</si>
  <si>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</si>
  <si>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</si>
  <si>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</si>
  <si>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</si>
  <si>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</si>
  <si>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</si>
  <si>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</si>
  <si>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</si>
  <si>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</si>
  <si>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</si>
  <si>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</si>
  <si>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</si>
  <si>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</si>
  <si>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</si>
  <si>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</si>
  <si>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</si>
  <si>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</si>
  <si>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</si>
  <si>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</si>
  <si>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</si>
  <si>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</si>
  <si>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</si>
  <si>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</si>
  <si>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</si>
  <si>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</si>
  <si>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</si>
  <si>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</si>
  <si>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</si>
  <si>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</si>
  <si>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</si>
  <si>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</si>
  <si>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</si>
  <si>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</si>
  <si>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</si>
  <si>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</si>
  <si>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</si>
  <si>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</si>
  <si>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</si>
  <si>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</si>
  <si>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</si>
  <si>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</si>
  <si>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</si>
  <si>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</si>
  <si>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</si>
  <si>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</si>
  <si>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</si>
  <si>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</si>
  <si>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</si>
  <si>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</si>
  <si>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</si>
  <si>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</si>
  <si>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</si>
  <si>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</si>
  <si>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</si>
  <si>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</si>
  <si>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</si>
  <si>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</si>
  <si>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</si>
  <si>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</si>
  <si>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</si>
  <si>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</si>
  <si>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</si>
  <si>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</si>
  <si>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</si>
  <si>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</si>
  <si>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</si>
  <si>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</si>
  <si>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</si>
  <si>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</si>
  <si>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</si>
  <si>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</si>
  <si>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</si>
  <si>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</si>
  <si>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</si>
  <si>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</si>
  <si>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</si>
  <si>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</si>
  <si>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</si>
  <si>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</si>
  <si>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</si>
  <si>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</si>
  <si>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</si>
  <si>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</si>
  <si>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</si>
  <si>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</si>
  <si>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</si>
  <si>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</si>
  <si>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</si>
  <si>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</si>
  <si>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</si>
  <si>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</si>
  <si>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</si>
  <si>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</si>
  <si>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</si>
  <si>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</si>
  <si>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</si>
  <si>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</si>
  <si>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</si>
  <si>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</si>
  <si>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</si>
  <si>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</si>
  <si>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</si>
  <si>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</si>
  <si>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</si>
  <si>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</si>
  <si>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</si>
  <si>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</si>
  <si>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</si>
  <si>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</si>
  <si>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</si>
  <si>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</si>
  <si>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</si>
  <si>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</si>
  <si>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</si>
  <si>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</si>
  <si>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</si>
  <si>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</si>
  <si>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</si>
  <si>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</si>
  <si>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</si>
  <si>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</si>
  <si>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</si>
  <si>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</si>
  <si>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</si>
  <si>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</si>
  <si>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</si>
  <si>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</si>
  <si>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</si>
  <si>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</si>
  <si>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</si>
  <si>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</si>
  <si>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</si>
  <si>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</si>
  <si>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</si>
  <si>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</si>
  <si>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</si>
  <si>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</si>
  <si>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</si>
  <si>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</si>
  <si>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</si>
  <si>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</si>
  <si>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</si>
  <si>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</si>
  <si>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</si>
  <si>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</si>
  <si>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</si>
  <si>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</si>
  <si>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</si>
  <si>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</si>
  <si>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</si>
  <si>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</si>
  <si>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</si>
  <si>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</si>
  <si>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</si>
  <si>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</si>
  <si>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</si>
  <si>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</si>
  <si>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</si>
  <si>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</si>
  <si>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</si>
  <si>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</si>
  <si>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</si>
  <si>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</si>
  <si>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</si>
  <si>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</si>
  <si>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</si>
  <si>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</si>
  <si>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</si>
  <si>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</si>
  <si>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</si>
  <si>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</si>
  <si>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</si>
  <si>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</si>
  <si>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</si>
  <si>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</si>
  <si>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</si>
  <si>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</si>
  <si>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</si>
  <si>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</si>
  <si>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</si>
  <si>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</si>
  <si>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</si>
  <si>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</si>
  <si>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</si>
  <si>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</si>
  <si>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</si>
  <si>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</si>
  <si>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</si>
  <si>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</si>
  <si>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</si>
  <si>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</si>
  <si>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</si>
  <si>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</si>
  <si>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</si>
  <si>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</si>
  <si>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</si>
  <si>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</si>
  <si>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</si>
  <si>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</si>
  <si>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</si>
  <si>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</si>
  <si>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</si>
  <si>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</si>
  <si>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</si>
  <si>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</si>
  <si>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</si>
  <si>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</si>
  <si>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</si>
  <si>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</si>
  <si>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</si>
  <si>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</si>
  <si>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</si>
  <si>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</si>
  <si>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</si>
  <si>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</si>
  <si>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</si>
  <si>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</si>
  <si>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</si>
  <si>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</si>
  <si>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</si>
  <si>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</si>
  <si>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</si>
  <si>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</si>
  <si>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</si>
  <si>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</si>
  <si>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</si>
  <si>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</si>
  <si>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</si>
  <si>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</si>
  <si>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</si>
  <si>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</si>
  <si>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</si>
  <si>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</si>
  <si>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</si>
  <si>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</si>
  <si>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</si>
  <si>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</si>
  <si>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</si>
  <si>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</si>
  <si>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</si>
  <si>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</si>
  <si>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</si>
  <si>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</si>
  <si>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</si>
  <si>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</si>
  <si>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</si>
  <si>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</si>
  <si>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</si>
  <si>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</si>
  <si>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</si>
  <si>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</si>
  <si>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</si>
  <si>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</si>
  <si>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</si>
  <si>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</si>
  <si>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</si>
  <si>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</si>
  <si>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</si>
  <si>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</si>
  <si>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</si>
  <si>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</si>
  <si>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</si>
  <si>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</si>
  <si>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</si>
  <si>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</si>
  <si>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</si>
  <si>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</si>
  <si>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</si>
  <si>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</si>
  <si>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</si>
  <si>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</si>
  <si>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</si>
  <si>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</si>
  <si>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</si>
  <si>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</si>
  <si>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</si>
  <si>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</si>
  <si>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</si>
  <si>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</si>
  <si>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</si>
  <si>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</si>
  <si>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</si>
  <si>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</si>
  <si>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</si>
  <si>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</si>
  <si>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</si>
  <si>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</si>
  <si>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</si>
  <si>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</si>
  <si>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</si>
  <si>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</si>
  <si>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</si>
  <si>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</si>
  <si>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</si>
  <si>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</si>
  <si>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</si>
  <si>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</si>
  <si>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</si>
  <si>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</si>
  <si>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</si>
  <si>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</si>
  <si>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</si>
  <si>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</si>
  <si>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</si>
  <si>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</si>
  <si>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</si>
  <si>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</si>
  <si>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</si>
  <si>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</si>
  <si>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</si>
  <si>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</si>
  <si>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</si>
  <si>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</si>
  <si>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</si>
  <si>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</si>
  <si>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</si>
  <si>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</si>
  <si>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</si>
  <si>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</si>
  <si>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</si>
  <si>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</si>
  <si>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</si>
  <si>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</si>
  <si>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</si>
  <si>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</si>
  <si>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</si>
  <si>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</si>
  <si>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</si>
  <si>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</si>
  <si>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</si>
  <si>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</si>
  <si>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</si>
  <si>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</si>
  <si>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</si>
  <si>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</si>
  <si>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</si>
  <si>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</si>
  <si>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</si>
  <si>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</si>
  <si>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</si>
  <si>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</si>
  <si>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</si>
  <si>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</si>
  <si>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</si>
  <si>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</si>
  <si>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</si>
  <si>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</si>
  <si>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</si>
  <si>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</si>
  <si>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</si>
  <si>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</si>
  <si>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</si>
  <si>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</si>
  <si>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</si>
  <si>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</si>
  <si>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</si>
  <si>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</si>
  <si>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</si>
  <si>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</si>
  <si>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</si>
  <si>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</si>
  <si>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</si>
  <si>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</si>
  <si>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</si>
  <si>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</si>
  <si>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</si>
  <si>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</si>
  <si>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</si>
  <si>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</si>
  <si>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</si>
  <si>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</si>
  <si>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</si>
  <si>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</si>
  <si>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</si>
  <si>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</si>
  <si>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</si>
  <si>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</si>
  <si>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</si>
  <si>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</si>
  <si>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</si>
  <si>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</si>
  <si>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</si>
  <si>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</si>
  <si>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</si>
  <si>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</si>
  <si>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</si>
  <si>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</si>
  <si>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</si>
  <si>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</si>
  <si>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</si>
  <si>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</si>
  <si>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</si>
  <si>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</si>
  <si>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</si>
  <si>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</si>
  <si>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</si>
  <si>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</si>
  <si>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</si>
  <si>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</si>
  <si>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</si>
  <si>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</si>
  <si>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</si>
  <si>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</si>
  <si>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</si>
  <si>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</si>
  <si>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</si>
  <si>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</si>
  <si>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</si>
  <si>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</si>
  <si>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</si>
  <si>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</si>
  <si>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</si>
  <si>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</si>
  <si>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</si>
  <si>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</si>
  <si>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</si>
  <si>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</si>
  <si>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</si>
  <si>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</si>
  <si>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</si>
  <si>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</si>
  <si>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</si>
  <si>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</si>
  <si>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</si>
  <si>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</si>
  <si>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</si>
  <si>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</si>
  <si>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</si>
  <si>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</si>
  <si>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</si>
  <si>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</si>
  <si>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</si>
  <si>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</si>
  <si>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</si>
  <si>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</si>
  <si>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</si>
  <si>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</si>
  <si>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</si>
  <si>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</si>
  <si>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</si>
  <si>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</si>
  <si>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</si>
  <si>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</si>
  <si>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</si>
  <si>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</si>
  <si>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</si>
  <si>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</si>
  <si>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</si>
  <si>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</si>
  <si>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</si>
  <si>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</si>
  <si>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</si>
  <si>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</si>
  <si>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</si>
  <si>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</si>
  <si>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</si>
  <si>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</si>
  <si>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</si>
  <si>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</si>
  <si>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</si>
  <si>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</si>
  <si>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</si>
  <si>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</si>
  <si>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</si>
  <si>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</si>
  <si>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</si>
  <si>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</si>
  <si>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</si>
  <si>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</si>
  <si>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</si>
  <si>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</si>
  <si>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</si>
  <si>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</si>
  <si>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</si>
  <si>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</si>
  <si>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</si>
  <si>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</si>
  <si>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</si>
  <si>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</si>
  <si>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</si>
  <si>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</si>
  <si>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</si>
  <si>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</si>
  <si>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</si>
  <si>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</si>
  <si>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</si>
  <si>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</si>
  <si>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</si>
  <si>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</si>
  <si>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</si>
  <si>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</si>
  <si>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</si>
  <si>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</si>
  <si>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</si>
  <si>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</si>
  <si>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</si>
  <si>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</si>
  <si>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</si>
  <si>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</si>
  <si>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</si>
  <si>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</si>
  <si>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</si>
  <si>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</si>
  <si>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</si>
  <si>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</si>
  <si>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</si>
  <si>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</si>
  <si>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</si>
  <si>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</si>
  <si>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</si>
  <si>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</si>
  <si>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</si>
  <si>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</si>
  <si>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</si>
  <si>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</si>
  <si>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</si>
  <si>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</si>
  <si>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</si>
  <si>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</si>
  <si>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</si>
  <si>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</si>
  <si>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</si>
  <si>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</si>
  <si>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</si>
  <si>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</si>
  <si>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</si>
  <si>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</si>
  <si>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</si>
  <si>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</si>
  <si>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</si>
  <si>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</si>
  <si>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</si>
  <si>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</si>
  <si>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</si>
  <si>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</si>
  <si>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</si>
  <si>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</si>
  <si>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</si>
  <si>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</si>
  <si>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</si>
  <si>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</si>
  <si>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</si>
  <si>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</si>
  <si>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</si>
  <si>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</si>
  <si>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</si>
  <si>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</si>
  <si>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</si>
  <si>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</si>
  <si>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</si>
  <si>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</si>
  <si>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</si>
  <si>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</si>
  <si>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</si>
  <si>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</si>
  <si>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</si>
  <si>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</si>
  <si>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</si>
  <si>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</si>
  <si>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</si>
  <si>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</si>
  <si>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</si>
  <si>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</si>
  <si>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</si>
  <si>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</si>
  <si>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</si>
  <si>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</si>
  <si>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</si>
  <si>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</si>
  <si>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</si>
  <si>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</si>
  <si>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</si>
  <si>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</si>
  <si>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</si>
  <si>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</si>
  <si>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</si>
  <si>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</si>
  <si>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</si>
  <si>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</si>
  <si>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</si>
  <si>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</si>
  <si>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</si>
  <si>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</si>
  <si>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</si>
  <si>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</si>
  <si>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</si>
  <si>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</si>
  <si>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</si>
  <si>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</si>
  <si>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</si>
  <si>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</si>
  <si>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</si>
  <si>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</si>
  <si>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</si>
  <si>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</si>
  <si>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</si>
  <si>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</si>
  <si>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</si>
  <si>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</si>
  <si>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</si>
  <si>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</si>
  <si>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</si>
  <si>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</si>
  <si>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</si>
  <si>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</si>
  <si>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</si>
  <si>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</si>
  <si>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</si>
  <si>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</si>
  <si>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</si>
  <si>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</si>
  <si>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</si>
  <si>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</si>
  <si>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</si>
  <si>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</si>
  <si>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</si>
  <si>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</si>
  <si>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</si>
  <si>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</si>
  <si>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</si>
  <si>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</si>
  <si>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</si>
  <si>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</si>
  <si>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</si>
  <si>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</si>
  <si>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</si>
  <si>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</si>
  <si>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</si>
  <si>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</si>
  <si>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</si>
  <si>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</si>
  <si>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</si>
  <si>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</si>
  <si>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</si>
  <si>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</si>
  <si>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</si>
  <si>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</si>
  <si>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</si>
  <si>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</si>
  <si>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</si>
  <si>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</si>
  <si>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</si>
  <si>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</si>
  <si>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</si>
  <si>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</si>
  <si>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</si>
  <si>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</si>
  <si>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</si>
  <si>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</si>
  <si>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</si>
  <si>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</si>
  <si>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</si>
  <si>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</si>
  <si>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</si>
  <si>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</si>
  <si>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</si>
  <si>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</si>
  <si>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</si>
  <si>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</si>
  <si>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</si>
  <si>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</si>
  <si>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</si>
  <si>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</si>
  <si>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</si>
  <si>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</si>
  <si>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</si>
  <si>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</si>
  <si>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</si>
  <si>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</si>
  <si>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</si>
  <si>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</si>
  <si>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</si>
  <si>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</si>
  <si>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</si>
  <si>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</si>
  <si>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</si>
  <si>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</si>
  <si>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</si>
  <si>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</si>
  <si>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</si>
  <si>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</si>
  <si>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</si>
  <si>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</si>
  <si>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</si>
  <si>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</si>
  <si>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</si>
  <si>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</si>
  <si>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</si>
  <si>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</si>
  <si>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</si>
  <si>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</si>
  <si>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</si>
  <si>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</si>
  <si>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</si>
  <si>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</si>
  <si>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</si>
  <si>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</si>
  <si>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</si>
  <si>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</si>
  <si>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</si>
  <si>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</si>
  <si>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</si>
  <si>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</si>
  <si>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</si>
  <si>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</si>
  <si>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</si>
  <si>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</si>
  <si>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</si>
  <si>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</si>
  <si>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</si>
  <si>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</si>
  <si>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</si>
  <si>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</si>
  <si>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</si>
  <si>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</si>
  <si>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</si>
  <si>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</si>
  <si>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</si>
  <si>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</si>
  <si>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</si>
  <si>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</si>
  <si>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</si>
  <si>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</si>
  <si>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</si>
  <si>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</si>
  <si>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</si>
  <si>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</si>
  <si>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</si>
  <si>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</si>
  <si>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</si>
  <si>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</si>
  <si>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</si>
  <si>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</si>
  <si>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</si>
  <si>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</si>
  <si>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</si>
  <si>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</si>
  <si>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</si>
  <si>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</si>
  <si>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</si>
  <si>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</si>
  <si>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</si>
  <si>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</si>
  <si>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</si>
  <si>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</si>
  <si>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</si>
  <si>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</si>
  <si>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</si>
  <si>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</si>
  <si>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</si>
  <si>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</si>
  <si>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</si>
  <si>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</si>
  <si>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</si>
  <si>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</si>
  <si>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</si>
  <si>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</si>
  <si>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</si>
  <si>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</si>
  <si>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</si>
  <si>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</si>
  <si>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</si>
  <si>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</si>
  <si>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</si>
  <si>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</si>
  <si>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</si>
  <si>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</si>
  <si>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</si>
  <si>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</si>
  <si>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</si>
  <si>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</si>
  <si>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</si>
  <si>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</si>
  <si>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</si>
  <si>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</si>
  <si>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</si>
  <si>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</si>
  <si>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</si>
  <si>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</si>
  <si>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</si>
  <si>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</si>
  <si>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</si>
  <si>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</si>
  <si>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</si>
  <si>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</si>
  <si>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</si>
  <si>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</si>
  <si>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</si>
  <si>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</si>
  <si>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</si>
  <si>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</si>
  <si>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</si>
  <si>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</si>
  <si>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</si>
  <si>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</si>
  <si>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</si>
  <si>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</si>
  <si>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</si>
  <si>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</si>
  <si>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</si>
  <si>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</si>
  <si>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</si>
  <si>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</si>
  <si>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</si>
  <si>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</si>
  <si>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</si>
  <si>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</si>
  <si>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</si>
  <si>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</si>
  <si>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</si>
  <si>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</si>
  <si>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</si>
  <si>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</si>
  <si>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</si>
  <si>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</si>
  <si>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</si>
  <si>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</si>
  <si>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</si>
  <si>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</si>
  <si>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</si>
  <si>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</si>
  <si>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</si>
  <si>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</si>
  <si>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</si>
  <si>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</si>
  <si>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</si>
  <si>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</si>
  <si>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</si>
  <si>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</si>
  <si>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</si>
  <si>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</si>
  <si>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</si>
  <si>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</si>
  <si>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</si>
  <si>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</si>
  <si>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</si>
  <si>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</si>
  <si>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</si>
  <si>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</si>
  <si>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</si>
  <si>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</si>
  <si>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</si>
  <si>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</si>
  <si>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</si>
  <si>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</si>
  <si>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</si>
  <si>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</si>
  <si>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</si>
  <si>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</si>
  <si>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</si>
  <si>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</si>
  <si>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</si>
  <si>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</si>
  <si>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</si>
  <si>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</si>
  <si>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</si>
  <si>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</si>
  <si>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</si>
  <si>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</si>
  <si>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</si>
  <si>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</si>
  <si>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</si>
  <si>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</si>
  <si>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</si>
  <si>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</si>
  <si>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</si>
  <si>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</si>
  <si>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</si>
  <si>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</si>
  <si>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</si>
  <si>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</si>
  <si>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</si>
  <si>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</si>
  <si>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</si>
  <si>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</si>
  <si>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</si>
  <si>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</si>
  <si>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</si>
  <si>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</si>
  <si>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</si>
  <si>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</si>
  <si>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</si>
  <si>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</si>
  <si>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</si>
  <si>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</si>
  <si>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</si>
  <si>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</si>
  <si>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</si>
  <si>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</si>
  <si>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</si>
  <si>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</si>
  <si>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</si>
  <si>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</si>
  <si>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</si>
  <si>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</si>
  <si>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</si>
  <si>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</si>
  <si>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</si>
  <si>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</si>
  <si>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</si>
  <si>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</si>
  <si>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</si>
  <si>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</si>
  <si>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</si>
  <si>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</si>
  <si>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</si>
  <si>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</si>
  <si>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</si>
  <si>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</si>
  <si>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</si>
  <si>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</si>
  <si>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</si>
  <si>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</si>
  <si>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</si>
  <si>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</si>
  <si>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</si>
  <si>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</si>
  <si>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</si>
  <si>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</si>
  <si>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</si>
  <si>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</si>
  <si>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</si>
  <si>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</si>
  <si>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</si>
  <si>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</si>
  <si>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</si>
  <si>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</si>
  <si>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</si>
  <si>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</si>
  <si>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</si>
  <si>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</si>
  <si>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</si>
  <si>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</si>
  <si>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</si>
  <si>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</si>
  <si>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</si>
  <si>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</si>
  <si>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</si>
  <si>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</si>
  <si>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</si>
  <si>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</si>
  <si>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</si>
  <si>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</si>
  <si>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</si>
  <si>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</si>
  <si>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</si>
  <si>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</si>
  <si>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</si>
  <si>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</si>
  <si>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</si>
  <si>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</si>
  <si>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</si>
  <si>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</si>
  <si>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</si>
  <si>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</si>
  <si>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</si>
  <si>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</si>
  <si>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</si>
  <si>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</si>
  <si>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</si>
  <si>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</si>
  <si>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</si>
  <si>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</si>
  <si>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</si>
  <si>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</si>
  <si>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</si>
  <si>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</si>
  <si>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</si>
  <si>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</si>
  <si>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</si>
  <si>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</si>
  <si>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</si>
  <si>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</si>
  <si>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</si>
  <si>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</si>
  <si>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</si>
  <si>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</si>
  <si>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</si>
  <si>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</si>
  <si>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</si>
  <si>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</si>
  <si>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</si>
  <si>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</si>
  <si>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</si>
  <si>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</si>
  <si>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</si>
  <si>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</si>
  <si>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</si>
  <si>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</si>
  <si>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</si>
  <si>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</si>
  <si>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</si>
  <si>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</si>
  <si>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</si>
  <si>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</si>
  <si>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</si>
  <si>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</si>
  <si>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</si>
  <si>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</si>
  <si>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</si>
  <si>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</si>
  <si>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</si>
  <si>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</si>
  <si>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</si>
  <si>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</si>
  <si>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</si>
  <si>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</si>
  <si>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</si>
  <si>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</si>
  <si>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</si>
  <si>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</si>
  <si>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</si>
  <si>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</si>
  <si>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</si>
  <si>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</si>
  <si>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</si>
  <si>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</si>
  <si>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</si>
  <si>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</si>
  <si>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</si>
  <si>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</si>
  <si>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</si>
  <si>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</si>
  <si>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</si>
  <si>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</si>
  <si>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</si>
  <si>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</si>
  <si>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</si>
  <si>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</si>
  <si>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</si>
  <si>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</si>
  <si>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</si>
  <si>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</si>
  <si>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</si>
  <si>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</si>
  <si>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</si>
  <si>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</si>
  <si>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</si>
  <si>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</si>
  <si>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</si>
  <si>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</si>
  <si>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</si>
  <si>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</si>
  <si>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</si>
  <si>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</si>
  <si>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</si>
  <si>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</si>
  <si>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</si>
  <si>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</si>
  <si>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</si>
  <si>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</si>
  <si>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</si>
  <si>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</si>
  <si>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</si>
  <si>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</si>
  <si>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</si>
  <si>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</si>
  <si>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</si>
  <si>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</si>
  <si>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</si>
  <si>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</si>
  <si>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</si>
  <si>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</si>
  <si>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</si>
  <si>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</si>
  <si>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</si>
  <si>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</si>
  <si>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</si>
  <si>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</si>
  <si>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</si>
  <si>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</si>
  <si>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</si>
  <si>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</si>
  <si>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</si>
  <si>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</si>
  <si>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</si>
  <si>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</si>
  <si>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</si>
  <si>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</si>
  <si>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</si>
  <si>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</si>
  <si>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</si>
  <si>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</si>
  <si>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</si>
  <si>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</si>
  <si>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</si>
  <si>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</si>
  <si>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</si>
  <si>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</si>
  <si>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</si>
  <si>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</si>
  <si>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</si>
  <si>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</si>
  <si>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</si>
  <si>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</si>
  <si>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</si>
  <si>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</si>
  <si>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</si>
  <si>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</si>
  <si>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</si>
  <si>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</si>
  <si>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</si>
  <si>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</si>
  <si>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</si>
  <si>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</si>
  <si>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</si>
  <si>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</si>
  <si>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</si>
  <si>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</si>
  <si>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</si>
  <si>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</si>
  <si>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</si>
  <si>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</si>
  <si>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</si>
  <si>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</si>
  <si>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</si>
  <si>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</si>
  <si>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</si>
  <si>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</si>
  <si>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</si>
  <si>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</si>
  <si>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</si>
  <si>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</si>
  <si>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</si>
  <si>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</si>
  <si>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</si>
  <si>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</si>
  <si>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</si>
  <si>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</si>
  <si>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</si>
  <si>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</si>
  <si>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</si>
  <si>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</si>
  <si>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</si>
  <si>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</si>
  <si>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</si>
  <si>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</si>
  <si>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</si>
  <si>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</si>
  <si>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</si>
  <si>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</si>
  <si>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</si>
  <si>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</si>
  <si>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</si>
  <si>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</si>
  <si>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</si>
  <si>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</si>
  <si>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</si>
  <si>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</si>
  <si>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</si>
  <si>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</si>
  <si>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</si>
  <si>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</si>
  <si>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</si>
  <si>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</si>
  <si>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</si>
  <si>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</si>
  <si>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</si>
  <si>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</si>
  <si>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</si>
  <si>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</si>
  <si>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</si>
  <si>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</si>
  <si>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</si>
  <si>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</si>
  <si>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</si>
  <si>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</si>
  <si>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</si>
  <si>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</si>
  <si>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</si>
  <si>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</si>
  <si>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</si>
  <si>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</si>
  <si>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</si>
  <si>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</si>
  <si>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</si>
  <si>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</si>
  <si>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</si>
  <si>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</si>
  <si>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</si>
  <si>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</si>
  <si>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</si>
  <si>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</si>
  <si>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</si>
  <si>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</si>
  <si>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</si>
  <si>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</si>
  <si>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</si>
  <si>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</si>
  <si>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</si>
  <si>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</si>
  <si>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</si>
  <si>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</si>
  <si>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</si>
  <si>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</si>
  <si>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</si>
  <si>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</si>
  <si>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</si>
  <si>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</si>
  <si>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</si>
  <si>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</si>
  <si>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</si>
  <si>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</si>
  <si>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</si>
  <si>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</si>
  <si>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</si>
  <si>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</si>
  <si>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</si>
  <si>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</si>
  <si>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</si>
  <si>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</si>
  <si>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</si>
  <si>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</si>
  <si>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</si>
  <si>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</si>
  <si>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</si>
  <si>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</si>
  <si>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</si>
  <si>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</si>
  <si>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</si>
  <si>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</si>
  <si>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</si>
  <si>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</si>
  <si>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</si>
  <si>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</si>
  <si>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</si>
  <si>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</si>
  <si>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</si>
  <si>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</si>
  <si>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</si>
  <si>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</si>
  <si>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</si>
  <si>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</si>
  <si>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</si>
  <si>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</si>
  <si>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</si>
  <si>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</si>
  <si>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</si>
  <si>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</si>
  <si>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</si>
  <si>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</si>
  <si>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</si>
  <si>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</si>
  <si>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</si>
  <si>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</si>
  <si>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</si>
  <si>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</si>
  <si>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</si>
  <si>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</si>
  <si>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</si>
  <si>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</si>
  <si>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</si>
  <si>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</si>
  <si>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</si>
  <si>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</si>
  <si>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</si>
  <si>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</si>
  <si>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</si>
  <si>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</si>
  <si>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</si>
  <si>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</si>
  <si>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</si>
  <si>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</si>
  <si>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</si>
  <si>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</si>
  <si>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</si>
  <si>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</si>
  <si>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</si>
  <si>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</si>
  <si>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</si>
  <si>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</si>
  <si>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</si>
  <si>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</si>
  <si>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</si>
  <si>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</si>
  <si>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</si>
  <si>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</si>
  <si>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</si>
  <si>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</si>
  <si>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</si>
  <si>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</si>
  <si>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</si>
  <si>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</si>
  <si>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</si>
  <si>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</si>
  <si>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</si>
  <si>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</si>
  <si>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</si>
  <si>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</si>
  <si>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</si>
  <si>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</si>
  <si>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</si>
  <si>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</si>
  <si>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</si>
  <si>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</si>
  <si>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</si>
  <si>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</si>
  <si>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</si>
  <si>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</si>
  <si>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</si>
  <si>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</si>
  <si>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</si>
  <si>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</si>
  <si>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</si>
  <si>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</si>
  <si>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</si>
  <si>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</si>
  <si>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</si>
  <si>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</si>
  <si>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</si>
  <si>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</si>
  <si>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</si>
  <si>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</si>
  <si>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</si>
  <si>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</si>
  <si>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</si>
  <si>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</si>
  <si>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</si>
  <si>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</si>
  <si>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</si>
  <si>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</si>
  <si>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</si>
  <si>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</si>
  <si>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</si>
  <si>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</si>
  <si>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</si>
  <si>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</si>
  <si>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</si>
  <si>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</si>
  <si>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</si>
  <si>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</si>
  <si>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</si>
  <si>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</si>
  <si>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</si>
  <si>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</si>
  <si>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</si>
  <si>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</si>
  <si>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</si>
  <si>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</si>
  <si>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</si>
  <si>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</si>
  <si>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</si>
  <si>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</si>
  <si>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</si>
  <si>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</si>
  <si>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</si>
  <si>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</si>
  <si>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</si>
  <si>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</si>
  <si>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</si>
  <si>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</si>
  <si>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</si>
  <si>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</si>
  <si>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</si>
  <si>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</si>
  <si>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</si>
  <si>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</si>
  <si>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</si>
  <si>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</si>
  <si>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</si>
  <si>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</si>
  <si>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</si>
  <si>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</si>
  <si>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</si>
  <si>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</si>
  <si>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</si>
  <si>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</si>
  <si>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</si>
  <si>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</si>
  <si>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</si>
  <si>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</si>
  <si>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</si>
  <si>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</si>
  <si>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</si>
  <si>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</si>
  <si>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</si>
  <si>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</si>
  <si>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</si>
  <si>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</si>
  <si>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</si>
  <si>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</si>
  <si>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</si>
  <si>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</si>
  <si>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</si>
  <si>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</si>
  <si>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</si>
  <si>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</si>
  <si>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</si>
  <si>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</si>
  <si>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</si>
  <si>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</si>
  <si>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</si>
  <si>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</si>
  <si>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</si>
  <si>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</si>
  <si>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</si>
  <si>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</si>
  <si>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</si>
  <si>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</si>
  <si>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</si>
  <si>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</si>
  <si>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</si>
  <si>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</si>
  <si>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</si>
  <si>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</si>
  <si>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</si>
  <si>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</si>
  <si>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</si>
  <si>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</si>
  <si>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</si>
  <si>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</si>
  <si>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</si>
  <si>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</si>
  <si>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</si>
  <si>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</si>
  <si>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</si>
  <si>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</si>
  <si>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</si>
  <si>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</si>
  <si>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</si>
  <si>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</si>
  <si>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</si>
  <si>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</si>
  <si>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</si>
  <si>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</si>
  <si>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</si>
  <si>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</si>
  <si>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</si>
  <si>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</si>
  <si>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</si>
  <si>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</si>
  <si>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</si>
  <si>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</si>
  <si>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</si>
  <si>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</si>
  <si>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</si>
  <si>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</si>
  <si>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</si>
  <si>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</si>
  <si>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</si>
  <si>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</si>
  <si>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</si>
  <si>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</si>
  <si>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</si>
  <si>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</si>
  <si>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</si>
  <si>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</si>
  <si>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</si>
  <si>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</si>
  <si>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</si>
  <si>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</si>
  <si>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</si>
  <si>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</si>
  <si>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</si>
  <si>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</si>
  <si>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</si>
  <si>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</si>
  <si>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</si>
  <si>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</si>
  <si>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</si>
  <si>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</si>
  <si>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</si>
  <si>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</si>
  <si>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</si>
  <si>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</si>
  <si>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</si>
  <si>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</si>
  <si>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</si>
  <si>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</si>
  <si>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</si>
  <si>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</si>
  <si>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</si>
  <si>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</si>
  <si>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</si>
  <si>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</si>
  <si>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</si>
  <si>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</si>
  <si>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</si>
  <si>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</si>
  <si>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</si>
  <si>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</si>
  <si>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</si>
  <si>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</si>
  <si>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</si>
  <si>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</si>
  <si>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</si>
  <si>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</si>
  <si>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</si>
  <si>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</si>
  <si>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</si>
  <si>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</si>
  <si>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</si>
  <si>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</si>
  <si>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</si>
  <si>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</si>
  <si>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</si>
  <si>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</si>
  <si>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</si>
  <si>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</si>
  <si>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</si>
  <si>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</si>
  <si>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</si>
  <si>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</si>
  <si>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</si>
  <si>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</si>
  <si>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</si>
  <si>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</si>
  <si>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</si>
  <si>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</si>
  <si>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</si>
  <si>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</si>
  <si>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</si>
  <si>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</si>
  <si>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</si>
  <si>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</si>
  <si>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</si>
  <si>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</si>
  <si>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</si>
  <si>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</si>
  <si>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</si>
  <si>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</si>
  <si>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</si>
  <si>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</si>
  <si>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</si>
  <si>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</si>
  <si>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</si>
  <si>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</si>
  <si>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</si>
  <si>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</si>
  <si>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</si>
  <si>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</si>
  <si>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</si>
  <si>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</si>
  <si>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</si>
  <si>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</si>
  <si>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</si>
  <si>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</si>
  <si>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</si>
  <si>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</si>
  <si>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</si>
  <si>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</si>
  <si>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</si>
  <si>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</si>
  <si>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</si>
  <si>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</si>
  <si>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</si>
  <si>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</si>
  <si>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</si>
  <si>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</si>
  <si>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</si>
  <si>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</si>
  <si>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</si>
  <si>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</si>
  <si>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</si>
  <si>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</si>
  <si>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</si>
  <si>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</si>
  <si>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</si>
  <si>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</si>
  <si>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</si>
  <si>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</si>
  <si>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</si>
  <si>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</si>
  <si>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</si>
  <si>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</si>
  <si>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</si>
  <si>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</si>
  <si>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</si>
  <si>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</si>
  <si>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</si>
  <si>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</si>
  <si>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</si>
  <si>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</si>
  <si>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</si>
  <si>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</si>
  <si>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</si>
  <si>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</si>
  <si>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</si>
  <si>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</si>
  <si>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</si>
  <si>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</si>
  <si>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</si>
  <si>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</si>
  <si>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</si>
  <si>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</si>
  <si>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</si>
  <si>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</si>
  <si>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</si>
  <si>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</si>
  <si>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</si>
  <si>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</si>
  <si>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</si>
  <si>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</si>
  <si>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</si>
  <si>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</si>
  <si>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</si>
  <si>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</si>
  <si>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</si>
  <si>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</si>
  <si>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</si>
  <si>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</si>
  <si>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</si>
  <si>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</si>
  <si>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</si>
  <si>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</si>
  <si>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</si>
  <si>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</si>
  <si>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</si>
  <si>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</si>
  <si>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</si>
  <si>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</si>
  <si>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</si>
  <si>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</si>
  <si>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</si>
  <si>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</si>
  <si>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</si>
  <si>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</si>
  <si>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</si>
  <si>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</si>
  <si>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</si>
  <si>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</si>
  <si>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</si>
  <si>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</si>
  <si>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</si>
  <si>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</si>
  <si>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</si>
  <si>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</si>
  <si>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</si>
  <si>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</si>
  <si>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</si>
  <si>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</si>
  <si>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</si>
  <si>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</si>
  <si>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</si>
  <si>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</si>
  <si>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</si>
  <si>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</si>
  <si>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</si>
  <si>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</si>
  <si>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</si>
  <si>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</si>
  <si>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</si>
  <si>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</si>
  <si>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</si>
  <si>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</si>
  <si>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</si>
  <si>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</si>
  <si>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</si>
  <si>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</si>
  <si>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</si>
  <si>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</si>
  <si>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</si>
  <si>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</si>
  <si>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</si>
  <si>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</si>
  <si>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</si>
  <si>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</si>
  <si>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</si>
  <si>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</si>
  <si>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</si>
  <si>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</si>
  <si>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</si>
  <si>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</si>
  <si>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</si>
  <si>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</si>
  <si>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</si>
  <si>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</si>
  <si>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</si>
  <si>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</si>
  <si>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</si>
  <si>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</si>
  <si>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</si>
  <si>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</si>
  <si>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</si>
  <si>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</si>
  <si>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</si>
  <si>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</si>
  <si>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</si>
  <si>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</si>
  <si>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</si>
  <si>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</si>
  <si>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</si>
  <si>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</si>
  <si>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</si>
  <si>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</si>
  <si>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</si>
  <si>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</si>
  <si>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</si>
  <si>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</si>
  <si>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</si>
  <si>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</si>
  <si>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</si>
  <si>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</si>
  <si>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</si>
  <si>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</si>
  <si>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</si>
  <si>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</si>
  <si>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</si>
  <si>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</si>
  <si>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</si>
  <si>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</si>
  <si>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</si>
  <si>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</si>
  <si>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</si>
  <si>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</si>
  <si>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</si>
  <si>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</si>
  <si>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A1502</t>
    <phoneticPr fontId="3" type="noConversion"/>
  </si>
  <si>
    <t>办公</t>
    <phoneticPr fontId="7" type="noConversion"/>
  </si>
  <si>
    <t>收益法 (元)</t>
  </si>
  <si>
    <t>商务金融用地</t>
  </si>
  <si>
    <t>好</t>
  </si>
  <si>
    <t>成本法 (元)</t>
  </si>
  <si>
    <t>办公项目</t>
  </si>
  <si>
    <t>无</t>
  </si>
  <si>
    <t>与级别开发程度不一致</t>
  </si>
  <si>
    <t>不临65条商业街</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</si>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</sst>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估价对象为北京市东城区东四十条甲22号1号楼房地产，为所有。根据《国有土地使用证》[]，估价对象（分摊）出让国有建设用地使用权面积为0平方米，建筑面积为176.09平方米。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176.09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640</v>
      </c>
    </row>
    <row r="21" spans="1:2" s="1201" customFormat="1">
      <c r="A21" s="1199" t="s">
        <v>537</v>
      </c>
      <c r="B21" s="1200">
        <f ca="1">'预评函-2'!D7</f>
        <v>36340</v>
      </c>
    </row>
    <row r="22" spans="1:2" s="1201" customFormat="1">
      <c r="A22" s="1199" t="s">
        <v>538</v>
      </c>
      <c r="B22" s="1200" t="str">
        <f ca="1">'预评函-2'!D6</f>
        <v>陆佰肆拾万元整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640</v>
      </c>
    </row>
    <row r="31" spans="1:2" s="1201" customFormat="1">
      <c r="A31" s="1199" t="s">
        <v>576</v>
      </c>
      <c r="B31" s="1200">
        <f ca="1">'预评函-2'!D15</f>
        <v>36340</v>
      </c>
    </row>
    <row r="32" spans="1:2" s="1201" customFormat="1">
      <c r="A32" s="1199" t="s">
        <v>543</v>
      </c>
      <c r="B32" s="1200" t="str">
        <f ca="1">'预评函-2'!D14</f>
        <v>陆佰肆拾万元整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176.09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512</v>
      </c>
    </row>
    <row r="48" spans="1:2" s="1201" customFormat="1">
      <c r="A48" s="1199" t="s">
        <v>549</v>
      </c>
      <c r="B48" s="1200">
        <f ca="1">'预评函-3'!E4</f>
        <v>29072</v>
      </c>
    </row>
    <row r="49" spans="1:2" s="1201" customFormat="1">
      <c r="A49" s="1199" t="s">
        <v>550</v>
      </c>
      <c r="B49" s="1200" t="str">
        <f ca="1">'预评函-3'!D5</f>
        <v>伍佰壹拾贰万元整</v>
      </c>
    </row>
    <row r="50" spans="1:2" s="1201" customFormat="1">
      <c r="A50" s="1199" t="s">
        <v>574</v>
      </c>
      <c r="B50" s="1200" t="str">
        <f>'预评函-3'!F2</f>
        <v>在建建筑物价值</v>
      </c>
    </row>
    <row r="51" spans="1:2" s="1201" customFormat="1">
      <c r="A51" s="1199" t="s">
        <v>551</v>
      </c>
      <c r="B51" s="1200">
        <f ca="1">'预评函-3'!F4</f>
        <v>128</v>
      </c>
    </row>
    <row r="52" spans="1:2" s="1201" customFormat="1">
      <c r="A52" s="1199" t="s">
        <v>552</v>
      </c>
      <c r="B52" s="1200">
        <f ca="1">'预评函-3'!G4</f>
        <v>7268</v>
      </c>
    </row>
    <row r="53" spans="1:2" s="1201" customFormat="1">
      <c r="A53" s="1199" t="s">
        <v>580</v>
      </c>
      <c r="B53" s="1200" t="str">
        <f ca="1">'预评函-3'!F5</f>
        <v>壹佰贰拾捌万元整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D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北京市东城区东四十条甲22号1号楼房地产抵押价值预评估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3434</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9"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3435</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176.09</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3442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t="s">
        <v>3443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3436</v>
      </c>
      <c r="D13" s="1623" t="s">
        <v>3384</v>
      </c>
      <c r="E13" s="13">
        <f>IF($C$3="是",ROUND($A$3*G13/$B$3,2),ROUND($A$3*(G13-AT13)/$B$3,2))</f>
        <v>0</v>
      </c>
      <c r="F13" s="29"/>
      <c r="G13" s="30">
        <f>H13+AC13+AT13</f>
        <v>176.09</v>
      </c>
      <c r="H13" s="17">
        <f>SUMIF(I$12:AB$12,"总值",I13:AB13)</f>
        <v>176.09</v>
      </c>
      <c r="I13" s="1624">
        <v>176.09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A1502</v>
      </c>
      <c r="AY13" s="1347">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176.09</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176.09</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176.09</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3437</v>
      </c>
      <c r="D19" s="45">
        <f>ROUND($D$3*E19/$E$3,2)</f>
        <v>0</v>
      </c>
      <c r="E19" s="53">
        <f t="shared" ref="E19:E26" si="1">SUM(F19:G19)</f>
        <v>176.09</v>
      </c>
      <c r="F19" s="2793">
        <f>'数据-基础表'!I5</f>
        <v>176.09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176.09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176.09</v>
      </c>
      <c r="F27" s="1138">
        <f>IF(SUM(F19:F26)=E8,SUM(F19:F26),"地上面积有误")</f>
        <v>176.09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176.09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176.09</v>
      </c>
      <c r="F31" s="675">
        <f>F27+F30</f>
        <v>176.09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176.09</v>
      </c>
      <c r="L6" s="731">
        <v>4000</v>
      </c>
      <c r="M6" s="67">
        <f t="shared" ref="M6:M14" si="0">ROUND(K6*L6/10000,0)</f>
        <v>70</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3438</v>
      </c>
      <c r="AO6" s="52">
        <f ca="1">SUMIF(INDIRECT("'"&amp;AN6&amp;"'"&amp;"!A:A"),"总价",INDIRECT("'"&amp;AN6&amp;"'"&amp;"!B:B"))</f>
        <v>538.19029999999998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176.09</v>
      </c>
      <c r="L16" s="93">
        <f>ROUND(M16*10000/SUM(K6:K14),0)</f>
        <v>3975</v>
      </c>
      <c r="M16" s="93">
        <f>SUM(M6:M14)</f>
        <v>70</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35218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4" sqref="F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639.91110000000003</v>
      </c>
      <c r="C5" s="2510">
        <f ca="1">IF(B5=D14,结果表!H102,ROUND(B5*10000/$B$1,0))</f>
        <v>36340</v>
      </c>
      <c r="D5" s="2510" t="e">
        <f ca="1">ROUND(B5*10000/$B$2,0)</f>
        <v>#DIV/0!</v>
      </c>
      <c r="E5" s="2684"/>
      <c r="F5" s="2685"/>
      <c r="G5" s="2685"/>
      <c r="H5" s="2686"/>
      <c r="I5" s="2686"/>
      <c r="J5" s="2686"/>
      <c r="K5" s="2686"/>
    </row>
    <row r="6" spans="1:11" ht="16.5">
      <c r="A6" s="2510" t="s">
        <v>656</v>
      </c>
      <c r="B6" s="2510">
        <f ca="1">SUM(G14:G23)</f>
        <v>639.91110000000003</v>
      </c>
      <c r="C6" s="2510">
        <f ca="1">IF(B6=G14,结果表!H108,ROUND(B6*10000/$B$1,0))</f>
        <v>36340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176.09</v>
      </c>
      <c r="C14" s="2516"/>
      <c r="D14" s="2516">
        <f ca="1">ROUND(E14*B14/10000,4)</f>
        <v>639.91110000000003</v>
      </c>
      <c r="E14" s="2516">
        <f ca="1">结果表!G20</f>
        <v>36340</v>
      </c>
      <c r="F14" s="2516" t="e">
        <f ca="1">ROUND(D14*10000/C14,0)</f>
        <v>#DIV/0!</v>
      </c>
      <c r="G14" s="2516">
        <f ca="1">D14</f>
        <v>639.91110000000003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G20" sqref="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579" t="str">
        <f>项目基本情况!S2</f>
        <v>北京市东城区东四十条甲22号1号楼房地产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3441</v>
      </c>
      <c r="D4" s="1754" t="s">
        <v>3438</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3</v>
      </c>
      <c r="D14" s="3582">
        <v>7</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569" t="s">
        <v>2130</v>
      </c>
      <c r="F18" s="3570"/>
      <c r="G18" s="3570"/>
      <c r="H18" s="3570"/>
      <c r="I18" s="3570"/>
      <c r="K18" s="302" t="s">
        <v>1289</v>
      </c>
      <c r="L18" s="302">
        <f>IF(C1="",'数据-汇总表'!E3,SUMIF(项目类型,C1,'数据-汇总表'!E17:E26)+SUMIF(项目类型,C1,'数据-汇总表'!I17:I26))</f>
        <v>176.09</v>
      </c>
      <c r="M18" s="302">
        <f>IF(C1="",'数据-汇总表'!E3,SUMIF(项目类型,C1,'数据-汇总表'!E17:E26))</f>
        <v>176.09</v>
      </c>
    </row>
    <row r="19" spans="1:36" ht="15">
      <c r="A19" s="1759" t="s">
        <v>1290</v>
      </c>
      <c r="B19" s="1760" t="s">
        <v>1291</v>
      </c>
      <c r="C19" s="134">
        <f ca="1">SUMIF(INDIRECT("'"&amp;C4&amp;"'"&amp;"!A:A"),结果表!B19,INDIRECT("'"&amp;C4&amp;"'"&amp;"!B:B"))</f>
        <v>877.25310000000002</v>
      </c>
      <c r="D19" s="135">
        <f ca="1">SUMIF(INDIRECT("'"&amp;D4&amp;"'"&amp;"!A:A"),结果表!B19,INDIRECT("'"&amp;D4&amp;"'"&amp;"!B:B"))</f>
        <v>538.19029999999998</v>
      </c>
      <c r="E19" s="1759" t="s">
        <v>1292</v>
      </c>
      <c r="F19" s="1760" t="s">
        <v>1291</v>
      </c>
      <c r="G19" s="136">
        <f ca="1">ROUND(C19*$C$18+D19*$D$18,0)</f>
        <v>640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49818</v>
      </c>
      <c r="D20" s="138">
        <f ca="1">SUMIF(INDIRECT("'"&amp;D4&amp;"'"&amp;"!A:A"),结果表!B20,INDIRECT("'"&amp;D4&amp;"'"&amp;"!B:B"))</f>
        <v>30563</v>
      </c>
      <c r="E20" s="1762"/>
      <c r="F20" s="1024" t="s">
        <v>1295</v>
      </c>
      <c r="G20" s="139">
        <f ca="1">ROUND(C20*$C$18+D20*$D$18,0)</f>
        <v>36340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0.63000540886745826</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36340</v>
      </c>
      <c r="D32" s="1773" t="s">
        <v>3446</v>
      </c>
      <c r="E32" s="129"/>
      <c r="F32" s="129"/>
      <c r="G32" s="129"/>
      <c r="H32" s="129"/>
      <c r="I32" s="129"/>
    </row>
    <row r="33" spans="1:15" ht="15">
      <c r="A33" s="784" t="s">
        <v>1306</v>
      </c>
      <c r="B33" s="1774"/>
      <c r="C33" s="1775" t="s">
        <v>3433</v>
      </c>
      <c r="D33" s="1776" t="s">
        <v>3389</v>
      </c>
      <c r="E33" s="1777" t="s">
        <v>1307</v>
      </c>
      <c r="F33" s="1778" t="str">
        <f>IF(D32="楼面单价","取值（单价）","取值（总价）")</f>
        <v>取值（单价）</v>
      </c>
      <c r="G33" s="129"/>
      <c r="H33" s="129"/>
      <c r="I33" s="129"/>
    </row>
    <row r="34" spans="1:15" ht="15">
      <c r="A34" s="1779"/>
      <c r="B34" s="1780" t="s">
        <v>1308</v>
      </c>
      <c r="C34" s="148">
        <f ca="1">IF(C33="自定义",F34,C32-C35)</f>
        <v>29072</v>
      </c>
      <c r="D34" s="859">
        <f ca="1">IF(C33="自定义",ROUND(C34/C32,3),IF(C33="收益比率",SUMIF(INDIRECT("'"&amp;D33&amp;"'"&amp;"!b:b"),"土地收益比率",INDIRECT("'"&amp;D33&amp;"'"&amp;"!c:c")),SUMIF(INDIRECT("'"&amp;D33&amp;"'"&amp;"!b:b"),"土地成本比率",INDIRECT("'"&amp;D33&amp;"'"&amp;"!c:c"))))</f>
        <v>0.8</v>
      </c>
      <c r="E34" s="1781" t="s">
        <v>1309</v>
      </c>
      <c r="F34" s="1328"/>
      <c r="G34" s="129"/>
      <c r="H34" s="129"/>
      <c r="I34" s="129"/>
    </row>
    <row r="35" spans="1:15" ht="15.75" thickBot="1">
      <c r="A35" s="1782"/>
      <c r="B35" s="1783" t="s">
        <v>1310</v>
      </c>
      <c r="C35" s="1168">
        <f ca="1">IF(C33="自定义",F35,ROUND(C32*D35,0))</f>
        <v>7268</v>
      </c>
      <c r="D35" s="1169">
        <f ca="1">IF(C33="自定义",ROUND(C35/C32,3),IF(C33="收益比率",SUMIF(INDIRECT("'"&amp;D33&amp;"'"&amp;"!b:b"),"建筑物收益比率",INDIRECT("'"&amp;D33&amp;"'"&amp;"!c:c")),SUMIF(INDIRECT("'"&amp;D33&amp;"'"&amp;"!b:b"),"建筑物成本比率",INDIRECT("'"&amp;D33&amp;"'"&amp;"!c:c"))))</f>
        <v>0.2</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640</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45160</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9" t="s">
        <v>1340</v>
      </c>
      <c r="L48" s="3609"/>
      <c r="M48" s="3631">
        <f ca="1">H101</f>
        <v>640</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640</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34</v>
      </c>
      <c r="E52" s="2332" t="s">
        <v>1354</v>
      </c>
      <c r="F52" s="2552">
        <f>'数据-取费表'!B41</f>
        <v>5.6000000000000001E-2</v>
      </c>
      <c r="G52" s="2553"/>
      <c r="H52" s="2542"/>
      <c r="I52" s="1805"/>
      <c r="J52" s="2521">
        <v>1</v>
      </c>
      <c r="K52" s="3610" t="s">
        <v>1355</v>
      </c>
      <c r="L52" s="3610"/>
      <c r="M52" s="2523" t="b">
        <f>D48</f>
        <v>0</v>
      </c>
      <c r="N52" s="2521" t="str">
        <f>E48</f>
        <v>销售额×税（费）率</v>
      </c>
      <c r="O52" s="2524">
        <f>F48</f>
        <v>5.6000000000000001E-2</v>
      </c>
    </row>
    <row r="53" spans="1:35" ht="12" customHeight="1">
      <c r="A53" s="2333" t="s">
        <v>1356</v>
      </c>
      <c r="B53" s="3571" t="s">
        <v>2290</v>
      </c>
      <c r="C53" s="3572"/>
      <c r="D53" s="1085">
        <f ca="1">ROUND(D45*'数据-取费表'!B41/(1+'数据-取费表'!C42),0)</f>
        <v>34</v>
      </c>
      <c r="E53" s="2332" t="s">
        <v>1354</v>
      </c>
      <c r="F53" s="2552">
        <f>'数据-取费表'!B41</f>
        <v>5.6000000000000001E-2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2291</v>
      </c>
      <c r="C54" s="3572"/>
      <c r="D54" s="1085">
        <f ca="1">C68</f>
        <v>34</v>
      </c>
      <c r="E54" s="327" t="s">
        <v>1359</v>
      </c>
      <c r="F54" s="2552">
        <f>'数据-取费表'!B41</f>
        <v>5.6000000000000001E-2</v>
      </c>
      <c r="G54" s="2553"/>
      <c r="H54" s="2554"/>
      <c r="I54" s="1805"/>
      <c r="J54" s="2521">
        <v>3</v>
      </c>
      <c r="K54" s="3610" t="s">
        <v>1360</v>
      </c>
      <c r="L54" s="3610"/>
      <c r="M54" s="2523">
        <f t="shared" ca="1" si="0"/>
        <v>362</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6</v>
      </c>
      <c r="N55" s="2038" t="str">
        <f>E59</f>
        <v>差额计税</v>
      </c>
      <c r="O55" s="2527">
        <f>F59</f>
        <v>0.01</v>
      </c>
    </row>
    <row r="56" spans="1:35" ht="24.75">
      <c r="A56" s="3560" t="s">
        <v>1363</v>
      </c>
      <c r="B56" s="3561"/>
      <c r="C56" s="3561"/>
      <c r="D56" s="2322">
        <f ca="1">IF(H56="个人住宅",D57,D58)</f>
        <v>362</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368</v>
      </c>
      <c r="O57" s="2531"/>
      <c r="P57" s="2688">
        <f ca="1">N57/M49</f>
        <v>0.57499999999999996</v>
      </c>
    </row>
    <row r="58" spans="1:35" ht="24.75">
      <c r="A58" s="2333" t="s">
        <v>1352</v>
      </c>
      <c r="B58" s="3571" t="s">
        <v>1369</v>
      </c>
      <c r="C58" s="3545"/>
      <c r="D58" s="2322">
        <f ca="1">IF(H58="转让取得",C81,C97)</f>
        <v>362</v>
      </c>
      <c r="E58" s="2332" t="s">
        <v>1364</v>
      </c>
      <c r="F58" s="302" t="s">
        <v>28</v>
      </c>
      <c r="G58" s="2553"/>
      <c r="H58" s="2556"/>
      <c r="I58" s="1806"/>
      <c r="J58" s="3610"/>
      <c r="K58" s="3610"/>
      <c r="L58" s="2528" t="s">
        <v>1370</v>
      </c>
      <c r="M58" s="2532"/>
      <c r="N58" s="2533" t="str">
        <f ca="1">NUMBERSTRING(INT(N57*10000),2)&amp;"元整"</f>
        <v>叁佰陆拾捌万元整</v>
      </c>
      <c r="O58" s="2534"/>
    </row>
    <row r="59" spans="1:35" ht="24.75" thickBot="1">
      <c r="A59" s="3613" t="s">
        <v>1371</v>
      </c>
      <c r="B59" s="3614"/>
      <c r="C59" s="3614"/>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272</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贰佰柒拾贰万元整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15447</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610</v>
      </c>
      <c r="D63" s="167"/>
      <c r="E63" s="168"/>
      <c r="F63" s="1806"/>
      <c r="G63" s="1806"/>
      <c r="H63" s="1808"/>
      <c r="I63" s="129"/>
      <c r="J63" s="3635" t="s">
        <v>1379</v>
      </c>
      <c r="K63" s="1330" t="s">
        <v>1380</v>
      </c>
      <c r="L63" s="1330">
        <f ca="1">IF(M49&gt;10000,M49*0.5%,IF(AND(M49&gt;1000,M49&lt;=10000),M49*1%,IF(AND(M49&gt;100,M49&lt;=1000),M49*3%,IF(AND(M49&gt;10,M49&lt;=100),M49*5%,M49*8%))))</f>
        <v>19.2</v>
      </c>
      <c r="M63" s="302">
        <f ca="1">ROUND(L63,1)</f>
        <v>19.2</v>
      </c>
      <c r="N63" s="2541"/>
      <c r="Z63" s="1750"/>
      <c r="AI63" s="1751"/>
    </row>
    <row r="64" spans="1:35" ht="14.25" customHeight="1">
      <c r="A64" s="169" t="s">
        <v>325</v>
      </c>
      <c r="B64" s="170" t="s">
        <v>1381</v>
      </c>
      <c r="C64" s="2563">
        <f ca="1">D45</f>
        <v>640</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4.4799999999999995</v>
      </c>
      <c r="M64" s="302">
        <f t="shared" ref="M64:M65" ca="1" si="1">ROUND(L64,1)</f>
        <v>4.5</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3.2</v>
      </c>
      <c r="M65" s="302">
        <f t="shared" ca="1" si="1"/>
        <v>3.2</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3.2</v>
      </c>
      <c r="M66" s="302">
        <f ca="1">IF(L66&gt;0.5,0.5,ROUND(L66,0))</f>
        <v>0.5</v>
      </c>
      <c r="N66" s="2542" t="s">
        <v>1388</v>
      </c>
      <c r="Z66" s="1750"/>
      <c r="AI66" s="1751"/>
    </row>
    <row r="67" spans="1:35" ht="14.25" customHeight="1">
      <c r="A67" s="173" t="s">
        <v>328</v>
      </c>
      <c r="B67" s="174" t="s">
        <v>1389</v>
      </c>
      <c r="C67" s="2566">
        <f ca="1">C63-C66</f>
        <v>610</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1.85</v>
      </c>
      <c r="M67" s="302">
        <f ca="1">ROUND(L67*0.9,1)</f>
        <v>1.7</v>
      </c>
      <c r="N67" s="2541"/>
      <c r="Z67" s="1750"/>
      <c r="AI67" s="1751"/>
    </row>
    <row r="68" spans="1:35" ht="14.25" customHeight="1" thickBot="1">
      <c r="A68" s="176" t="s">
        <v>329</v>
      </c>
      <c r="B68" s="177" t="s">
        <v>1391</v>
      </c>
      <c r="C68" s="2567">
        <f ca="1">IF(C67&lt;=0,0,ROUND(C67*D68,0))</f>
        <v>34</v>
      </c>
      <c r="D68" s="2568">
        <f>'数据-取费表'!B41</f>
        <v>5.6000000000000001E-2</v>
      </c>
      <c r="E68" s="178"/>
      <c r="F68" s="1806"/>
      <c r="G68" s="1806"/>
      <c r="H68" s="1808"/>
      <c r="I68" s="129"/>
      <c r="J68" s="3635"/>
      <c r="K68" s="1330" t="s">
        <v>1392</v>
      </c>
      <c r="L68" s="1330">
        <f ca="1">IF(M49&gt;10000,M49*0.5%,IF(AND(M49&gt;5000,M49&lt;=10000),M49*1%,IF(AND(M49&gt;1000,M49&lt;=5000),M49*2%,IF(AND(M49&gt;200,M49&lt;=1000),M49*3%,M49*5%))))</f>
        <v>19.2</v>
      </c>
      <c r="M68" s="302">
        <f ca="1">ROUND(L68,1)</f>
        <v>19.2</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48</v>
      </c>
      <c r="N69" s="2543">
        <f ca="1">M69/M49</f>
        <v>7.4999999999999997E-2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610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606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151.5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362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610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606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151.5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362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成本法 (元)</v>
      </c>
      <c r="D101" s="2584" t="str">
        <f>D4</f>
        <v>收益法 (元)</v>
      </c>
      <c r="E101" s="3632" t="s">
        <v>1431</v>
      </c>
      <c r="F101" s="3589"/>
      <c r="G101" s="1825" t="s">
        <v>1432</v>
      </c>
      <c r="H101" s="2593">
        <f ca="1">H118</f>
        <v>640</v>
      </c>
      <c r="I101" s="129"/>
    </row>
    <row r="102" spans="1:35" ht="18.75" customHeight="1">
      <c r="A102" s="3591" t="s">
        <v>1433</v>
      </c>
      <c r="B102" s="2582" t="s">
        <v>1432</v>
      </c>
      <c r="C102" s="2583">
        <f ca="1">IF(D32="楼面单价",ROUND(C19,0),C19)</f>
        <v>877</v>
      </c>
      <c r="D102" s="2584">
        <f ca="1">IF(D32="楼面单价",ROUND(D19,0),D19)</f>
        <v>538</v>
      </c>
      <c r="E102" s="3632"/>
      <c r="F102" s="3589"/>
      <c r="G102" s="1825" t="s">
        <v>1434</v>
      </c>
      <c r="H102" s="2553">
        <f ca="1">I118</f>
        <v>36340</v>
      </c>
      <c r="I102" s="129"/>
    </row>
    <row r="103" spans="1:35" ht="42.75" customHeight="1">
      <c r="A103" s="3591"/>
      <c r="B103" s="2582" t="s">
        <v>1434</v>
      </c>
      <c r="C103" s="2585">
        <f ca="1">C20</f>
        <v>49818</v>
      </c>
      <c r="D103" s="2586">
        <f ca="1">D20</f>
        <v>30563</v>
      </c>
      <c r="E103" s="3626" t="s">
        <v>1435</v>
      </c>
      <c r="F103" s="3627"/>
      <c r="G103" s="1826" t="s">
        <v>1436</v>
      </c>
      <c r="H103" s="2593">
        <f>IF(D36="正常操作",H104+H105+H106,H105+H106)</f>
        <v>0</v>
      </c>
      <c r="I103" s="129"/>
    </row>
    <row r="104" spans="1:35" ht="18.75" customHeight="1">
      <c r="A104" s="3591" t="s">
        <v>1437</v>
      </c>
      <c r="B104" s="2587" t="s">
        <v>1432</v>
      </c>
      <c r="C104" s="2588">
        <f ca="1">H118</f>
        <v>640</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36340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640</v>
      </c>
      <c r="I107" s="129"/>
    </row>
    <row r="108" spans="1:35" ht="18.75" customHeight="1">
      <c r="A108" s="129"/>
      <c r="B108" s="129"/>
      <c r="C108" s="129"/>
      <c r="D108" s="129"/>
      <c r="E108" s="3588"/>
      <c r="F108" s="3589"/>
      <c r="G108" s="1825" t="s">
        <v>1434</v>
      </c>
      <c r="H108" s="2553">
        <f ca="1">IF(H107=H101,H102,ROUND(H107*10000/'数据-汇总表'!E3,0))</f>
        <v>36340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176.09</v>
      </c>
      <c r="C118" s="2327">
        <f>M19</f>
        <v>0</v>
      </c>
      <c r="D118" s="2327">
        <f ca="1">ROUND(IF(D32="总价",C34,E118*B118/10000),0)</f>
        <v>512</v>
      </c>
      <c r="E118" s="2327">
        <f ca="1">ROUND(IF(C33="自定义",IF(D32="楼面单价",C34,D118*10000/B118),I118-G118),0)</f>
        <v>29072</v>
      </c>
      <c r="F118" s="2327">
        <f ca="1">ROUND(IF(D32="总价",C35,G118*B118/10000),0)</f>
        <v>128</v>
      </c>
      <c r="G118" s="2327">
        <f ca="1">ROUND(IF(D32="楼面单价",C35,F118*10000/B118),0)</f>
        <v>7268</v>
      </c>
      <c r="H118" s="2327">
        <f ca="1">ROUND(IF(D32="总价",C32,I118*B118/10000),0)</f>
        <v>640</v>
      </c>
      <c r="I118" s="2327">
        <f ca="1">ROUND(IF(D32="楼面单价",C32,H118*10000/B118),0)</f>
        <v>36340</v>
      </c>
    </row>
    <row r="119" spans="1:27" ht="18.75" customHeight="1">
      <c r="A119" s="3559" t="s">
        <v>1452</v>
      </c>
      <c r="B119" s="3559"/>
      <c r="C119" s="3559"/>
      <c r="D119" s="3599" t="str">
        <f ca="1">NUMBERSTRING(INT(D118*10000),2)&amp;"元整"</f>
        <v>伍佰壹拾贰万元整</v>
      </c>
      <c r="E119" s="3601"/>
      <c r="F119" s="3599" t="str">
        <f ca="1">NUMBERSTRING(INT(F118*10000),2)&amp;"元整"</f>
        <v>壹佰贰拾捌万元整</v>
      </c>
      <c r="G119" s="3601"/>
      <c r="H119" s="3599" t="str">
        <f ca="1">NUMBERSTRING(INT(H118*10000),2)&amp;"元整"</f>
        <v>陆佰肆拾万元整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640</v>
      </c>
      <c r="E122" s="3624"/>
      <c r="F122" s="3624"/>
      <c r="G122" s="3624"/>
      <c r="H122" s="3624"/>
      <c r="I122" s="3625"/>
      <c r="AA122" s="723"/>
    </row>
    <row r="123" spans="1:27" ht="18.75" customHeight="1">
      <c r="A123" s="3559" t="s">
        <v>1452</v>
      </c>
      <c r="B123" s="3559"/>
      <c r="C123" s="3559"/>
      <c r="D123" s="3599" t="str">
        <f ca="1">NUMBERSTRING(INT(D122*10000),2)&amp;"元整"</f>
        <v>陆佰肆拾万元整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v>
      </c>
      <c r="D5" s="211" t="s">
        <v>1469</v>
      </c>
      <c r="E5" s="212" t="s">
        <v>1470</v>
      </c>
      <c r="F5" s="212" t="s">
        <v>1471</v>
      </c>
      <c r="G5" s="213"/>
    </row>
    <row r="6" spans="1:9" s="214" customFormat="1" ht="13.5" customHeight="1">
      <c r="A6" s="776" t="s">
        <v>1472</v>
      </c>
      <c r="B6" s="215" t="s">
        <v>1473</v>
      </c>
      <c r="C6" s="216">
        <f>基准地价修正!B2</f>
        <v>570</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D19" sqref="D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877.25310000000002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49818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5910191</v>
      </c>
      <c r="D5" s="211" t="s">
        <v>1469</v>
      </c>
      <c r="E5" s="212" t="s">
        <v>1470</v>
      </c>
      <c r="F5" s="212" t="s">
        <v>1471</v>
      </c>
      <c r="G5" s="213"/>
    </row>
    <row r="6" spans="1:8" s="214" customFormat="1" ht="13.5" customHeight="1">
      <c r="A6" s="776" t="s">
        <v>1472</v>
      </c>
      <c r="B6" s="215" t="s">
        <v>1473</v>
      </c>
      <c r="C6" s="216">
        <f>ROUND(基准地价修正!C33*基准地价修正!D33,0)</f>
        <v>5701090</v>
      </c>
      <c r="D6" s="217"/>
      <c r="E6" s="218"/>
      <c r="F6" s="218"/>
      <c r="G6" s="219"/>
    </row>
    <row r="7" spans="1:8" s="214" customFormat="1" ht="13.5" customHeight="1">
      <c r="A7" s="776" t="s">
        <v>1474</v>
      </c>
      <c r="B7" s="215" t="s">
        <v>1475</v>
      </c>
      <c r="C7" s="220">
        <f>ROUND(C6*F7,0)</f>
        <v>173883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35218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35218</v>
      </c>
      <c r="D10" s="843">
        <f ca="1">IF(B1="",'数据-汇总表'!E6,IF(INDIRECT("'数据-取费表'!c"&amp;$G$1)="住宅",INDIRECT("'数据-取费表'!s"&amp;$G$1),INDIRECT("'数据-取费表'!k"&amp;$G$1)+INDIRECT("'数据-取费表'!s"&amp;$G$1)))</f>
        <v>176.09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176.09</v>
      </c>
      <c r="E19" s="211">
        <f>'数据-取费表'!B31</f>
        <v>200</v>
      </c>
      <c r="F19" s="231"/>
      <c r="G19" s="1854" t="s">
        <v>3406</v>
      </c>
    </row>
    <row r="20" spans="1:7" s="214" customFormat="1" ht="13.5" customHeight="1">
      <c r="A20" s="255" t="s">
        <v>1574</v>
      </c>
      <c r="B20" s="210" t="s">
        <v>1575</v>
      </c>
      <c r="C20" s="232">
        <f ca="1">ROUND((C5+C19)*F20,0)</f>
        <v>118204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418916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414838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4078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904259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904259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7964865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771274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704360</v>
      </c>
      <c r="D34" s="217"/>
      <c r="E34" s="220"/>
      <c r="F34" s="257"/>
      <c r="G34" s="219"/>
    </row>
    <row r="35" spans="1:7" ht="13.5" customHeight="1">
      <c r="A35" s="778" t="s">
        <v>351</v>
      </c>
      <c r="B35" s="215" t="s">
        <v>1527</v>
      </c>
      <c r="C35" s="220">
        <f ca="1">ROUND(C34*F35,0)</f>
        <v>21131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35218</v>
      </c>
      <c r="D37" s="217">
        <f ca="1">D19</f>
        <v>176.09</v>
      </c>
      <c r="E37" s="249">
        <f>'数据-取费表'!B35</f>
        <v>200</v>
      </c>
      <c r="F37" s="259"/>
      <c r="G37" s="261"/>
    </row>
    <row r="38" spans="1:7" ht="13.5" customHeight="1">
      <c r="A38" s="778" t="s">
        <v>354</v>
      </c>
      <c r="B38" s="215" t="s">
        <v>1533</v>
      </c>
      <c r="C38" s="220">
        <f ca="1">ROUND(C34*F38,0)</f>
        <v>10565</v>
      </c>
      <c r="D38" s="220"/>
      <c r="E38" s="220"/>
      <c r="F38" s="259">
        <f>'数据-取费表'!B36</f>
        <v>1.4999999999999999E-2</v>
      </c>
      <c r="G38" s="219" t="s">
        <v>1528</v>
      </c>
    </row>
    <row r="39" spans="1:7" s="214" customFormat="1" ht="13.5" customHeight="1">
      <c r="A39" s="255" t="s">
        <v>1534</v>
      </c>
      <c r="B39" s="210" t="s">
        <v>1535</v>
      </c>
      <c r="C39" s="232">
        <f ca="1">ROUND(C33*F20,0)</f>
        <v>15425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27141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26609</v>
      </c>
      <c r="D42" s="238"/>
      <c r="E42" s="238"/>
      <c r="F42" s="239"/>
      <c r="G42" s="3639" t="s">
        <v>1591</v>
      </c>
    </row>
    <row r="43" spans="1:7" ht="13.5" customHeight="1">
      <c r="A43" s="778" t="s">
        <v>347</v>
      </c>
      <c r="B43" s="215" t="s">
        <v>1545</v>
      </c>
      <c r="C43" s="238">
        <f ca="1">ROUND(IF('数据-取费表'!B22&lt;=1,C39*F22*'数据-取费表'!B20/2,C39*(POWER((1+F22),'数据-取费表'!B20/2)-1)),0)</f>
        <v>532</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118005</v>
      </c>
      <c r="D45" s="235">
        <f ca="1">C47</f>
        <v>3.0000000000000001E-3</v>
      </c>
      <c r="E45" s="236" t="s">
        <v>1539</v>
      </c>
      <c r="F45" s="246">
        <f ca="1">F27</f>
        <v>0.15</v>
      </c>
      <c r="G45" s="247" t="s">
        <v>1548</v>
      </c>
    </row>
    <row r="46" spans="1:7" s="214" customFormat="1" ht="13.5" customHeight="1">
      <c r="A46" s="778" t="s">
        <v>346</v>
      </c>
      <c r="B46" s="248" t="s">
        <v>1549</v>
      </c>
      <c r="C46" s="249">
        <f ca="1">ROUND((C33+C39)*F27,0)</f>
        <v>118005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1009583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807666</v>
      </c>
      <c r="D51" s="232"/>
      <c r="E51" s="232"/>
      <c r="F51" s="264"/>
      <c r="G51" s="234" t="s">
        <v>1560</v>
      </c>
    </row>
    <row r="52" spans="1:7" s="208" customFormat="1" ht="16.5" thickBot="1">
      <c r="A52" s="265" t="s">
        <v>1561</v>
      </c>
      <c r="B52" s="266"/>
      <c r="C52" s="267">
        <f ca="1">C31+C51</f>
        <v>8772531</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40142</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2279630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176.09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-35214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176.09</v>
      </c>
      <c r="E20" s="21">
        <f>'数据-取费表'!B28</f>
        <v>200</v>
      </c>
      <c r="F20" s="802"/>
      <c r="G20" s="12"/>
      <c r="H20" s="807"/>
      <c r="I20" s="807"/>
      <c r="J20" s="807"/>
      <c r="K20" s="808"/>
    </row>
    <row r="21" spans="1:33" s="801" customFormat="1" ht="13.5" customHeight="1">
      <c r="A21" s="788" t="s">
        <v>357</v>
      </c>
      <c r="B21" s="811" t="s">
        <v>1628</v>
      </c>
      <c r="C21" s="812">
        <f ca="1">C16+C17+C18</f>
        <v>-35214</v>
      </c>
      <c r="D21" s="813"/>
      <c r="E21" s="281"/>
      <c r="F21" s="281"/>
      <c r="G21" s="131" t="s">
        <v>1629</v>
      </c>
      <c r="H21" s="805"/>
      <c r="I21" s="805"/>
      <c r="J21" s="805"/>
      <c r="K21" s="806"/>
    </row>
    <row r="22" spans="1:33" s="801" customFormat="1" ht="13.5" customHeight="1">
      <c r="A22" s="788" t="s">
        <v>1601</v>
      </c>
      <c r="B22" s="811" t="s">
        <v>1630</v>
      </c>
      <c r="C22" s="812">
        <f ca="1">ROUND(C21*F22,0)</f>
        <v>-704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-5388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-5388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40142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176.09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70" t="s">
        <v>1771</v>
      </c>
      <c r="S4" s="3671"/>
      <c r="T4" s="3670" t="s">
        <v>1772</v>
      </c>
      <c r="U4" s="3671"/>
      <c r="V4" s="3676" t="s">
        <v>1773</v>
      </c>
      <c r="W4" s="3676"/>
      <c r="X4" s="1956"/>
      <c r="Y4" s="3670" t="s">
        <v>1775</v>
      </c>
      <c r="Z4" s="3671"/>
      <c r="AA4" s="3688" t="s">
        <v>1771</v>
      </c>
      <c r="AB4" s="3688" t="s">
        <v>1772</v>
      </c>
      <c r="AC4" s="3657" t="s">
        <v>1773</v>
      </c>
    </row>
    <row r="5" spans="1:29" ht="15">
      <c r="A5" s="358"/>
      <c r="B5" s="359"/>
      <c r="C5" s="3680" t="s">
        <v>1673</v>
      </c>
      <c r="D5" s="3681"/>
      <c r="E5" s="3691" t="s">
        <v>1674</v>
      </c>
      <c r="F5" s="3692"/>
      <c r="G5" s="3680" t="s">
        <v>1675</v>
      </c>
      <c r="H5" s="3681"/>
      <c r="I5" s="3680" t="s">
        <v>1676</v>
      </c>
      <c r="J5" s="3681"/>
      <c r="K5" s="559"/>
      <c r="L5" s="2713"/>
      <c r="M5" s="2714"/>
      <c r="N5" s="2714"/>
      <c r="O5" s="2714"/>
      <c r="P5" s="3666"/>
      <c r="Q5" s="3667"/>
      <c r="R5" s="3672"/>
      <c r="S5" s="3673"/>
      <c r="T5" s="3672"/>
      <c r="U5" s="3673"/>
      <c r="V5" s="3677"/>
      <c r="W5" s="3677"/>
      <c r="X5" s="1353"/>
      <c r="Y5" s="3672"/>
      <c r="Z5" s="3673"/>
      <c r="AA5" s="3689"/>
      <c r="AB5" s="3689"/>
      <c r="AC5" s="3658"/>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668"/>
      <c r="Q6" s="3669"/>
      <c r="R6" s="3672"/>
      <c r="S6" s="3673"/>
      <c r="T6" s="3674"/>
      <c r="U6" s="3675"/>
      <c r="V6" s="3677"/>
      <c r="W6" s="3677"/>
      <c r="X6" s="1353"/>
      <c r="Y6" s="3674"/>
      <c r="Z6" s="3675"/>
      <c r="AA6" s="3690"/>
      <c r="AB6" s="3690"/>
      <c r="AC6" s="3659"/>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82"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82" t="s">
        <v>1683</v>
      </c>
      <c r="Q8" s="3683"/>
      <c r="R8" s="699" t="s">
        <v>14</v>
      </c>
      <c r="S8" s="700">
        <f t="shared" si="0"/>
        <v>100</v>
      </c>
      <c r="T8" s="699" t="s">
        <v>14</v>
      </c>
      <c r="U8" s="700">
        <f t="shared" si="1"/>
        <v>100</v>
      </c>
      <c r="V8" s="699" t="s">
        <v>14</v>
      </c>
      <c r="W8" s="700">
        <f t="shared" si="2"/>
        <v>100</v>
      </c>
      <c r="X8" s="701"/>
      <c r="Y8" s="3684" t="s">
        <v>1683</v>
      </c>
      <c r="Z8" s="368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4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48" t="s">
        <v>1691</v>
      </c>
      <c r="Q15" s="1350" t="str">
        <f t="shared" si="6"/>
        <v>办公集聚程度</v>
      </c>
      <c r="R15" s="703" t="s">
        <v>14</v>
      </c>
      <c r="S15" s="704">
        <f t="shared" si="0"/>
        <v>100</v>
      </c>
      <c r="T15" s="703" t="s">
        <v>14</v>
      </c>
      <c r="U15" s="704">
        <f t="shared" si="1"/>
        <v>100</v>
      </c>
      <c r="V15" s="703" t="s">
        <v>14</v>
      </c>
      <c r="W15" s="704">
        <f t="shared" si="2"/>
        <v>100</v>
      </c>
      <c r="X15" s="1353"/>
      <c r="Y15" s="365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49"/>
      <c r="Q22" s="1350"/>
      <c r="R22" s="703"/>
      <c r="S22" s="704"/>
      <c r="T22" s="703"/>
      <c r="U22" s="704"/>
      <c r="V22" s="703"/>
      <c r="W22" s="704"/>
      <c r="X22" s="1353"/>
      <c r="Y22" s="365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49"/>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49"/>
      <c r="Q25" s="1350" t="str">
        <f>B25</f>
        <v>毗邻道路的类型与等级</v>
      </c>
      <c r="R25" s="703" t="s">
        <v>14</v>
      </c>
      <c r="S25" s="704">
        <f>F25</f>
        <v>100</v>
      </c>
      <c r="T25" s="703" t="s">
        <v>14</v>
      </c>
      <c r="U25" s="704">
        <f>H25</f>
        <v>100</v>
      </c>
      <c r="V25" s="703" t="s">
        <v>14</v>
      </c>
      <c r="W25" s="704">
        <f>J25</f>
        <v>100</v>
      </c>
      <c r="X25" s="1353"/>
      <c r="Y25" s="365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49"/>
      <c r="Q26" s="1350"/>
      <c r="R26" s="703"/>
      <c r="S26" s="704"/>
      <c r="T26" s="703"/>
      <c r="U26" s="704"/>
      <c r="V26" s="703"/>
      <c r="W26" s="704"/>
      <c r="X26" s="1353"/>
      <c r="Y26" s="365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49"/>
      <c r="Q27" s="1350" t="str">
        <f t="shared" ref="Q27:Q47" si="11">B27</f>
        <v>楼层</v>
      </c>
      <c r="R27" s="703" t="s">
        <v>14</v>
      </c>
      <c r="S27" s="704">
        <f>F27</f>
        <v>100</v>
      </c>
      <c r="T27" s="703" t="s">
        <v>14</v>
      </c>
      <c r="U27" s="704">
        <f>H27</f>
        <v>100</v>
      </c>
      <c r="V27" s="703" t="s">
        <v>14</v>
      </c>
      <c r="W27" s="704">
        <f>J27</f>
        <v>100</v>
      </c>
      <c r="X27" s="1353"/>
      <c r="Y27" s="365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49"/>
      <c r="Q28" s="1341" t="str">
        <f t="shared" si="11"/>
        <v>朝向</v>
      </c>
      <c r="R28" s="699" t="s">
        <v>14</v>
      </c>
      <c r="S28" s="700">
        <f>F28</f>
        <v>100</v>
      </c>
      <c r="T28" s="699" t="s">
        <v>14</v>
      </c>
      <c r="U28" s="700">
        <f>H28</f>
        <v>100</v>
      </c>
      <c r="V28" s="699" t="s">
        <v>14</v>
      </c>
      <c r="W28" s="700">
        <f>J28</f>
        <v>100</v>
      </c>
      <c r="X28" s="701"/>
      <c r="Y28" s="365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49"/>
      <c r="Q29" s="1350">
        <f t="shared" si="11"/>
        <v>111</v>
      </c>
      <c r="R29" s="703" t="s">
        <v>14</v>
      </c>
      <c r="S29" s="704">
        <f t="shared" ref="S29:S47" si="12">F29</f>
        <v>100</v>
      </c>
      <c r="T29" s="703" t="s">
        <v>14</v>
      </c>
      <c r="U29" s="704">
        <f t="shared" ref="U29:U47" si="13">H29</f>
        <v>100</v>
      </c>
      <c r="V29" s="703" t="s">
        <v>14</v>
      </c>
      <c r="W29" s="704">
        <f t="shared" ref="W29:W47" si="14">J29</f>
        <v>100</v>
      </c>
      <c r="X29" s="1353"/>
      <c r="Y29" s="365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49"/>
      <c r="Q32" s="1350">
        <f t="shared" si="11"/>
        <v>111</v>
      </c>
      <c r="R32" s="703" t="s">
        <v>14</v>
      </c>
      <c r="S32" s="704">
        <f t="shared" si="12"/>
        <v>100</v>
      </c>
      <c r="T32" s="703" t="s">
        <v>14</v>
      </c>
      <c r="U32" s="704">
        <f t="shared" si="13"/>
        <v>100</v>
      </c>
      <c r="V32" s="703" t="s">
        <v>14</v>
      </c>
      <c r="W32" s="704">
        <f t="shared" si="14"/>
        <v>100</v>
      </c>
      <c r="X32" s="1353"/>
      <c r="Y32" s="365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2" t="s">
        <v>1696</v>
      </c>
      <c r="Q33" s="1350" t="str">
        <f t="shared" si="11"/>
        <v>建筑类型</v>
      </c>
      <c r="R33" s="703" t="s">
        <v>14</v>
      </c>
      <c r="S33" s="704">
        <f t="shared" si="12"/>
        <v>100</v>
      </c>
      <c r="T33" s="703" t="s">
        <v>14</v>
      </c>
      <c r="U33" s="704">
        <f t="shared" si="13"/>
        <v>100</v>
      </c>
      <c r="V33" s="703" t="s">
        <v>14</v>
      </c>
      <c r="W33" s="704">
        <f t="shared" si="14"/>
        <v>100</v>
      </c>
      <c r="X33" s="1353"/>
      <c r="Y33" s="365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53"/>
      <c r="Q34" s="705" t="str">
        <f t="shared" si="11"/>
        <v>项目建筑规模</v>
      </c>
      <c r="R34" s="706" t="s">
        <v>14</v>
      </c>
      <c r="S34" s="707" t="e">
        <f t="shared" si="12"/>
        <v>#N/A</v>
      </c>
      <c r="T34" s="706" t="s">
        <v>14</v>
      </c>
      <c r="U34" s="707" t="e">
        <f t="shared" si="13"/>
        <v>#N/A</v>
      </c>
      <c r="V34" s="706" t="s">
        <v>14</v>
      </c>
      <c r="W34" s="707" t="e">
        <f t="shared" si="14"/>
        <v>#N/A</v>
      </c>
      <c r="X34" s="708"/>
      <c r="Y34" s="365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53"/>
      <c r="Q35" s="1350" t="str">
        <f t="shared" si="11"/>
        <v>建筑结构</v>
      </c>
      <c r="R35" s="703" t="s">
        <v>14</v>
      </c>
      <c r="S35" s="704">
        <f t="shared" si="12"/>
        <v>100</v>
      </c>
      <c r="T35" s="703" t="s">
        <v>14</v>
      </c>
      <c r="U35" s="704">
        <f t="shared" si="13"/>
        <v>100</v>
      </c>
      <c r="V35" s="703" t="s">
        <v>14</v>
      </c>
      <c r="W35" s="704">
        <f t="shared" si="14"/>
        <v>100</v>
      </c>
      <c r="X35" s="1353"/>
      <c r="Y35" s="365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53"/>
      <c r="Q36" s="1350" t="str">
        <f t="shared" si="11"/>
        <v>公共部分装修</v>
      </c>
      <c r="R36" s="703" t="s">
        <v>14</v>
      </c>
      <c r="S36" s="704">
        <f t="shared" si="12"/>
        <v>100</v>
      </c>
      <c r="T36" s="703" t="s">
        <v>14</v>
      </c>
      <c r="U36" s="704">
        <f t="shared" si="13"/>
        <v>100</v>
      </c>
      <c r="V36" s="703" t="s">
        <v>14</v>
      </c>
      <c r="W36" s="704">
        <f t="shared" si="14"/>
        <v>100</v>
      </c>
      <c r="X36" s="1353"/>
      <c r="Y36" s="365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53"/>
      <c r="Q37" s="1350" t="str">
        <f t="shared" si="11"/>
        <v>成新度</v>
      </c>
      <c r="R37" s="703" t="s">
        <v>14</v>
      </c>
      <c r="S37" s="704" t="e">
        <f t="shared" si="12"/>
        <v>#N/A</v>
      </c>
      <c r="T37" s="703" t="s">
        <v>14</v>
      </c>
      <c r="U37" s="704" t="e">
        <f t="shared" si="13"/>
        <v>#N/A</v>
      </c>
      <c r="V37" s="703" t="s">
        <v>14</v>
      </c>
      <c r="W37" s="704" t="e">
        <f t="shared" si="14"/>
        <v>#N/A</v>
      </c>
      <c r="X37" s="1353"/>
      <c r="Y37" s="365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53"/>
      <c r="Q38" s="1341" t="str">
        <f t="shared" si="11"/>
        <v>写字楼等级</v>
      </c>
      <c r="R38" s="699" t="s">
        <v>14</v>
      </c>
      <c r="S38" s="700">
        <f t="shared" si="12"/>
        <v>100</v>
      </c>
      <c r="T38" s="699" t="s">
        <v>14</v>
      </c>
      <c r="U38" s="700">
        <f t="shared" si="13"/>
        <v>100</v>
      </c>
      <c r="V38" s="699" t="s">
        <v>14</v>
      </c>
      <c r="W38" s="700">
        <f t="shared" si="14"/>
        <v>100</v>
      </c>
      <c r="X38" s="701"/>
      <c r="Y38" s="365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53" t="s">
        <v>1696</v>
      </c>
      <c r="Q39" s="1350" t="str">
        <f t="shared" si="11"/>
        <v>物业管理</v>
      </c>
      <c r="R39" s="703" t="s">
        <v>14</v>
      </c>
      <c r="S39" s="704">
        <f t="shared" si="12"/>
        <v>100</v>
      </c>
      <c r="T39" s="703" t="s">
        <v>14</v>
      </c>
      <c r="U39" s="704">
        <f t="shared" si="13"/>
        <v>100</v>
      </c>
      <c r="V39" s="703" t="s">
        <v>14</v>
      </c>
      <c r="W39" s="704">
        <f t="shared" si="14"/>
        <v>100</v>
      </c>
      <c r="X39" s="1353"/>
      <c r="Y39" s="365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53"/>
      <c r="Q40" s="1350" t="str">
        <f t="shared" si="11"/>
        <v>市政基础设施</v>
      </c>
      <c r="R40" s="703" t="s">
        <v>14</v>
      </c>
      <c r="S40" s="704">
        <f t="shared" si="12"/>
        <v>100</v>
      </c>
      <c r="T40" s="703" t="s">
        <v>14</v>
      </c>
      <c r="U40" s="704">
        <f t="shared" si="13"/>
        <v>100</v>
      </c>
      <c r="V40" s="703" t="s">
        <v>14</v>
      </c>
      <c r="W40" s="704">
        <f t="shared" si="14"/>
        <v>100</v>
      </c>
      <c r="X40" s="1353"/>
      <c r="Y40" s="365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3"/>
      <c r="Q41" s="1350" t="str">
        <f t="shared" si="11"/>
        <v>层高</v>
      </c>
      <c r="R41" s="703" t="s">
        <v>14</v>
      </c>
      <c r="S41" s="704">
        <f t="shared" si="12"/>
        <v>100</v>
      </c>
      <c r="T41" s="703" t="s">
        <v>14</v>
      </c>
      <c r="U41" s="704">
        <f t="shared" si="13"/>
        <v>100</v>
      </c>
      <c r="V41" s="703" t="s">
        <v>14</v>
      </c>
      <c r="W41" s="704">
        <f t="shared" si="14"/>
        <v>100</v>
      </c>
      <c r="X41" s="1353"/>
      <c r="Y41" s="365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3"/>
      <c r="Q42" s="705" t="str">
        <f t="shared" si="11"/>
        <v>单套建筑面积</v>
      </c>
      <c r="R42" s="706" t="s">
        <v>14</v>
      </c>
      <c r="S42" s="707">
        <f t="shared" si="12"/>
        <v>100</v>
      </c>
      <c r="T42" s="706" t="s">
        <v>14</v>
      </c>
      <c r="U42" s="707">
        <f t="shared" si="13"/>
        <v>100</v>
      </c>
      <c r="V42" s="706" t="s">
        <v>14</v>
      </c>
      <c r="W42" s="707">
        <f t="shared" si="14"/>
        <v>100</v>
      </c>
      <c r="X42" s="708"/>
      <c r="Y42" s="365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53"/>
      <c r="Q43" s="1350" t="str">
        <f t="shared" si="11"/>
        <v>内部装修</v>
      </c>
      <c r="R43" s="703" t="s">
        <v>14</v>
      </c>
      <c r="S43" s="704">
        <f t="shared" si="12"/>
        <v>100</v>
      </c>
      <c r="T43" s="703" t="s">
        <v>14</v>
      </c>
      <c r="U43" s="704">
        <f t="shared" si="13"/>
        <v>100</v>
      </c>
      <c r="V43" s="703" t="s">
        <v>14</v>
      </c>
      <c r="W43" s="704">
        <f t="shared" si="14"/>
        <v>100</v>
      </c>
      <c r="X43" s="1353"/>
      <c r="Y43" s="365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53"/>
      <c r="Q44" s="1350" t="str">
        <f t="shared" si="11"/>
        <v>内部装修维护情况</v>
      </c>
      <c r="R44" s="703" t="s">
        <v>14</v>
      </c>
      <c r="S44" s="704">
        <f t="shared" si="12"/>
        <v>100</v>
      </c>
      <c r="T44" s="703" t="s">
        <v>14</v>
      </c>
      <c r="U44" s="704">
        <f t="shared" si="13"/>
        <v>100</v>
      </c>
      <c r="V44" s="703" t="s">
        <v>14</v>
      </c>
      <c r="W44" s="704">
        <f t="shared" si="14"/>
        <v>100</v>
      </c>
      <c r="X44" s="1353"/>
      <c r="Y44" s="365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3"/>
      <c r="Q45" s="1341">
        <f t="shared" si="11"/>
        <v>111</v>
      </c>
      <c r="R45" s="699" t="s">
        <v>14</v>
      </c>
      <c r="S45" s="700">
        <f t="shared" si="12"/>
        <v>100</v>
      </c>
      <c r="T45" s="699" t="s">
        <v>14</v>
      </c>
      <c r="U45" s="700">
        <f t="shared" si="13"/>
        <v>100</v>
      </c>
      <c r="V45" s="699" t="s">
        <v>14</v>
      </c>
      <c r="W45" s="700">
        <f t="shared" si="14"/>
        <v>100</v>
      </c>
      <c r="X45" s="701"/>
      <c r="Y45" s="365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3"/>
      <c r="Q46" s="1350">
        <f t="shared" si="11"/>
        <v>111</v>
      </c>
      <c r="R46" s="703" t="s">
        <v>14</v>
      </c>
      <c r="S46" s="704">
        <f t="shared" si="12"/>
        <v>100</v>
      </c>
      <c r="T46" s="703" t="s">
        <v>14</v>
      </c>
      <c r="U46" s="704">
        <f t="shared" si="13"/>
        <v>100</v>
      </c>
      <c r="V46" s="703" t="s">
        <v>14</v>
      </c>
      <c r="W46" s="704">
        <f t="shared" si="14"/>
        <v>100</v>
      </c>
      <c r="X46" s="1353"/>
      <c r="Y46" s="365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4"/>
      <c r="Q47" s="1350">
        <f t="shared" si="11"/>
        <v>111</v>
      </c>
      <c r="R47" s="703" t="s">
        <v>14</v>
      </c>
      <c r="S47" s="704">
        <f t="shared" si="12"/>
        <v>100</v>
      </c>
      <c r="T47" s="703" t="s">
        <v>14</v>
      </c>
      <c r="U47" s="704">
        <f t="shared" si="13"/>
        <v>100</v>
      </c>
      <c r="V47" s="703" t="s">
        <v>14</v>
      </c>
      <c r="W47" s="704">
        <f t="shared" si="14"/>
        <v>100</v>
      </c>
      <c r="X47" s="1353"/>
      <c r="Y47" s="365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42" t="str">
        <f>A48</f>
        <v>成交单价（元/平方米）</v>
      </c>
      <c r="Q48" s="3643"/>
      <c r="R48" s="3644">
        <f>E48</f>
        <v>0</v>
      </c>
      <c r="S48" s="3644"/>
      <c r="T48" s="3644">
        <f>G48</f>
        <v>0</v>
      </c>
      <c r="U48" s="3644"/>
      <c r="V48" s="3644">
        <f>I48</f>
        <v>0</v>
      </c>
      <c r="W48" s="3644"/>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42"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45" t="str">
        <f>A50</f>
        <v>估价对象XX用房的比较价值（楼面单价，元/平方米）</v>
      </c>
      <c r="Q50" s="3646"/>
      <c r="R50" s="3647" t="e">
        <f>IF(F1="售价",ROUND(IF(D49="简单平均",AVERAGE(R49:V49),R49*F49+T49*H49+V49*J49),0),ROUND(IF(D49="简单平均",AVERAGE(R49:V49),R49*F49+T49*H49+V49*J49),1))</f>
        <v>#DIV/0!</v>
      </c>
      <c r="S50" s="3647"/>
      <c r="T50" s="3647"/>
      <c r="U50" s="3647"/>
      <c r="V50" s="3647"/>
      <c r="W50" s="364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704" t="s">
        <v>3411</v>
      </c>
      <c r="F5" s="3681"/>
      <c r="G5" s="3704" t="s">
        <v>3411</v>
      </c>
      <c r="H5" s="3681"/>
      <c r="I5" s="3704" t="s">
        <v>3411</v>
      </c>
      <c r="J5" s="3681"/>
      <c r="K5" s="559"/>
      <c r="L5" s="911"/>
      <c r="M5" s="912"/>
      <c r="N5" s="912"/>
      <c r="O5" s="912"/>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911"/>
      <c r="M6" s="912"/>
      <c r="N6" s="912"/>
      <c r="O6" s="912"/>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84" t="s">
        <v>1680</v>
      </c>
      <c r="Q7" s="3685"/>
      <c r="R7" s="699" t="s">
        <v>14</v>
      </c>
      <c r="S7" s="700">
        <f t="shared" ref="S7:S15" si="0">F7</f>
        <v>100</v>
      </c>
      <c r="T7" s="699" t="s">
        <v>14</v>
      </c>
      <c r="U7" s="700">
        <f t="shared" ref="U7:U15" si="1">H7</f>
        <v>100</v>
      </c>
      <c r="V7" s="699" t="s">
        <v>14</v>
      </c>
      <c r="W7" s="700">
        <f t="shared" ref="W7:W15" si="2">J7</f>
        <v>100</v>
      </c>
      <c r="X7" s="701"/>
      <c r="Y7" s="3684" t="s">
        <v>1680</v>
      </c>
      <c r="Z7" s="3683"/>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84" t="s">
        <v>1683</v>
      </c>
      <c r="Q8" s="3683"/>
      <c r="R8" s="699" t="s">
        <v>14</v>
      </c>
      <c r="S8" s="700">
        <f t="shared" si="0"/>
        <v>103</v>
      </c>
      <c r="T8" s="699" t="s">
        <v>14</v>
      </c>
      <c r="U8" s="700">
        <f t="shared" si="1"/>
        <v>103</v>
      </c>
      <c r="V8" s="699" t="s">
        <v>14</v>
      </c>
      <c r="W8" s="700">
        <f t="shared" si="2"/>
        <v>103</v>
      </c>
      <c r="X8" s="701"/>
      <c r="Y8" s="3684" t="s">
        <v>1683</v>
      </c>
      <c r="Z8" s="3683"/>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3"/>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50" t="s">
        <v>1691</v>
      </c>
      <c r="Q15" s="1350" t="str">
        <f t="shared" si="6"/>
        <v>产业集聚程度</v>
      </c>
      <c r="R15" s="703" t="s">
        <v>14</v>
      </c>
      <c r="S15" s="704">
        <f t="shared" si="0"/>
        <v>103</v>
      </c>
      <c r="T15" s="703" t="s">
        <v>14</v>
      </c>
      <c r="U15" s="704">
        <f t="shared" si="1"/>
        <v>103</v>
      </c>
      <c r="V15" s="703" t="s">
        <v>14</v>
      </c>
      <c r="W15" s="704">
        <f t="shared" si="2"/>
        <v>103</v>
      </c>
      <c r="X15" s="1353"/>
      <c r="Y15" s="3650"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51"/>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51"/>
      <c r="Q17" s="1350" t="str">
        <f>B17</f>
        <v>交通便捷度</v>
      </c>
      <c r="R17" s="703" t="s">
        <v>14</v>
      </c>
      <c r="S17" s="704">
        <f>F17</f>
        <v>102</v>
      </c>
      <c r="T17" s="703" t="s">
        <v>14</v>
      </c>
      <c r="U17" s="704">
        <f>H17</f>
        <v>102</v>
      </c>
      <c r="V17" s="703" t="s">
        <v>14</v>
      </c>
      <c r="W17" s="704">
        <f>J17</f>
        <v>102</v>
      </c>
      <c r="X17" s="1353"/>
      <c r="Y17" s="3651"/>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51"/>
      <c r="Q18" s="1350"/>
      <c r="R18" s="703"/>
      <c r="S18" s="704"/>
      <c r="T18" s="703"/>
      <c r="U18" s="704"/>
      <c r="V18" s="703"/>
      <c r="W18" s="704"/>
      <c r="X18" s="1353"/>
      <c r="Y18" s="365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51"/>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51"/>
      <c r="Q20" s="1350"/>
      <c r="R20" s="703"/>
      <c r="S20" s="704"/>
      <c r="T20" s="703"/>
      <c r="U20" s="704"/>
      <c r="V20" s="703"/>
      <c r="W20" s="704"/>
      <c r="X20" s="1353"/>
      <c r="Y20" s="365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51"/>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51"/>
      <c r="Q22" s="1350"/>
      <c r="R22" s="703"/>
      <c r="S22" s="704"/>
      <c r="T22" s="703"/>
      <c r="U22" s="704"/>
      <c r="V22" s="703"/>
      <c r="W22" s="704"/>
      <c r="X22" s="1353"/>
      <c r="Y22" s="365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51"/>
      <c r="Q23" s="1350" t="str">
        <f>B23</f>
        <v>环境质量</v>
      </c>
      <c r="R23" s="703" t="s">
        <v>14</v>
      </c>
      <c r="S23" s="704">
        <f>F23</f>
        <v>100</v>
      </c>
      <c r="T23" s="703" t="s">
        <v>14</v>
      </c>
      <c r="U23" s="704">
        <f>H23</f>
        <v>100</v>
      </c>
      <c r="V23" s="703" t="s">
        <v>14</v>
      </c>
      <c r="W23" s="704">
        <f>J23</f>
        <v>100</v>
      </c>
      <c r="X23" s="1353"/>
      <c r="Y23" s="3651"/>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51"/>
      <c r="Q24" s="1350"/>
      <c r="R24" s="703"/>
      <c r="S24" s="704"/>
      <c r="T24" s="703"/>
      <c r="U24" s="704"/>
      <c r="V24" s="703"/>
      <c r="W24" s="704"/>
      <c r="X24" s="1353"/>
      <c r="Y24" s="3651"/>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1"/>
      <c r="Q25" s="1350">
        <f>B25</f>
        <v>0</v>
      </c>
      <c r="R25" s="703" t="s">
        <v>14</v>
      </c>
      <c r="S25" s="704">
        <f>F25</f>
        <v>100</v>
      </c>
      <c r="T25" s="703" t="s">
        <v>14</v>
      </c>
      <c r="U25" s="704">
        <f>H25</f>
        <v>100</v>
      </c>
      <c r="V25" s="703" t="s">
        <v>14</v>
      </c>
      <c r="W25" s="704">
        <f>J25</f>
        <v>100</v>
      </c>
      <c r="X25" s="1353"/>
      <c r="Y25" s="3651"/>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1"/>
      <c r="Q26" s="1350">
        <f t="shared" ref="Q26:Q40" si="11">B26</f>
        <v>0</v>
      </c>
      <c r="R26" s="703" t="s">
        <v>14</v>
      </c>
      <c r="S26" s="704">
        <f>F26</f>
        <v>100</v>
      </c>
      <c r="T26" s="703" t="s">
        <v>14</v>
      </c>
      <c r="U26" s="704">
        <f>H26</f>
        <v>100</v>
      </c>
      <c r="V26" s="703" t="s">
        <v>14</v>
      </c>
      <c r="W26" s="704">
        <f>J26</f>
        <v>100</v>
      </c>
      <c r="X26" s="1353"/>
      <c r="Y26" s="3651"/>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1"/>
      <c r="Q27" s="1341">
        <f t="shared" si="11"/>
        <v>0</v>
      </c>
      <c r="R27" s="699" t="s">
        <v>14</v>
      </c>
      <c r="S27" s="700">
        <f>F27</f>
        <v>100</v>
      </c>
      <c r="T27" s="699" t="s">
        <v>14</v>
      </c>
      <c r="U27" s="700">
        <f>H27</f>
        <v>100</v>
      </c>
      <c r="V27" s="699" t="s">
        <v>14</v>
      </c>
      <c r="W27" s="700">
        <f>J27</f>
        <v>100</v>
      </c>
      <c r="X27" s="701"/>
      <c r="Y27" s="3651"/>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1"/>
      <c r="Q28" s="1350">
        <f t="shared" si="11"/>
        <v>0</v>
      </c>
      <c r="R28" s="703" t="s">
        <v>14</v>
      </c>
      <c r="S28" s="704">
        <f t="shared" ref="S28:S40" si="12">F28</f>
        <v>100</v>
      </c>
      <c r="T28" s="703" t="s">
        <v>14</v>
      </c>
      <c r="U28" s="704">
        <f t="shared" ref="U28:U40" si="13">H28</f>
        <v>100</v>
      </c>
      <c r="V28" s="703" t="s">
        <v>14</v>
      </c>
      <c r="W28" s="704">
        <f t="shared" ref="W28:W40" si="14">J28</f>
        <v>100</v>
      </c>
      <c r="X28" s="1353"/>
      <c r="Y28" s="3651"/>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696" t="s">
        <v>1696</v>
      </c>
      <c r="Q29" s="1350" t="str">
        <f t="shared" si="11"/>
        <v>建筑类型</v>
      </c>
      <c r="R29" s="703" t="s">
        <v>14</v>
      </c>
      <c r="S29" s="704">
        <f t="shared" si="12"/>
        <v>100</v>
      </c>
      <c r="T29" s="703" t="s">
        <v>14</v>
      </c>
      <c r="U29" s="704">
        <f t="shared" si="13"/>
        <v>100</v>
      </c>
      <c r="V29" s="703" t="s">
        <v>14</v>
      </c>
      <c r="W29" s="704">
        <f t="shared" si="14"/>
        <v>100</v>
      </c>
      <c r="X29" s="1353"/>
      <c r="Y29" s="3655"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55"/>
      <c r="Q30" s="705" t="str">
        <f t="shared" si="11"/>
        <v>项目建筑规模</v>
      </c>
      <c r="R30" s="706" t="s">
        <v>14</v>
      </c>
      <c r="S30" s="707" t="e">
        <f t="shared" si="12"/>
        <v>#REF!</v>
      </c>
      <c r="T30" s="706" t="s">
        <v>14</v>
      </c>
      <c r="U30" s="707" t="e">
        <f t="shared" si="13"/>
        <v>#REF!</v>
      </c>
      <c r="V30" s="706" t="s">
        <v>14</v>
      </c>
      <c r="W30" s="707" t="e">
        <f t="shared" si="14"/>
        <v>#REF!</v>
      </c>
      <c r="X30" s="708"/>
      <c r="Y30" s="3655"/>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55"/>
      <c r="Q31" s="1350" t="str">
        <f t="shared" si="11"/>
        <v>建筑结构</v>
      </c>
      <c r="R31" s="703" t="s">
        <v>14</v>
      </c>
      <c r="S31" s="704">
        <f t="shared" si="12"/>
        <v>100</v>
      </c>
      <c r="T31" s="703" t="s">
        <v>14</v>
      </c>
      <c r="U31" s="704">
        <f t="shared" si="13"/>
        <v>100</v>
      </c>
      <c r="V31" s="703" t="s">
        <v>14</v>
      </c>
      <c r="W31" s="704">
        <f t="shared" si="14"/>
        <v>100</v>
      </c>
      <c r="X31" s="1353"/>
      <c r="Y31" s="3655"/>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55"/>
      <c r="Q32" s="1350" t="str">
        <f t="shared" si="11"/>
        <v>公共部分装修</v>
      </c>
      <c r="R32" s="703" t="s">
        <v>14</v>
      </c>
      <c r="S32" s="704">
        <f t="shared" si="12"/>
        <v>100</v>
      </c>
      <c r="T32" s="703" t="s">
        <v>14</v>
      </c>
      <c r="U32" s="704">
        <f t="shared" si="13"/>
        <v>100</v>
      </c>
      <c r="V32" s="703" t="s">
        <v>14</v>
      </c>
      <c r="W32" s="704">
        <f t="shared" si="14"/>
        <v>100</v>
      </c>
      <c r="X32" s="1353"/>
      <c r="Y32" s="3655"/>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55"/>
      <c r="Q33" s="1350" t="str">
        <f t="shared" si="11"/>
        <v>成新度</v>
      </c>
      <c r="R33" s="703" t="s">
        <v>14</v>
      </c>
      <c r="S33" s="704">
        <f t="shared" si="12"/>
        <v>100</v>
      </c>
      <c r="T33" s="703" t="s">
        <v>14</v>
      </c>
      <c r="U33" s="704">
        <f t="shared" si="13"/>
        <v>100</v>
      </c>
      <c r="V33" s="703" t="s">
        <v>14</v>
      </c>
      <c r="W33" s="704">
        <f t="shared" si="14"/>
        <v>100</v>
      </c>
      <c r="X33" s="1353"/>
      <c r="Y33" s="3655"/>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55"/>
      <c r="Q34" s="1341" t="str">
        <f t="shared" si="11"/>
        <v>物业管理</v>
      </c>
      <c r="R34" s="699" t="s">
        <v>14</v>
      </c>
      <c r="S34" s="700">
        <f t="shared" si="12"/>
        <v>100</v>
      </c>
      <c r="T34" s="699" t="s">
        <v>14</v>
      </c>
      <c r="U34" s="700">
        <f t="shared" si="13"/>
        <v>100</v>
      </c>
      <c r="V34" s="699" t="s">
        <v>14</v>
      </c>
      <c r="W34" s="700">
        <f t="shared" si="14"/>
        <v>100</v>
      </c>
      <c r="X34" s="701"/>
      <c r="Y34" s="3655"/>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55" t="s">
        <v>1696</v>
      </c>
      <c r="Q35" s="1350" t="str">
        <f t="shared" si="11"/>
        <v>市政基础设施</v>
      </c>
      <c r="R35" s="703" t="s">
        <v>14</v>
      </c>
      <c r="S35" s="704">
        <f t="shared" si="12"/>
        <v>100</v>
      </c>
      <c r="T35" s="703" t="s">
        <v>14</v>
      </c>
      <c r="U35" s="704">
        <f t="shared" si="13"/>
        <v>100</v>
      </c>
      <c r="V35" s="703" t="s">
        <v>14</v>
      </c>
      <c r="W35" s="704">
        <f t="shared" si="14"/>
        <v>100</v>
      </c>
      <c r="X35" s="1353"/>
      <c r="Y35" s="3655"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55"/>
      <c r="Q36" s="1350" t="str">
        <f t="shared" si="11"/>
        <v>内部装修</v>
      </c>
      <c r="R36" s="703" t="s">
        <v>14</v>
      </c>
      <c r="S36" s="704">
        <f t="shared" si="12"/>
        <v>100</v>
      </c>
      <c r="T36" s="703" t="s">
        <v>14</v>
      </c>
      <c r="U36" s="704">
        <f t="shared" si="13"/>
        <v>104</v>
      </c>
      <c r="V36" s="703" t="s">
        <v>14</v>
      </c>
      <c r="W36" s="704">
        <f t="shared" si="14"/>
        <v>100</v>
      </c>
      <c r="X36" s="1353"/>
      <c r="Y36" s="3655"/>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55"/>
      <c r="Q37" s="1350" t="str">
        <f t="shared" si="11"/>
        <v>内部装修状况</v>
      </c>
      <c r="R37" s="703" t="s">
        <v>14</v>
      </c>
      <c r="S37" s="704">
        <f t="shared" si="12"/>
        <v>100</v>
      </c>
      <c r="T37" s="703" t="s">
        <v>14</v>
      </c>
      <c r="U37" s="704">
        <f t="shared" si="13"/>
        <v>100</v>
      </c>
      <c r="V37" s="703" t="s">
        <v>14</v>
      </c>
      <c r="W37" s="704">
        <f t="shared" si="14"/>
        <v>100</v>
      </c>
      <c r="X37" s="1353"/>
      <c r="Y37" s="3655"/>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5"/>
      <c r="Q38" s="705">
        <f t="shared" si="11"/>
        <v>0</v>
      </c>
      <c r="R38" s="706" t="s">
        <v>14</v>
      </c>
      <c r="S38" s="707">
        <f t="shared" si="12"/>
        <v>100</v>
      </c>
      <c r="T38" s="706" t="s">
        <v>14</v>
      </c>
      <c r="U38" s="707">
        <f t="shared" si="13"/>
        <v>100</v>
      </c>
      <c r="V38" s="706" t="s">
        <v>14</v>
      </c>
      <c r="W38" s="707">
        <f t="shared" si="14"/>
        <v>100</v>
      </c>
      <c r="X38" s="708"/>
      <c r="Y38" s="3655"/>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5"/>
      <c r="Q39" s="1350">
        <f t="shared" si="11"/>
        <v>0</v>
      </c>
      <c r="R39" s="703" t="s">
        <v>14</v>
      </c>
      <c r="S39" s="704">
        <f t="shared" si="12"/>
        <v>100</v>
      </c>
      <c r="T39" s="703" t="s">
        <v>14</v>
      </c>
      <c r="U39" s="704">
        <f t="shared" si="13"/>
        <v>100</v>
      </c>
      <c r="V39" s="703" t="s">
        <v>14</v>
      </c>
      <c r="W39" s="704">
        <f t="shared" si="14"/>
        <v>100</v>
      </c>
      <c r="X39" s="1353"/>
      <c r="Y39" s="3655"/>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56"/>
      <c r="Q40" s="1350">
        <f t="shared" si="11"/>
        <v>0</v>
      </c>
      <c r="R40" s="703" t="s">
        <v>14</v>
      </c>
      <c r="S40" s="704">
        <f t="shared" si="12"/>
        <v>100</v>
      </c>
      <c r="T40" s="703" t="s">
        <v>14</v>
      </c>
      <c r="U40" s="704">
        <f t="shared" si="13"/>
        <v>100</v>
      </c>
      <c r="V40" s="703" t="s">
        <v>14</v>
      </c>
      <c r="W40" s="704">
        <f t="shared" si="14"/>
        <v>100</v>
      </c>
      <c r="X40" s="1353"/>
      <c r="Y40" s="3656"/>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43" t="str">
        <f>A41</f>
        <v>成交单价（元/平方米）</v>
      </c>
      <c r="Q41" s="3643"/>
      <c r="R41" s="3644">
        <f>E41</f>
        <v>11940</v>
      </c>
      <c r="S41" s="3644"/>
      <c r="T41" s="3644">
        <f>G41</f>
        <v>10000</v>
      </c>
      <c r="U41" s="3644"/>
      <c r="V41" s="3644">
        <f>I41</f>
        <v>10000</v>
      </c>
      <c r="W41" s="3644"/>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43" t="str">
        <f>A42</f>
        <v>比较价值（元/平方米）</v>
      </c>
      <c r="Q42" s="3643"/>
      <c r="R42" s="3644" t="e">
        <f>IF(F1="售价",ROUND(PRODUCT(R41,AA7:AA40),0),ROUND(PRODUCT(R41,AA7:AA40),1))</f>
        <v>#REF!</v>
      </c>
      <c r="S42" s="3644"/>
      <c r="T42" s="3644" t="e">
        <f>IF(F1="售价",ROUND(PRODUCT(T41,AB7:AB40),0),ROUND(PRODUCT(T41,AB7:AB40),1))</f>
        <v>#REF!</v>
      </c>
      <c r="U42" s="3644"/>
      <c r="V42" s="3644" t="e">
        <f>IF(F1="售价",ROUND(PRODUCT(V41,AC7:AC40),0),ROUND(PRODUCT(V41,AC7:AC40),1))</f>
        <v>#REF!</v>
      </c>
      <c r="W42" s="3644"/>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693" t="str">
        <f>A43</f>
        <v>估价对象XX用房的比较价值（楼面单价，元/平方米）</v>
      </c>
      <c r="Q43" s="3694"/>
      <c r="R43" s="3695" t="e">
        <f>IF(F1="售价",ROUND(IF(D42="简单平均",AVERAGE(R42:V42),R42*F42+T42*H42+V42*J42),0),ROUND(IF(D42="简单平均",AVERAGE(R42:V42),R42*F42+T42*H42+V42*J42),1))</f>
        <v>#REF!</v>
      </c>
      <c r="S43" s="3695"/>
      <c r="T43" s="3695"/>
      <c r="U43" s="3695"/>
      <c r="V43" s="3695"/>
      <c r="W43" s="369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20" zoomScale="85" zoomScaleNormal="80" zoomScaleSheetLayoutView="85" workbookViewId="0">
      <selection activeCell="D61" sqref="D61:D6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176.09</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570</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52462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32370</v>
      </c>
      <c r="C3" s="1997" t="s">
        <v>1941</v>
      </c>
      <c r="D3" s="1998" t="s">
        <v>1942</v>
      </c>
      <c r="E3" s="3418" t="s">
        <v>3439</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41650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35988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32566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31037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3445</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3444</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570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32376</v>
      </c>
      <c r="D33" s="2096">
        <f>'数据-基础表'!B3</f>
        <v>176.09</v>
      </c>
      <c r="E33" s="771">
        <f>ROUND(C33*D33/10000,0)</f>
        <v>570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8094</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22999</v>
      </c>
      <c r="D37" s="2096"/>
      <c r="E37" s="171">
        <f>ROUND(C37*D37/10000,0)</f>
        <v>0</v>
      </c>
      <c r="F37" s="171">
        <f>SUMIF(修正!A57:A68,G2,修正!B57:B68)</f>
        <v>0.7</v>
      </c>
      <c r="G37" s="171">
        <f>ROUND(IF(E2="工业",C37*$M$42,C37*$M$41),0)</f>
        <v>5750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13143</v>
      </c>
      <c r="D38" s="2096"/>
      <c r="E38" s="171">
        <f t="shared" ref="E38:E42" si="4">ROUND(C38*D38/10000,0)</f>
        <v>0</v>
      </c>
      <c r="F38" s="171">
        <f>SUMIF(修正!A57:A68,G2,修正!C57:C68)</f>
        <v>0.4</v>
      </c>
      <c r="G38" s="171">
        <f>ROUND(IF(E2="工业",C38*$M$42,C38*$M$41),0)</f>
        <v>3286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9857</v>
      </c>
      <c r="D39" s="2096"/>
      <c r="E39" s="171">
        <f t="shared" si="4"/>
        <v>0</v>
      </c>
      <c r="F39" s="171">
        <f>SUMIF(修正!A57:A68,G2,修正!D57:D68)</f>
        <v>0.3</v>
      </c>
      <c r="G39" s="171">
        <f>ROUND(IF(E2="工业",C39*$M$42,C39*$M$41),0)</f>
        <v>2464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9857</v>
      </c>
      <c r="D40" s="2096"/>
      <c r="E40" s="171">
        <f t="shared" si="4"/>
        <v>0</v>
      </c>
      <c r="F40" s="175">
        <f>SUMIF(修正!A57:A68,G2,修正!E57:E68)</f>
        <v>0.3</v>
      </c>
      <c r="G40" s="171">
        <f>ROUND(IF(E2="工业",C40*$M$42,C40*$M$41),0)</f>
        <v>2464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3440</v>
      </c>
      <c r="D61" s="1063">
        <f t="shared" ref="D61:D69" si="12">SUMIF($J$60:$N$60,C61,J61:N61)</f>
        <v>2.4199999999999999E-2</v>
      </c>
      <c r="E61" s="742">
        <f>ROUND(SUM(D61:D69),4)</f>
        <v>7.7200000000000005E-2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3440</v>
      </c>
      <c r="D62" s="1063">
        <f t="shared" si="12"/>
        <v>2.52E-2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3440</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551</v>
      </c>
      <c r="C2" s="1385" t="s">
        <v>805</v>
      </c>
      <c r="D2" s="1385"/>
      <c r="E2" s="1386"/>
      <c r="F2" s="1387"/>
      <c r="G2" s="2704"/>
      <c r="H2" s="2693"/>
      <c r="I2" s="2693"/>
      <c r="J2" s="2693"/>
      <c r="K2" s="2694"/>
      <c r="L2" s="2693"/>
      <c r="M2" s="2693"/>
    </row>
    <row r="3" spans="1:37" ht="18" customHeight="1" thickBot="1">
      <c r="A3" s="1388" t="s">
        <v>806</v>
      </c>
      <c r="B3" s="1389">
        <f ca="1">IF(ISERROR(B2*10000/F43),0,ROUND(B2*10000/F43,0))</f>
        <v>31291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38</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38</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v>
      </c>
      <c r="D14" s="1343" t="s">
        <v>708</v>
      </c>
      <c r="E14" s="1340"/>
      <c r="F14" s="319"/>
      <c r="G14" s="1382"/>
      <c r="H14" s="980" t="s">
        <v>398</v>
      </c>
      <c r="I14" s="302" t="s">
        <v>709</v>
      </c>
      <c r="J14" s="21">
        <f ca="1">C29</f>
        <v>102</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4</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1.53</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6.37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2.0299999999999998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4.34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1.53</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546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31007</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102</v>
      </c>
      <c r="R49" s="1418" t="s">
        <v>818</v>
      </c>
    </row>
    <row r="50" spans="1:18" s="1382" customFormat="1" ht="13.5" thickBot="1">
      <c r="A50" s="974"/>
      <c r="B50" s="977"/>
      <c r="C50" s="1116"/>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455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551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82</v>
      </c>
      <c r="D56" s="1445"/>
      <c r="E56" s="1446"/>
      <c r="F56" s="1438"/>
      <c r="I56" s="1447" t="s">
        <v>842</v>
      </c>
      <c r="J56" s="1448" t="s">
        <v>3393</v>
      </c>
      <c r="K56" s="1419" t="s">
        <v>843</v>
      </c>
      <c r="L56" s="1422" t="str">
        <f ca="1">IF(L48&lt;J51,"——",L48-J53)</f>
        <v>——</v>
      </c>
      <c r="O56" s="1416" t="s">
        <v>403</v>
      </c>
      <c r="P56" s="1417" t="s">
        <v>817</v>
      </c>
      <c r="Q56" s="1418">
        <f ca="1">C40+J29</f>
        <v>546</v>
      </c>
      <c r="R56" s="1418" t="s">
        <v>818</v>
      </c>
    </row>
    <row r="57" spans="1:18" s="1382" customFormat="1" ht="24.75" thickBot="1">
      <c r="A57" s="1449"/>
      <c r="B57" s="948" t="s">
        <v>767</v>
      </c>
      <c r="C57" s="238">
        <f ca="1">C29</f>
        <v>102</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546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455</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24</v>
      </c>
      <c r="R68" s="1418" t="s">
        <v>414</v>
      </c>
    </row>
    <row r="69" spans="1:18" s="1382" customFormat="1" ht="13.5" thickBot="1">
      <c r="A69" s="949"/>
      <c r="B69" s="950"/>
      <c r="C69" s="306"/>
      <c r="D69" s="968" t="s">
        <v>762</v>
      </c>
      <c r="E69" s="948" t="s">
        <v>763</v>
      </c>
      <c r="F69" s="333">
        <f ca="1">F41</f>
        <v>30.01</v>
      </c>
      <c r="O69" s="1426" t="s">
        <v>411</v>
      </c>
      <c r="P69" s="1465" t="s">
        <v>872</v>
      </c>
      <c r="Q69" s="1418">
        <f ca="1">C39</f>
        <v>30</v>
      </c>
      <c r="R69" s="1418" t="s">
        <v>818</v>
      </c>
    </row>
    <row r="70" spans="1:18" s="1382" customFormat="1" ht="13.5" thickBot="1">
      <c r="A70" s="952"/>
      <c r="B70" s="953"/>
      <c r="C70" s="310"/>
      <c r="D70" s="964"/>
      <c r="E70" s="948" t="s">
        <v>766</v>
      </c>
      <c r="F70" s="1052"/>
      <c r="O70" s="1426" t="s">
        <v>412</v>
      </c>
      <c r="P70" s="1465" t="s">
        <v>873</v>
      </c>
      <c r="Q70" s="1418">
        <f ca="1">C13</f>
        <v>82</v>
      </c>
      <c r="R70" s="1418" t="s">
        <v>818</v>
      </c>
    </row>
    <row r="71" spans="1:18" s="1382" customFormat="1" ht="13.5" thickBot="1">
      <c r="A71" s="969" t="s">
        <v>396</v>
      </c>
      <c r="B71" s="970" t="s">
        <v>776</v>
      </c>
      <c r="C71" s="336">
        <f ca="1">ROUND(C68*10000/F71,0)</f>
        <v>-1647</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538.19029999999998</v>
      </c>
      <c r="C2" s="1385" t="s">
        <v>879</v>
      </c>
      <c r="D2" s="1469">
        <f ca="1">C40+J29+L46</f>
        <v>5381903</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376466</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375996</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470</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807666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704360</v>
      </c>
      <c r="D14" s="1343" t="s">
        <v>708</v>
      </c>
      <c r="E14" s="1340"/>
      <c r="F14" s="319"/>
      <c r="G14" s="1382"/>
      <c r="H14" s="980" t="s">
        <v>398</v>
      </c>
      <c r="I14" s="302" t="s">
        <v>709</v>
      </c>
      <c r="J14" s="21">
        <f ca="1">C29</f>
        <v>1009583</v>
      </c>
      <c r="K14" s="12"/>
      <c r="L14" s="805"/>
      <c r="M14" s="806"/>
    </row>
    <row r="15" spans="1:37" s="1395" customFormat="1" ht="18" customHeight="1" thickBot="1">
      <c r="A15" s="980" t="s">
        <v>399</v>
      </c>
      <c r="B15" s="302" t="s">
        <v>710</v>
      </c>
      <c r="C15" s="21">
        <f ca="1">ROUND(C14*F15,0)</f>
        <v>21131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15144</v>
      </c>
      <c r="K16" s="1085" t="s">
        <v>715</v>
      </c>
      <c r="L16" s="1086"/>
      <c r="M16" s="1070"/>
    </row>
    <row r="17" spans="1:37" s="1395" customFormat="1" ht="18" customHeight="1">
      <c r="A17" s="980" t="s">
        <v>681</v>
      </c>
      <c r="B17" s="302" t="s">
        <v>716</v>
      </c>
      <c r="C17" s="21">
        <f ca="1">ROUND(F17*(F43+INDIRECT("'数据-取费表'!S"&amp;$G$1)),0)</f>
        <v>35218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10565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771274</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15425</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15144</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27141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-15144</v>
      </c>
      <c r="K25" s="1093" t="s">
        <v>753</v>
      </c>
      <c r="L25" s="1094"/>
      <c r="M25" s="1095"/>
    </row>
    <row r="26" spans="1:37" ht="18" customHeight="1">
      <c r="A26" s="980" t="s">
        <v>397</v>
      </c>
      <c r="B26" s="302" t="s">
        <v>754</v>
      </c>
      <c r="C26" s="21">
        <f ca="1">ROUND((C19+C20)*F26,0)</f>
        <v>118005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1009583</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83144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63024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20053</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42971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15144</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1211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3765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293322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5335810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-557.35410000000002</v>
      </c>
      <c r="D45" s="3430" t="s">
        <v>3357</v>
      </c>
      <c r="E45" s="1398"/>
      <c r="F45" s="1398"/>
      <c r="O45" s="1401" t="s">
        <v>808</v>
      </c>
      <c r="P45" s="1459"/>
      <c r="Q45" s="1459"/>
      <c r="R45" s="1459"/>
    </row>
    <row r="46" spans="1:18" s="1382" customFormat="1" ht="13.5" thickBot="1">
      <c r="A46" s="1402" t="s">
        <v>809</v>
      </c>
      <c r="C46" s="1403">
        <f ca="1">ROUND(C45,0)</f>
        <v>-557</v>
      </c>
      <c r="D46" s="1404" t="str">
        <f>C2</f>
        <v>万元</v>
      </c>
      <c r="I46" s="1405" t="s">
        <v>810</v>
      </c>
      <c r="J46" s="1406"/>
      <c r="K46" s="1407"/>
      <c r="L46" s="1408">
        <f ca="1">IF(M47="住宅",0,IF(L48&gt;J51,L60,J60))</f>
        <v>46093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5335810</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46093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1009583</v>
      </c>
      <c r="R49" s="1418" t="s">
        <v>818</v>
      </c>
    </row>
    <row r="50" spans="1:18" s="1382" customFormat="1" ht="13.5" thickBot="1">
      <c r="A50" s="974"/>
      <c r="B50" s="977"/>
      <c r="C50" s="978"/>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4125561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5381903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807666</v>
      </c>
      <c r="D56" s="1445"/>
      <c r="E56" s="1446"/>
      <c r="F56" s="1438"/>
      <c r="I56" s="1447" t="s">
        <v>842</v>
      </c>
      <c r="J56" s="1448" t="s">
        <v>3393</v>
      </c>
      <c r="K56" s="1419" t="s">
        <v>843</v>
      </c>
      <c r="L56" s="1422" t="str">
        <f ca="1">IF(L48&lt;J51,"——",L48-J51)</f>
        <v>——</v>
      </c>
      <c r="O56" s="1416" t="s">
        <v>403</v>
      </c>
      <c r="P56" s="1417" t="s">
        <v>817</v>
      </c>
      <c r="Q56" s="1418">
        <f ca="1">C40+J29</f>
        <v>5335810</v>
      </c>
      <c r="R56" s="1418" t="s">
        <v>818</v>
      </c>
    </row>
    <row r="57" spans="1:18" s="1382" customFormat="1" ht="24.75" thickBot="1">
      <c r="A57" s="1449"/>
      <c r="B57" s="948" t="s">
        <v>767</v>
      </c>
      <c r="C57" s="238">
        <f ca="1">C29</f>
        <v>1009583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403833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46093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5335810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15144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1211</v>
      </c>
      <c r="D65" s="962" t="s">
        <v>743</v>
      </c>
      <c r="E65" s="948" t="s">
        <v>744</v>
      </c>
      <c r="F65" s="330">
        <f t="shared" ca="1" si="0"/>
        <v>1.5E-3</v>
      </c>
      <c r="I65" s="1460" t="s">
        <v>867</v>
      </c>
      <c r="J65" s="1461">
        <v>40</v>
      </c>
      <c r="K65" s="1461">
        <v>30</v>
      </c>
      <c r="L65" s="1461">
        <v>50</v>
      </c>
      <c r="M65" s="1463">
        <v>0.02</v>
      </c>
      <c r="O65" s="1416" t="s">
        <v>403</v>
      </c>
      <c r="P65" s="1417" t="s">
        <v>868</v>
      </c>
      <c r="Q65" s="1418">
        <f ca="1">C40+J29</f>
        <v>5335810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-16355</v>
      </c>
      <c r="D67" s="961" t="s">
        <v>753</v>
      </c>
      <c r="E67" s="966"/>
      <c r="F67" s="967"/>
      <c r="O67" s="1426" t="s">
        <v>405</v>
      </c>
      <c r="P67" s="1417" t="s">
        <v>850</v>
      </c>
      <c r="Q67" s="1464">
        <f ca="1">L51</f>
        <v>4125561</v>
      </c>
      <c r="R67" s="1418" t="s">
        <v>870</v>
      </c>
    </row>
    <row r="68" spans="1:18" s="1382" customFormat="1" ht="16.5" thickBot="1">
      <c r="A68" s="945" t="s">
        <v>395</v>
      </c>
      <c r="B68" s="946" t="s">
        <v>774</v>
      </c>
      <c r="C68" s="301">
        <f ca="1">ROUND(C67*(1-((1+F70)/(1+F68))^F69)/(F68-F70),0)</f>
        <v>-237731</v>
      </c>
      <c r="D68" s="963" t="s">
        <v>758</v>
      </c>
      <c r="E68" s="948" t="s">
        <v>759</v>
      </c>
      <c r="F68" s="312">
        <f ca="1">F40</f>
        <v>5.5E-2</v>
      </c>
      <c r="O68" s="1426" t="s">
        <v>406</v>
      </c>
      <c r="P68" s="1465" t="s">
        <v>871</v>
      </c>
      <c r="Q68" s="1418">
        <f ca="1">ROUND(Q69-Q70*Q71,0)</f>
        <v>236785</v>
      </c>
      <c r="R68" s="1418" t="s">
        <v>414</v>
      </c>
    </row>
    <row r="69" spans="1:18" s="1382" customFormat="1" ht="13.5" thickBot="1">
      <c r="A69" s="949"/>
      <c r="B69" s="950"/>
      <c r="C69" s="306"/>
      <c r="D69" s="968" t="s">
        <v>762</v>
      </c>
      <c r="E69" s="948" t="s">
        <v>763</v>
      </c>
      <c r="F69" s="333">
        <f ca="1">F41</f>
        <v>30.01</v>
      </c>
      <c r="O69" s="1426" t="s">
        <v>411</v>
      </c>
      <c r="P69" s="1465" t="s">
        <v>872</v>
      </c>
      <c r="Q69" s="1418">
        <f ca="1">C39</f>
        <v>293322</v>
      </c>
      <c r="R69" s="1418" t="s">
        <v>818</v>
      </c>
    </row>
    <row r="70" spans="1:18" s="1382" customFormat="1" ht="13.5" thickBot="1">
      <c r="A70" s="952"/>
      <c r="B70" s="953"/>
      <c r="C70" s="310"/>
      <c r="D70" s="964"/>
      <c r="E70" s="948" t="s">
        <v>766</v>
      </c>
      <c r="F70" s="1052"/>
      <c r="O70" s="1426" t="s">
        <v>412</v>
      </c>
      <c r="P70" s="1465" t="s">
        <v>873</v>
      </c>
      <c r="Q70" s="1418">
        <f ca="1">C13</f>
        <v>807666</v>
      </c>
      <c r="R70" s="1418" t="s">
        <v>818</v>
      </c>
    </row>
    <row r="71" spans="1:18" s="1382" customFormat="1" ht="13.5" thickBot="1">
      <c r="A71" s="969" t="s">
        <v>396</v>
      </c>
      <c r="B71" s="970" t="s">
        <v>776</v>
      </c>
      <c r="C71" s="336">
        <f ca="1">ROUND(C68/F71,0)</f>
        <v>-1350</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56537</v>
      </c>
      <c r="D75" s="1382"/>
      <c r="E75" s="1382"/>
      <c r="F75" s="1382"/>
      <c r="K75" s="1400"/>
      <c r="L75" s="1382"/>
      <c r="O75" s="1416" t="s">
        <v>409</v>
      </c>
      <c r="P75" s="1417" t="s">
        <v>838</v>
      </c>
      <c r="Q75" s="1418">
        <f ca="1">Q65+Q66</f>
        <v>5335810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41" t="s">
        <v>2320</v>
      </c>
      <c r="K2" s="374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43" t="s">
        <v>2330</v>
      </c>
      <c r="K3" s="374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43" t="s">
        <v>2332</v>
      </c>
      <c r="K4" s="374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49" t="s">
        <v>2336</v>
      </c>
      <c r="B6" s="3750"/>
      <c r="C6" s="3751"/>
      <c r="D6" s="2868"/>
      <c r="E6" s="2869"/>
      <c r="F6" s="2870"/>
      <c r="G6" s="2871"/>
      <c r="H6" s="2846"/>
      <c r="I6" s="2847"/>
      <c r="J6" s="3735">
        <v>1</v>
      </c>
      <c r="K6" s="373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35"/>
      <c r="K7" s="373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52" t="s">
        <v>2350</v>
      </c>
      <c r="C8" s="3753"/>
      <c r="D8" s="2887" t="s">
        <v>2351</v>
      </c>
      <c r="E8" s="2888" t="s">
        <v>2352</v>
      </c>
      <c r="F8" s="2889" t="s">
        <v>2353</v>
      </c>
      <c r="G8" s="2890"/>
      <c r="H8" s="2846"/>
      <c r="I8" s="2847"/>
      <c r="J8" s="3735"/>
      <c r="K8" s="373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52" t="s">
        <v>2356</v>
      </c>
      <c r="C9" s="3753"/>
      <c r="D9" s="2887">
        <f>ROUND(D6*E9,0)</f>
        <v>0</v>
      </c>
      <c r="E9" s="2891"/>
      <c r="F9" s="2892" t="s">
        <v>2357</v>
      </c>
      <c r="G9" s="2871"/>
      <c r="H9" s="2846"/>
      <c r="I9" s="2847"/>
      <c r="J9" s="3735"/>
      <c r="K9" s="3737"/>
      <c r="L9" s="2881" t="s">
        <v>2358</v>
      </c>
      <c r="M9" s="2882"/>
      <c r="N9" s="2858"/>
      <c r="O9" s="2883"/>
      <c r="P9" s="2883"/>
      <c r="Q9" s="2884">
        <v>365</v>
      </c>
      <c r="R9" s="2885">
        <f t="shared" si="0"/>
        <v>0</v>
      </c>
      <c r="S9" s="2839"/>
      <c r="T9" s="2839"/>
      <c r="U9" s="2839"/>
      <c r="V9" s="2847"/>
    </row>
    <row r="10" spans="1:22" s="2851" customFormat="1" ht="13.15" customHeight="1">
      <c r="A10" s="2886">
        <v>2</v>
      </c>
      <c r="B10" s="3752" t="s">
        <v>2359</v>
      </c>
      <c r="C10" s="3753"/>
      <c r="D10" s="2887">
        <f>ROUND(D6*E10,0)</f>
        <v>0</v>
      </c>
      <c r="E10" s="2891"/>
      <c r="F10" s="2892" t="s">
        <v>2360</v>
      </c>
      <c r="G10" s="2871"/>
      <c r="H10" s="2846"/>
      <c r="I10" s="2847"/>
      <c r="J10" s="3735"/>
      <c r="K10" s="3737"/>
      <c r="L10" s="2881" t="s">
        <v>2361</v>
      </c>
      <c r="M10" s="2882"/>
      <c r="N10" s="2858"/>
      <c r="O10" s="2883"/>
      <c r="P10" s="2883"/>
      <c r="Q10" s="2884">
        <v>365</v>
      </c>
      <c r="R10" s="2885">
        <f t="shared" si="0"/>
        <v>0</v>
      </c>
      <c r="S10" s="2839"/>
      <c r="T10" s="2839"/>
      <c r="U10" s="2839"/>
      <c r="V10" s="2847"/>
    </row>
    <row r="11" spans="1:22" s="2851" customFormat="1" ht="13.15" customHeight="1">
      <c r="A11" s="2886">
        <v>3</v>
      </c>
      <c r="B11" s="3752" t="s">
        <v>2362</v>
      </c>
      <c r="C11" s="3753"/>
      <c r="D11" s="2887">
        <f>D12+D14+D15+D16</f>
        <v>0</v>
      </c>
      <c r="E11" s="2893" t="e">
        <f>D11/D6</f>
        <v>#DIV/0!</v>
      </c>
      <c r="F11" s="2889"/>
      <c r="G11" s="2890"/>
      <c r="H11" s="2846"/>
      <c r="I11" s="2847"/>
      <c r="J11" s="3735"/>
      <c r="K11" s="373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5" t="s">
        <v>2365</v>
      </c>
      <c r="C12" s="3746"/>
      <c r="D12" s="2895">
        <f>ROUND(D13*1.2%*(1-30%),0)</f>
        <v>0</v>
      </c>
      <c r="E12" s="2896">
        <v>1.2E-2</v>
      </c>
      <c r="F12" s="2889" t="s">
        <v>2366</v>
      </c>
      <c r="G12" s="2890"/>
      <c r="H12" s="2846"/>
      <c r="I12" s="2847"/>
      <c r="J12" s="3735"/>
      <c r="K12" s="373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35"/>
      <c r="K13" s="373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5" t="s">
        <v>2371</v>
      </c>
      <c r="C14" s="3746"/>
      <c r="D14" s="2895">
        <f>ROUND(E14*B5/10000,0)</f>
        <v>0</v>
      </c>
      <c r="E14" s="2884"/>
      <c r="F14" s="2889" t="s">
        <v>2372</v>
      </c>
      <c r="G14" s="2890"/>
      <c r="H14" s="2846"/>
      <c r="I14" s="2847"/>
      <c r="J14" s="3735"/>
      <c r="K14" s="373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5" t="s">
        <v>2375</v>
      </c>
      <c r="C15" s="3746"/>
      <c r="D15" s="2895">
        <f>ROUND(D6*E15,0)</f>
        <v>0</v>
      </c>
      <c r="E15" s="2896">
        <v>5.5E-2</v>
      </c>
      <c r="F15" s="2889" t="s">
        <v>2376</v>
      </c>
      <c r="G15" s="2871"/>
      <c r="H15" s="2846"/>
      <c r="I15" s="2847"/>
      <c r="J15" s="3735">
        <v>2</v>
      </c>
      <c r="K15" s="373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5" t="s">
        <v>2384</v>
      </c>
      <c r="C16" s="3746"/>
      <c r="D16" s="2906">
        <f>D6*E16</f>
        <v>0</v>
      </c>
      <c r="E16" s="2907"/>
      <c r="F16" s="2892" t="s">
        <v>2385</v>
      </c>
      <c r="G16" s="2871"/>
      <c r="H16" s="2846"/>
      <c r="I16" s="2847"/>
      <c r="J16" s="3735"/>
      <c r="K16" s="373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47" t="s">
        <v>2387</v>
      </c>
      <c r="C17" s="3748"/>
      <c r="D17" s="2909">
        <f>ROUND(D6*E17,0)</f>
        <v>0</v>
      </c>
      <c r="E17" s="2910"/>
      <c r="F17" s="2911" t="s">
        <v>2388</v>
      </c>
      <c r="G17" s="2871"/>
      <c r="H17" s="2846"/>
      <c r="I17" s="2847"/>
      <c r="J17" s="3735"/>
      <c r="K17" s="373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35"/>
      <c r="K18" s="373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35"/>
      <c r="K19" s="373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5">
        <v>3</v>
      </c>
      <c r="K20" s="373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35"/>
      <c r="K21" s="373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35"/>
      <c r="K22" s="373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35"/>
      <c r="K23" s="373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35"/>
      <c r="K24" s="373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3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4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41" t="s">
        <v>2320</v>
      </c>
      <c r="K32" s="374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43" t="s">
        <v>2330</v>
      </c>
      <c r="K33" s="374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43" t="s">
        <v>2332</v>
      </c>
      <c r="K34" s="374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35">
        <v>1</v>
      </c>
      <c r="K36" s="373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35"/>
      <c r="K37" s="373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5"/>
      <c r="K38" s="373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35"/>
      <c r="K39" s="373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35"/>
      <c r="K40" s="373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4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538.19029999999998</v>
      </c>
      <c r="C2" s="1870" t="s">
        <v>1651</v>
      </c>
      <c r="D2" s="1871" t="s">
        <v>1652</v>
      </c>
      <c r="E2" s="2605">
        <f>SUM(E6:E13)</f>
        <v>176.09</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538.19029999999998</v>
      </c>
      <c r="C6" s="1870" t="s">
        <v>1651</v>
      </c>
      <c r="D6" s="2707"/>
      <c r="E6" s="2604">
        <f>IF(OR(A6=0,F6="否"),0,'数据-取费表'!K6+'数据-取费表'!S6)</f>
        <v>176.09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估价对象为北京市东城区东四十条甲22号1号楼房地产，为所有。根据《国有土地使用证》[]，估价对象（分摊）出让国有建设用地使用权面积为0平方米，建筑面积为176.09平方米。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176.09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176.09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98" t="s">
        <v>1672</v>
      </c>
      <c r="Q4" s="3699"/>
      <c r="R4" s="3702" t="s">
        <v>1668</v>
      </c>
      <c r="S4" s="3703"/>
      <c r="T4" s="3702" t="s">
        <v>1669</v>
      </c>
      <c r="U4" s="3703"/>
      <c r="V4" s="3677" t="s">
        <v>1670</v>
      </c>
      <c r="W4" s="3677"/>
      <c r="X4" s="1353"/>
      <c r="Y4" s="3702" t="s">
        <v>1672</v>
      </c>
      <c r="Z4" s="3703"/>
      <c r="AA4" s="3697" t="s">
        <v>1668</v>
      </c>
      <c r="AB4" s="3697" t="s">
        <v>1669</v>
      </c>
      <c r="AC4" s="3697" t="s">
        <v>1670</v>
      </c>
    </row>
    <row r="5" spans="1:29" ht="15">
      <c r="A5" s="358"/>
      <c r="B5" s="359"/>
      <c r="C5" s="3680" t="s">
        <v>1673</v>
      </c>
      <c r="D5" s="3681"/>
      <c r="E5" s="3691" t="s">
        <v>1674</v>
      </c>
      <c r="F5" s="3692"/>
      <c r="G5" s="3680" t="s">
        <v>1675</v>
      </c>
      <c r="H5" s="3681"/>
      <c r="I5" s="3680" t="s">
        <v>1676</v>
      </c>
      <c r="J5" s="3681"/>
      <c r="K5" s="1888"/>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1888"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4" t="s">
        <v>1680</v>
      </c>
      <c r="Q7" s="3685"/>
      <c r="R7" s="699" t="s">
        <v>20</v>
      </c>
      <c r="S7" s="700">
        <f t="shared" ref="S7:S15" si="0">F7</f>
        <v>0</v>
      </c>
      <c r="T7" s="699" t="s">
        <v>20</v>
      </c>
      <c r="U7" s="700">
        <f t="shared" ref="U7:U15" si="1">H7</f>
        <v>0</v>
      </c>
      <c r="V7" s="699" t="s">
        <v>20</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4" t="s">
        <v>1683</v>
      </c>
      <c r="Q8" s="3683"/>
      <c r="R8" s="699" t="s">
        <v>20</v>
      </c>
      <c r="S8" s="700">
        <f t="shared" si="0"/>
        <v>100</v>
      </c>
      <c r="T8" s="699" t="s">
        <v>20</v>
      </c>
      <c r="U8" s="700">
        <f t="shared" si="1"/>
        <v>100</v>
      </c>
      <c r="V8" s="699" t="s">
        <v>20</v>
      </c>
      <c r="W8" s="700">
        <f t="shared" si="2"/>
        <v>100</v>
      </c>
      <c r="X8" s="701"/>
      <c r="Y8" s="3684" t="s">
        <v>1683</v>
      </c>
      <c r="Z8" s="368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4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4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4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4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48" t="s">
        <v>1691</v>
      </c>
      <c r="Q15" s="1350" t="str">
        <f t="shared" si="6"/>
        <v>居住社区成熟度</v>
      </c>
      <c r="R15" s="703" t="s">
        <v>18</v>
      </c>
      <c r="S15" s="704">
        <f t="shared" si="0"/>
        <v>100</v>
      </c>
      <c r="T15" s="703" t="s">
        <v>18</v>
      </c>
      <c r="U15" s="704">
        <f t="shared" si="1"/>
        <v>100</v>
      </c>
      <c r="V15" s="703" t="s">
        <v>18</v>
      </c>
      <c r="W15" s="704">
        <f t="shared" si="2"/>
        <v>100</v>
      </c>
      <c r="X15" s="1353"/>
      <c r="Y15" s="365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49"/>
      <c r="Q16" s="1350"/>
      <c r="R16" s="703"/>
      <c r="S16" s="704"/>
      <c r="T16" s="703"/>
      <c r="U16" s="704"/>
      <c r="V16" s="703"/>
      <c r="W16" s="704"/>
      <c r="X16" s="1353"/>
      <c r="Y16" s="365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49"/>
      <c r="Q17" s="1350" t="str">
        <f>B17</f>
        <v>交通便捷度</v>
      </c>
      <c r="R17" s="703" t="s">
        <v>18</v>
      </c>
      <c r="S17" s="704">
        <f>F17</f>
        <v>100</v>
      </c>
      <c r="T17" s="703" t="s">
        <v>18</v>
      </c>
      <c r="U17" s="704">
        <f>H17</f>
        <v>100</v>
      </c>
      <c r="V17" s="703" t="s">
        <v>18</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49"/>
      <c r="Q19" s="1350" t="str">
        <f>B19</f>
        <v>公共配套设施</v>
      </c>
      <c r="R19" s="703" t="s">
        <v>18</v>
      </c>
      <c r="S19" s="704">
        <f>F19</f>
        <v>100</v>
      </c>
      <c r="T19" s="703" t="s">
        <v>18</v>
      </c>
      <c r="U19" s="704">
        <f>H19</f>
        <v>100</v>
      </c>
      <c r="V19" s="703" t="s">
        <v>18</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49"/>
      <c r="Q22" s="1350"/>
      <c r="R22" s="703"/>
      <c r="S22" s="704"/>
      <c r="T22" s="703"/>
      <c r="U22" s="704"/>
      <c r="V22" s="703"/>
      <c r="W22" s="704"/>
      <c r="X22" s="1353"/>
      <c r="Y22" s="365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49"/>
      <c r="Q23" s="1350" t="str">
        <f>B23</f>
        <v>自然及人文环境</v>
      </c>
      <c r="R23" s="703" t="s">
        <v>18</v>
      </c>
      <c r="S23" s="704">
        <f>F23</f>
        <v>100</v>
      </c>
      <c r="T23" s="703" t="s">
        <v>18</v>
      </c>
      <c r="U23" s="704">
        <f>H23</f>
        <v>100</v>
      </c>
      <c r="V23" s="703" t="s">
        <v>18</v>
      </c>
      <c r="W23" s="704">
        <f>J23</f>
        <v>100</v>
      </c>
      <c r="X23" s="1353"/>
      <c r="Y23" s="365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4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49"/>
      <c r="Q26" s="1350" t="str">
        <f t="shared" si="11"/>
        <v>朝向</v>
      </c>
      <c r="R26" s="703" t="s">
        <v>18</v>
      </c>
      <c r="S26" s="704">
        <f t="shared" si="12"/>
        <v>100</v>
      </c>
      <c r="T26" s="703" t="s">
        <v>18</v>
      </c>
      <c r="U26" s="704">
        <f t="shared" si="13"/>
        <v>100</v>
      </c>
      <c r="V26" s="703" t="s">
        <v>18</v>
      </c>
      <c r="W26" s="704">
        <f t="shared" si="14"/>
        <v>100</v>
      </c>
      <c r="X26" s="1353"/>
      <c r="Y26" s="365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49"/>
      <c r="Q27" s="1341">
        <f t="shared" si="11"/>
        <v>111</v>
      </c>
      <c r="R27" s="699" t="s">
        <v>18</v>
      </c>
      <c r="S27" s="700">
        <f t="shared" si="12"/>
        <v>100</v>
      </c>
      <c r="T27" s="699" t="s">
        <v>18</v>
      </c>
      <c r="U27" s="700">
        <f t="shared" si="13"/>
        <v>100</v>
      </c>
      <c r="V27" s="699" t="s">
        <v>18</v>
      </c>
      <c r="W27" s="700">
        <f t="shared" si="14"/>
        <v>100</v>
      </c>
      <c r="X27" s="701"/>
      <c r="Y27" s="365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49"/>
      <c r="Q28" s="1350">
        <f t="shared" si="11"/>
        <v>111</v>
      </c>
      <c r="R28" s="703" t="s">
        <v>18</v>
      </c>
      <c r="S28" s="704">
        <f t="shared" si="12"/>
        <v>100</v>
      </c>
      <c r="T28" s="703" t="s">
        <v>18</v>
      </c>
      <c r="U28" s="704">
        <f t="shared" si="13"/>
        <v>100</v>
      </c>
      <c r="V28" s="703" t="s">
        <v>18</v>
      </c>
      <c r="W28" s="704">
        <f t="shared" si="14"/>
        <v>100</v>
      </c>
      <c r="X28" s="1353"/>
      <c r="Y28" s="365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49"/>
      <c r="Q29" s="1350">
        <f t="shared" si="11"/>
        <v>111</v>
      </c>
      <c r="R29" s="703" t="s">
        <v>18</v>
      </c>
      <c r="S29" s="704">
        <f t="shared" si="12"/>
        <v>100</v>
      </c>
      <c r="T29" s="703" t="s">
        <v>18</v>
      </c>
      <c r="U29" s="704">
        <f t="shared" si="13"/>
        <v>100</v>
      </c>
      <c r="V29" s="703" t="s">
        <v>18</v>
      </c>
      <c r="W29" s="704">
        <f t="shared" si="14"/>
        <v>100</v>
      </c>
      <c r="X29" s="1353"/>
      <c r="Y29" s="365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49"/>
      <c r="Q30" s="1350">
        <f t="shared" si="11"/>
        <v>111</v>
      </c>
      <c r="R30" s="703" t="s">
        <v>18</v>
      </c>
      <c r="S30" s="704">
        <f t="shared" si="12"/>
        <v>100</v>
      </c>
      <c r="T30" s="703" t="s">
        <v>18</v>
      </c>
      <c r="U30" s="704">
        <f t="shared" si="13"/>
        <v>100</v>
      </c>
      <c r="V30" s="703" t="s">
        <v>18</v>
      </c>
      <c r="W30" s="704">
        <f t="shared" si="14"/>
        <v>100</v>
      </c>
      <c r="X30" s="1353"/>
      <c r="Y30" s="365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49"/>
      <c r="Q31" s="1350">
        <f t="shared" si="11"/>
        <v>111</v>
      </c>
      <c r="R31" s="703" t="s">
        <v>18</v>
      </c>
      <c r="S31" s="704">
        <f t="shared" si="12"/>
        <v>100</v>
      </c>
      <c r="T31" s="703" t="s">
        <v>18</v>
      </c>
      <c r="U31" s="704">
        <f t="shared" si="13"/>
        <v>100</v>
      </c>
      <c r="V31" s="703" t="s">
        <v>18</v>
      </c>
      <c r="W31" s="704">
        <f t="shared" si="14"/>
        <v>100</v>
      </c>
      <c r="X31" s="1353"/>
      <c r="Y31" s="365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2" t="s">
        <v>1696</v>
      </c>
      <c r="Q32" s="1350" t="str">
        <f t="shared" si="11"/>
        <v>建筑类型</v>
      </c>
      <c r="R32" s="703" t="s">
        <v>18</v>
      </c>
      <c r="S32" s="704">
        <f t="shared" si="12"/>
        <v>100</v>
      </c>
      <c r="T32" s="703" t="s">
        <v>18</v>
      </c>
      <c r="U32" s="704">
        <f t="shared" si="13"/>
        <v>100</v>
      </c>
      <c r="V32" s="703" t="s">
        <v>18</v>
      </c>
      <c r="W32" s="704">
        <f t="shared" si="14"/>
        <v>100</v>
      </c>
      <c r="X32" s="1353"/>
      <c r="Y32" s="365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3"/>
      <c r="Q33" s="705" t="str">
        <f t="shared" si="11"/>
        <v>项目建筑规模</v>
      </c>
      <c r="R33" s="706" t="s">
        <v>18</v>
      </c>
      <c r="S33" s="707" t="e">
        <f t="shared" si="12"/>
        <v>#N/A</v>
      </c>
      <c r="T33" s="706" t="s">
        <v>18</v>
      </c>
      <c r="U33" s="707" t="e">
        <f t="shared" si="13"/>
        <v>#N/A</v>
      </c>
      <c r="V33" s="706" t="s">
        <v>18</v>
      </c>
      <c r="W33" s="707" t="e">
        <f t="shared" si="14"/>
        <v>#N/A</v>
      </c>
      <c r="X33" s="708"/>
      <c r="Y33" s="365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3"/>
      <c r="Q34" s="1350" t="str">
        <f t="shared" si="11"/>
        <v>建筑结构</v>
      </c>
      <c r="R34" s="703" t="s">
        <v>18</v>
      </c>
      <c r="S34" s="704">
        <f t="shared" si="12"/>
        <v>100</v>
      </c>
      <c r="T34" s="703" t="s">
        <v>18</v>
      </c>
      <c r="U34" s="704">
        <f t="shared" si="13"/>
        <v>100</v>
      </c>
      <c r="V34" s="703" t="s">
        <v>18</v>
      </c>
      <c r="W34" s="704">
        <f t="shared" si="14"/>
        <v>100</v>
      </c>
      <c r="X34" s="1353"/>
      <c r="Y34" s="365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3"/>
      <c r="Q35" s="1350" t="str">
        <f t="shared" si="11"/>
        <v>建筑品质</v>
      </c>
      <c r="R35" s="703" t="s">
        <v>18</v>
      </c>
      <c r="S35" s="704">
        <f t="shared" si="12"/>
        <v>100</v>
      </c>
      <c r="T35" s="703" t="s">
        <v>18</v>
      </c>
      <c r="U35" s="704">
        <f t="shared" si="13"/>
        <v>100</v>
      </c>
      <c r="V35" s="703" t="s">
        <v>18</v>
      </c>
      <c r="W35" s="704">
        <f t="shared" si="14"/>
        <v>100</v>
      </c>
      <c r="X35" s="1353"/>
      <c r="Y35" s="365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3"/>
      <c r="Q36" s="1350" t="str">
        <f t="shared" si="11"/>
        <v>公共部分装修</v>
      </c>
      <c r="R36" s="703" t="s">
        <v>18</v>
      </c>
      <c r="S36" s="704">
        <f t="shared" si="12"/>
        <v>100</v>
      </c>
      <c r="T36" s="703" t="s">
        <v>18</v>
      </c>
      <c r="U36" s="704">
        <f t="shared" si="13"/>
        <v>100</v>
      </c>
      <c r="V36" s="703" t="s">
        <v>18</v>
      </c>
      <c r="W36" s="704">
        <f t="shared" si="14"/>
        <v>100</v>
      </c>
      <c r="X36" s="1353"/>
      <c r="Y36" s="365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3"/>
      <c r="Q37" s="1341" t="str">
        <f t="shared" si="11"/>
        <v>成新度</v>
      </c>
      <c r="R37" s="699" t="s">
        <v>18</v>
      </c>
      <c r="S37" s="700" t="e">
        <f t="shared" si="12"/>
        <v>#N/A</v>
      </c>
      <c r="T37" s="699" t="s">
        <v>18</v>
      </c>
      <c r="U37" s="700" t="e">
        <f t="shared" si="13"/>
        <v>#N/A</v>
      </c>
      <c r="V37" s="699" t="s">
        <v>18</v>
      </c>
      <c r="W37" s="700" t="e">
        <f t="shared" si="14"/>
        <v>#N/A</v>
      </c>
      <c r="X37" s="701"/>
      <c r="Y37" s="365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3" t="s">
        <v>1696</v>
      </c>
      <c r="Q38" s="1350" t="str">
        <f t="shared" si="11"/>
        <v>物业管理</v>
      </c>
      <c r="R38" s="703" t="s">
        <v>18</v>
      </c>
      <c r="S38" s="704">
        <f t="shared" si="12"/>
        <v>100</v>
      </c>
      <c r="T38" s="703" t="s">
        <v>18</v>
      </c>
      <c r="U38" s="704">
        <f t="shared" si="13"/>
        <v>100</v>
      </c>
      <c r="V38" s="703" t="s">
        <v>18</v>
      </c>
      <c r="W38" s="704">
        <f t="shared" si="14"/>
        <v>100</v>
      </c>
      <c r="X38" s="1353"/>
      <c r="Y38" s="365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3"/>
      <c r="Q39" s="1350" t="str">
        <f t="shared" si="11"/>
        <v>市政基础设施</v>
      </c>
      <c r="R39" s="703" t="s">
        <v>18</v>
      </c>
      <c r="S39" s="704">
        <f t="shared" si="12"/>
        <v>100</v>
      </c>
      <c r="T39" s="703" t="s">
        <v>18</v>
      </c>
      <c r="U39" s="704">
        <f t="shared" si="13"/>
        <v>100</v>
      </c>
      <c r="V39" s="703" t="s">
        <v>18</v>
      </c>
      <c r="W39" s="704">
        <f t="shared" si="14"/>
        <v>100</v>
      </c>
      <c r="X39" s="1353"/>
      <c r="Y39" s="365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3"/>
      <c r="Q40" s="1350" t="str">
        <f t="shared" si="11"/>
        <v>房型</v>
      </c>
      <c r="R40" s="703" t="s">
        <v>18</v>
      </c>
      <c r="S40" s="704">
        <f t="shared" si="12"/>
        <v>100</v>
      </c>
      <c r="T40" s="703" t="s">
        <v>18</v>
      </c>
      <c r="U40" s="704">
        <f t="shared" si="13"/>
        <v>100</v>
      </c>
      <c r="V40" s="703" t="s">
        <v>18</v>
      </c>
      <c r="W40" s="704">
        <f t="shared" si="14"/>
        <v>100</v>
      </c>
      <c r="X40" s="1353"/>
      <c r="Y40" s="365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3"/>
      <c r="Q41" s="705" t="str">
        <f t="shared" si="11"/>
        <v>单套/主力户型建筑面积</v>
      </c>
      <c r="R41" s="706" t="s">
        <v>18</v>
      </c>
      <c r="S41" s="707">
        <f t="shared" si="12"/>
        <v>100</v>
      </c>
      <c r="T41" s="706" t="s">
        <v>18</v>
      </c>
      <c r="U41" s="707">
        <f t="shared" si="13"/>
        <v>100</v>
      </c>
      <c r="V41" s="706" t="s">
        <v>18</v>
      </c>
      <c r="W41" s="707">
        <f t="shared" si="14"/>
        <v>100</v>
      </c>
      <c r="X41" s="708"/>
      <c r="Y41" s="365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3"/>
      <c r="Q42" s="1350" t="str">
        <f t="shared" si="11"/>
        <v>内部装修</v>
      </c>
      <c r="R42" s="703" t="s">
        <v>18</v>
      </c>
      <c r="S42" s="704">
        <f t="shared" si="12"/>
        <v>100</v>
      </c>
      <c r="T42" s="703" t="s">
        <v>18</v>
      </c>
      <c r="U42" s="704">
        <f t="shared" si="13"/>
        <v>100</v>
      </c>
      <c r="V42" s="703" t="s">
        <v>18</v>
      </c>
      <c r="W42" s="704">
        <f t="shared" si="14"/>
        <v>100</v>
      </c>
      <c r="X42" s="1353"/>
      <c r="Y42" s="365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3"/>
      <c r="Q43" s="1350" t="str">
        <f t="shared" si="11"/>
        <v>内部装修维护情况</v>
      </c>
      <c r="R43" s="703" t="s">
        <v>18</v>
      </c>
      <c r="S43" s="704">
        <f t="shared" si="12"/>
        <v>100</v>
      </c>
      <c r="T43" s="703" t="s">
        <v>18</v>
      </c>
      <c r="U43" s="704">
        <f t="shared" si="13"/>
        <v>100</v>
      </c>
      <c r="V43" s="703" t="s">
        <v>18</v>
      </c>
      <c r="W43" s="704">
        <f t="shared" si="14"/>
        <v>100</v>
      </c>
      <c r="X43" s="1353"/>
      <c r="Y43" s="365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3"/>
      <c r="Q44" s="1341">
        <f t="shared" si="11"/>
        <v>111</v>
      </c>
      <c r="R44" s="699" t="s">
        <v>18</v>
      </c>
      <c r="S44" s="700">
        <f t="shared" si="12"/>
        <v>100</v>
      </c>
      <c r="T44" s="699" t="s">
        <v>18</v>
      </c>
      <c r="U44" s="700">
        <f t="shared" si="13"/>
        <v>100</v>
      </c>
      <c r="V44" s="699" t="s">
        <v>18</v>
      </c>
      <c r="W44" s="700">
        <f t="shared" si="14"/>
        <v>100</v>
      </c>
      <c r="X44" s="701"/>
      <c r="Y44" s="365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3"/>
      <c r="Q45" s="1350">
        <f t="shared" si="11"/>
        <v>111</v>
      </c>
      <c r="R45" s="703" t="s">
        <v>18</v>
      </c>
      <c r="S45" s="704">
        <f t="shared" si="12"/>
        <v>100</v>
      </c>
      <c r="T45" s="703" t="s">
        <v>18</v>
      </c>
      <c r="U45" s="704">
        <f t="shared" si="13"/>
        <v>100</v>
      </c>
      <c r="V45" s="703" t="s">
        <v>18</v>
      </c>
      <c r="W45" s="704">
        <f t="shared" si="14"/>
        <v>100</v>
      </c>
      <c r="X45" s="1353"/>
      <c r="Y45" s="365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4"/>
      <c r="Q46" s="1350">
        <f t="shared" si="11"/>
        <v>111</v>
      </c>
      <c r="R46" s="703" t="s">
        <v>17</v>
      </c>
      <c r="S46" s="704">
        <f t="shared" si="12"/>
        <v>100</v>
      </c>
      <c r="T46" s="703" t="s">
        <v>17</v>
      </c>
      <c r="U46" s="704">
        <f t="shared" si="13"/>
        <v>100</v>
      </c>
      <c r="V46" s="703" t="s">
        <v>17</v>
      </c>
      <c r="W46" s="704">
        <f t="shared" si="14"/>
        <v>100</v>
      </c>
      <c r="X46" s="1353"/>
      <c r="Y46" s="365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3" t="str">
        <f>A47</f>
        <v>成交单价（元/平方米）</v>
      </c>
      <c r="Q47" s="3643"/>
      <c r="R47" s="3644">
        <f>E47</f>
        <v>0</v>
      </c>
      <c r="S47" s="3644"/>
      <c r="T47" s="3644">
        <f>G47</f>
        <v>0</v>
      </c>
      <c r="U47" s="3644"/>
      <c r="V47" s="3644">
        <f>I47</f>
        <v>0</v>
      </c>
      <c r="W47" s="364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176.09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77"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77"/>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77"/>
      <c r="AC6" s="3690"/>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4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4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4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4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4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4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48" t="s">
        <v>1691</v>
      </c>
      <c r="Q15" s="1350" t="str">
        <f t="shared" si="6"/>
        <v>商业繁华度</v>
      </c>
      <c r="R15" s="703" t="s">
        <v>14</v>
      </c>
      <c r="S15" s="704">
        <f t="shared" si="0"/>
        <v>100</v>
      </c>
      <c r="T15" s="703" t="s">
        <v>14</v>
      </c>
      <c r="U15" s="704">
        <f t="shared" si="1"/>
        <v>100</v>
      </c>
      <c r="V15" s="703" t="s">
        <v>14</v>
      </c>
      <c r="W15" s="704">
        <f t="shared" si="2"/>
        <v>100</v>
      </c>
      <c r="X15" s="1353"/>
      <c r="Y15" s="365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49"/>
      <c r="Q16" s="1350"/>
      <c r="R16" s="703"/>
      <c r="S16" s="704"/>
      <c r="T16" s="703"/>
      <c r="U16" s="704"/>
      <c r="V16" s="703"/>
      <c r="W16" s="704"/>
      <c r="X16" s="1353"/>
      <c r="Y16" s="365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49"/>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49"/>
      <c r="Q18" s="1350"/>
      <c r="R18" s="703"/>
      <c r="S18" s="704"/>
      <c r="T18" s="703"/>
      <c r="U18" s="704"/>
      <c r="V18" s="703"/>
      <c r="W18" s="704"/>
      <c r="X18" s="1353"/>
      <c r="Y18" s="365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49"/>
      <c r="Q19" s="1350" t="str">
        <f>B19</f>
        <v>公共配套设施</v>
      </c>
      <c r="R19" s="703" t="s">
        <v>14</v>
      </c>
      <c r="S19" s="704">
        <f>F19</f>
        <v>100</v>
      </c>
      <c r="T19" s="703" t="s">
        <v>14</v>
      </c>
      <c r="U19" s="704">
        <f>H19</f>
        <v>100</v>
      </c>
      <c r="V19" s="703" t="s">
        <v>14</v>
      </c>
      <c r="W19" s="704">
        <f>J19</f>
        <v>100</v>
      </c>
      <c r="X19" s="1353"/>
      <c r="Y19" s="365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49"/>
      <c r="Q20" s="1350"/>
      <c r="R20" s="703"/>
      <c r="S20" s="704"/>
      <c r="T20" s="703"/>
      <c r="U20" s="704"/>
      <c r="V20" s="703"/>
      <c r="W20" s="704"/>
      <c r="X20" s="1353"/>
      <c r="Y20" s="365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49"/>
      <c r="Q21" s="1350" t="str">
        <f>B21</f>
        <v>基础设施水平</v>
      </c>
      <c r="R21" s="703" t="s">
        <v>14</v>
      </c>
      <c r="S21" s="704">
        <f>F21</f>
        <v>100</v>
      </c>
      <c r="T21" s="703" t="s">
        <v>14</v>
      </c>
      <c r="U21" s="704">
        <f>H21</f>
        <v>100</v>
      </c>
      <c r="V21" s="703" t="s">
        <v>14</v>
      </c>
      <c r="W21" s="704">
        <f>J21</f>
        <v>100</v>
      </c>
      <c r="X21" s="1353"/>
      <c r="Y21" s="365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49"/>
      <c r="Q22" s="1350"/>
      <c r="R22" s="703"/>
      <c r="S22" s="704"/>
      <c r="T22" s="703"/>
      <c r="U22" s="704"/>
      <c r="V22" s="703"/>
      <c r="W22" s="704"/>
      <c r="X22" s="1353"/>
      <c r="Y22" s="365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49"/>
      <c r="Q23" s="1350" t="str">
        <f>B23</f>
        <v>自然及人文环境</v>
      </c>
      <c r="R23" s="703" t="s">
        <v>14</v>
      </c>
      <c r="S23" s="704">
        <f>F23</f>
        <v>100</v>
      </c>
      <c r="T23" s="703" t="s">
        <v>14</v>
      </c>
      <c r="U23" s="704">
        <f>H23</f>
        <v>100</v>
      </c>
      <c r="V23" s="703" t="s">
        <v>14</v>
      </c>
      <c r="W23" s="704">
        <f>J23</f>
        <v>100</v>
      </c>
      <c r="X23" s="1353"/>
      <c r="Y23" s="365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49"/>
      <c r="Q24" s="1350"/>
      <c r="R24" s="703"/>
      <c r="S24" s="704"/>
      <c r="T24" s="703"/>
      <c r="U24" s="704"/>
      <c r="V24" s="703"/>
      <c r="W24" s="704"/>
      <c r="X24" s="1353"/>
      <c r="Y24" s="365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49"/>
      <c r="Q25" s="1350" t="str">
        <f t="shared" ref="Q25:Q46" si="11">B25</f>
        <v>临街状况</v>
      </c>
      <c r="R25" s="703" t="s">
        <v>14</v>
      </c>
      <c r="S25" s="704">
        <f>F25</f>
        <v>100</v>
      </c>
      <c r="T25" s="703" t="s">
        <v>14</v>
      </c>
      <c r="U25" s="704">
        <f>H25</f>
        <v>100</v>
      </c>
      <c r="V25" s="703" t="s">
        <v>14</v>
      </c>
      <c r="W25" s="704">
        <f>J25</f>
        <v>100</v>
      </c>
      <c r="X25" s="1353"/>
      <c r="Y25" s="365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49"/>
      <c r="Q26" s="1350" t="str">
        <f t="shared" si="11"/>
        <v>平面位置/可视性</v>
      </c>
      <c r="R26" s="703" t="s">
        <v>14</v>
      </c>
      <c r="S26" s="704">
        <f>F26</f>
        <v>100</v>
      </c>
      <c r="T26" s="703" t="s">
        <v>14</v>
      </c>
      <c r="U26" s="704">
        <f>H26</f>
        <v>100</v>
      </c>
      <c r="V26" s="703" t="s">
        <v>14</v>
      </c>
      <c r="W26" s="704">
        <f>J26</f>
        <v>100</v>
      </c>
      <c r="X26" s="1353"/>
      <c r="Y26" s="365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49"/>
      <c r="Q27" s="1341" t="str">
        <f t="shared" si="11"/>
        <v>人流量</v>
      </c>
      <c r="R27" s="699" t="s">
        <v>14</v>
      </c>
      <c r="S27" s="700">
        <f>F27</f>
        <v>100</v>
      </c>
      <c r="T27" s="699" t="s">
        <v>14</v>
      </c>
      <c r="U27" s="700">
        <f>H27</f>
        <v>100</v>
      </c>
      <c r="V27" s="699" t="s">
        <v>14</v>
      </c>
      <c r="W27" s="700">
        <f>J27</f>
        <v>100</v>
      </c>
      <c r="X27" s="701"/>
      <c r="Y27" s="365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4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49"/>
      <c r="Q29" s="1350">
        <f t="shared" si="11"/>
        <v>111</v>
      </c>
      <c r="R29" s="703" t="s">
        <v>14</v>
      </c>
      <c r="S29" s="704">
        <f t="shared" si="12"/>
        <v>100</v>
      </c>
      <c r="T29" s="703" t="s">
        <v>14</v>
      </c>
      <c r="U29" s="704">
        <f t="shared" si="13"/>
        <v>100</v>
      </c>
      <c r="V29" s="703" t="s">
        <v>14</v>
      </c>
      <c r="W29" s="704">
        <f t="shared" si="14"/>
        <v>100</v>
      </c>
      <c r="X29" s="1353"/>
      <c r="Y29" s="365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49"/>
      <c r="Q30" s="1350">
        <f t="shared" si="11"/>
        <v>111</v>
      </c>
      <c r="R30" s="703" t="s">
        <v>14</v>
      </c>
      <c r="S30" s="704">
        <f t="shared" si="12"/>
        <v>100</v>
      </c>
      <c r="T30" s="703" t="s">
        <v>14</v>
      </c>
      <c r="U30" s="704">
        <f t="shared" si="13"/>
        <v>100</v>
      </c>
      <c r="V30" s="703" t="s">
        <v>14</v>
      </c>
      <c r="W30" s="704">
        <f t="shared" si="14"/>
        <v>100</v>
      </c>
      <c r="X30" s="1353"/>
      <c r="Y30" s="365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49"/>
      <c r="Q31" s="1350">
        <f t="shared" si="11"/>
        <v>111</v>
      </c>
      <c r="R31" s="703" t="s">
        <v>14</v>
      </c>
      <c r="S31" s="704">
        <f t="shared" si="12"/>
        <v>100</v>
      </c>
      <c r="T31" s="703" t="s">
        <v>14</v>
      </c>
      <c r="U31" s="704">
        <f t="shared" si="13"/>
        <v>100</v>
      </c>
      <c r="V31" s="703" t="s">
        <v>14</v>
      </c>
      <c r="W31" s="704">
        <f t="shared" si="14"/>
        <v>100</v>
      </c>
      <c r="X31" s="1353"/>
      <c r="Y31" s="365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52" t="s">
        <v>1696</v>
      </c>
      <c r="Q32" s="1350" t="str">
        <f t="shared" si="11"/>
        <v>商业类型</v>
      </c>
      <c r="R32" s="703" t="s">
        <v>14</v>
      </c>
      <c r="S32" s="704">
        <f t="shared" si="12"/>
        <v>100</v>
      </c>
      <c r="T32" s="703" t="s">
        <v>14</v>
      </c>
      <c r="U32" s="704">
        <f t="shared" si="13"/>
        <v>100</v>
      </c>
      <c r="V32" s="703" t="s">
        <v>14</v>
      </c>
      <c r="W32" s="704">
        <f t="shared" si="14"/>
        <v>100</v>
      </c>
      <c r="X32" s="1353"/>
      <c r="Y32" s="365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53"/>
      <c r="Q33" s="705" t="str">
        <f t="shared" si="11"/>
        <v>项目建筑规模</v>
      </c>
      <c r="R33" s="706" t="s">
        <v>14</v>
      </c>
      <c r="S33" s="707" t="e">
        <f t="shared" si="12"/>
        <v>#N/A</v>
      </c>
      <c r="T33" s="706" t="s">
        <v>14</v>
      </c>
      <c r="U33" s="707" t="e">
        <f t="shared" si="13"/>
        <v>#N/A</v>
      </c>
      <c r="V33" s="706" t="s">
        <v>14</v>
      </c>
      <c r="W33" s="707" t="e">
        <f t="shared" si="14"/>
        <v>#N/A</v>
      </c>
      <c r="X33" s="708"/>
      <c r="Y33" s="365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3"/>
      <c r="Q34" s="1350" t="str">
        <f t="shared" si="11"/>
        <v>建筑结构</v>
      </c>
      <c r="R34" s="703" t="s">
        <v>14</v>
      </c>
      <c r="S34" s="704">
        <f t="shared" si="12"/>
        <v>100</v>
      </c>
      <c r="T34" s="703" t="s">
        <v>14</v>
      </c>
      <c r="U34" s="704">
        <f t="shared" si="13"/>
        <v>100</v>
      </c>
      <c r="V34" s="703" t="s">
        <v>14</v>
      </c>
      <c r="W34" s="704">
        <f t="shared" si="14"/>
        <v>100</v>
      </c>
      <c r="X34" s="1353"/>
      <c r="Y34" s="365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3"/>
      <c r="Q35" s="1350" t="str">
        <f t="shared" si="11"/>
        <v>公共部分装修</v>
      </c>
      <c r="R35" s="703" t="s">
        <v>14</v>
      </c>
      <c r="S35" s="704">
        <f t="shared" si="12"/>
        <v>100</v>
      </c>
      <c r="T35" s="703" t="s">
        <v>14</v>
      </c>
      <c r="U35" s="704">
        <f t="shared" si="13"/>
        <v>100</v>
      </c>
      <c r="V35" s="703" t="s">
        <v>14</v>
      </c>
      <c r="W35" s="704">
        <f t="shared" si="14"/>
        <v>100</v>
      </c>
      <c r="X35" s="1353"/>
      <c r="Y35" s="365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53"/>
      <c r="Q36" s="1350" t="str">
        <f t="shared" si="11"/>
        <v>成新度</v>
      </c>
      <c r="R36" s="703" t="s">
        <v>14</v>
      </c>
      <c r="S36" s="704" t="e">
        <f t="shared" si="12"/>
        <v>#N/A</v>
      </c>
      <c r="T36" s="703" t="s">
        <v>14</v>
      </c>
      <c r="U36" s="704" t="e">
        <f t="shared" si="13"/>
        <v>#N/A</v>
      </c>
      <c r="V36" s="703" t="s">
        <v>14</v>
      </c>
      <c r="W36" s="704" t="e">
        <f t="shared" si="14"/>
        <v>#N/A</v>
      </c>
      <c r="X36" s="1353"/>
      <c r="Y36" s="365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3"/>
      <c r="Q37" s="1341" t="str">
        <f t="shared" si="11"/>
        <v>市政基础设施</v>
      </c>
      <c r="R37" s="699" t="s">
        <v>14</v>
      </c>
      <c r="S37" s="700">
        <f t="shared" si="12"/>
        <v>100</v>
      </c>
      <c r="T37" s="699" t="s">
        <v>14</v>
      </c>
      <c r="U37" s="700">
        <f t="shared" si="13"/>
        <v>100</v>
      </c>
      <c r="V37" s="699" t="s">
        <v>14</v>
      </c>
      <c r="W37" s="700">
        <f t="shared" si="14"/>
        <v>100</v>
      </c>
      <c r="X37" s="701"/>
      <c r="Y37" s="365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53" t="s">
        <v>1696</v>
      </c>
      <c r="Q38" s="1350" t="str">
        <f t="shared" si="11"/>
        <v>业态</v>
      </c>
      <c r="R38" s="703" t="s">
        <v>14</v>
      </c>
      <c r="S38" s="704">
        <f t="shared" si="12"/>
        <v>100</v>
      </c>
      <c r="T38" s="703" t="s">
        <v>14</v>
      </c>
      <c r="U38" s="704">
        <f t="shared" si="13"/>
        <v>100</v>
      </c>
      <c r="V38" s="703" t="s">
        <v>14</v>
      </c>
      <c r="W38" s="704">
        <f t="shared" si="14"/>
        <v>100</v>
      </c>
      <c r="X38" s="1353"/>
      <c r="Y38" s="365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3"/>
      <c r="Q39" s="1350" t="str">
        <f t="shared" si="11"/>
        <v>层高</v>
      </c>
      <c r="R39" s="703" t="s">
        <v>14</v>
      </c>
      <c r="S39" s="704">
        <f t="shared" si="12"/>
        <v>100</v>
      </c>
      <c r="T39" s="703" t="s">
        <v>14</v>
      </c>
      <c r="U39" s="704">
        <f t="shared" si="13"/>
        <v>100</v>
      </c>
      <c r="V39" s="703" t="s">
        <v>14</v>
      </c>
      <c r="W39" s="704">
        <f t="shared" si="14"/>
        <v>100</v>
      </c>
      <c r="X39" s="1353"/>
      <c r="Y39" s="365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3"/>
      <c r="Q40" s="1350" t="str">
        <f t="shared" si="11"/>
        <v>单套建筑面积</v>
      </c>
      <c r="R40" s="703" t="s">
        <v>14</v>
      </c>
      <c r="S40" s="704">
        <f t="shared" si="12"/>
        <v>100</v>
      </c>
      <c r="T40" s="703" t="s">
        <v>14</v>
      </c>
      <c r="U40" s="704">
        <f t="shared" si="13"/>
        <v>100</v>
      </c>
      <c r="V40" s="703" t="s">
        <v>14</v>
      </c>
      <c r="W40" s="704">
        <f t="shared" si="14"/>
        <v>100</v>
      </c>
      <c r="X40" s="1353"/>
      <c r="Y40" s="365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3"/>
      <c r="Q41" s="705" t="str">
        <f t="shared" si="11"/>
        <v>进深比</v>
      </c>
      <c r="R41" s="706" t="s">
        <v>14</v>
      </c>
      <c r="S41" s="707">
        <f t="shared" si="12"/>
        <v>100</v>
      </c>
      <c r="T41" s="706" t="s">
        <v>14</v>
      </c>
      <c r="U41" s="707">
        <f t="shared" si="13"/>
        <v>100</v>
      </c>
      <c r="V41" s="706" t="s">
        <v>14</v>
      </c>
      <c r="W41" s="707">
        <f t="shared" si="14"/>
        <v>100</v>
      </c>
      <c r="X41" s="708"/>
      <c r="Y41" s="365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53"/>
      <c r="Q42" s="1350" t="str">
        <f t="shared" si="11"/>
        <v>内部装修</v>
      </c>
      <c r="R42" s="703" t="s">
        <v>14</v>
      </c>
      <c r="S42" s="704">
        <f t="shared" si="12"/>
        <v>100</v>
      </c>
      <c r="T42" s="703" t="s">
        <v>14</v>
      </c>
      <c r="U42" s="704">
        <f t="shared" si="13"/>
        <v>100</v>
      </c>
      <c r="V42" s="703" t="s">
        <v>14</v>
      </c>
      <c r="W42" s="704">
        <f t="shared" si="14"/>
        <v>100</v>
      </c>
      <c r="X42" s="1353"/>
      <c r="Y42" s="365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53"/>
      <c r="Q43" s="1350" t="str">
        <f t="shared" si="11"/>
        <v>内部装修维护情况</v>
      </c>
      <c r="R43" s="703" t="s">
        <v>14</v>
      </c>
      <c r="S43" s="704">
        <f t="shared" si="12"/>
        <v>100</v>
      </c>
      <c r="T43" s="703" t="s">
        <v>14</v>
      </c>
      <c r="U43" s="704">
        <f t="shared" si="13"/>
        <v>100</v>
      </c>
      <c r="V43" s="703" t="s">
        <v>14</v>
      </c>
      <c r="W43" s="704">
        <f t="shared" si="14"/>
        <v>100</v>
      </c>
      <c r="X43" s="1353"/>
      <c r="Y43" s="365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3"/>
      <c r="Q44" s="1341">
        <f t="shared" si="11"/>
        <v>111</v>
      </c>
      <c r="R44" s="699" t="s">
        <v>14</v>
      </c>
      <c r="S44" s="700">
        <f t="shared" si="12"/>
        <v>100</v>
      </c>
      <c r="T44" s="699" t="s">
        <v>14</v>
      </c>
      <c r="U44" s="700">
        <f t="shared" si="13"/>
        <v>100</v>
      </c>
      <c r="V44" s="699" t="s">
        <v>14</v>
      </c>
      <c r="W44" s="700">
        <f t="shared" si="14"/>
        <v>100</v>
      </c>
      <c r="X44" s="701"/>
      <c r="Y44" s="365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3"/>
      <c r="Q45" s="1350">
        <f t="shared" si="11"/>
        <v>111</v>
      </c>
      <c r="R45" s="703" t="s">
        <v>14</v>
      </c>
      <c r="S45" s="704">
        <f t="shared" si="12"/>
        <v>100</v>
      </c>
      <c r="T45" s="703" t="s">
        <v>14</v>
      </c>
      <c r="U45" s="704">
        <f t="shared" si="13"/>
        <v>100</v>
      </c>
      <c r="V45" s="703" t="s">
        <v>14</v>
      </c>
      <c r="W45" s="704">
        <f t="shared" si="14"/>
        <v>100</v>
      </c>
      <c r="X45" s="1353"/>
      <c r="Y45" s="365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4"/>
      <c r="Q46" s="1350">
        <f t="shared" si="11"/>
        <v>111</v>
      </c>
      <c r="R46" s="703" t="s">
        <v>14</v>
      </c>
      <c r="S46" s="704">
        <f t="shared" si="12"/>
        <v>100</v>
      </c>
      <c r="T46" s="703" t="s">
        <v>14</v>
      </c>
      <c r="U46" s="704">
        <f t="shared" si="13"/>
        <v>100</v>
      </c>
      <c r="V46" s="703" t="s">
        <v>14</v>
      </c>
      <c r="W46" s="704">
        <f t="shared" si="14"/>
        <v>100</v>
      </c>
      <c r="X46" s="1353"/>
      <c r="Y46" s="365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3" t="str">
        <f>A47</f>
        <v>成交单价（元/平方米）</v>
      </c>
      <c r="Q47" s="3643"/>
      <c r="R47" s="3677">
        <f>E47</f>
        <v>0</v>
      </c>
      <c r="S47" s="3677"/>
      <c r="T47" s="3677">
        <f>G47</f>
        <v>0</v>
      </c>
      <c r="U47" s="3677"/>
      <c r="V47" s="3677">
        <f>I47</f>
        <v>0</v>
      </c>
      <c r="W47" s="367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1"/>
      <c r="Q15" s="1350"/>
      <c r="R15" s="703"/>
      <c r="S15" s="704"/>
      <c r="T15" s="703"/>
      <c r="U15" s="704"/>
      <c r="V15" s="703"/>
      <c r="W15" s="704"/>
      <c r="X15" s="1353"/>
      <c r="Y15" s="365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1"/>
      <c r="Q17" s="1350"/>
      <c r="R17" s="703"/>
      <c r="S17" s="704"/>
      <c r="T17" s="703"/>
      <c r="U17" s="704"/>
      <c r="V17" s="703"/>
      <c r="W17" s="704"/>
      <c r="X17" s="1353"/>
      <c r="Y17" s="365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1"/>
      <c r="Q19" s="1350"/>
      <c r="R19" s="703"/>
      <c r="S19" s="704"/>
      <c r="T19" s="703"/>
      <c r="U19" s="704"/>
      <c r="V19" s="703"/>
      <c r="W19" s="704"/>
      <c r="X19" s="1353"/>
      <c r="Y19" s="365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1"/>
      <c r="Q21" s="1350"/>
      <c r="R21" s="703"/>
      <c r="S21" s="704"/>
      <c r="T21" s="703"/>
      <c r="U21" s="704"/>
      <c r="V21" s="703"/>
      <c r="W21" s="704"/>
      <c r="X21" s="1353"/>
      <c r="Y21" s="365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1"/>
      <c r="Q24" s="1350">
        <f t="shared" ref="Q24:Q36"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69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5"/>
      <c r="Q27" s="705" t="str">
        <f t="shared" si="11"/>
        <v>项目停车位配比</v>
      </c>
      <c r="R27" s="706" t="s">
        <v>14</v>
      </c>
      <c r="S27" s="707">
        <f t="shared" si="12"/>
        <v>100</v>
      </c>
      <c r="T27" s="706" t="s">
        <v>14</v>
      </c>
      <c r="U27" s="707">
        <f t="shared" si="13"/>
        <v>100</v>
      </c>
      <c r="V27" s="706" t="s">
        <v>14</v>
      </c>
      <c r="W27" s="707">
        <f t="shared" si="14"/>
        <v>100</v>
      </c>
      <c r="X27" s="708"/>
      <c r="Y27" s="365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5"/>
      <c r="Q28" s="1350" t="str">
        <f t="shared" si="11"/>
        <v>公共部分装修</v>
      </c>
      <c r="R28" s="703" t="s">
        <v>14</v>
      </c>
      <c r="S28" s="704">
        <f t="shared" si="12"/>
        <v>100</v>
      </c>
      <c r="T28" s="703" t="s">
        <v>14</v>
      </c>
      <c r="U28" s="704">
        <f t="shared" si="13"/>
        <v>100</v>
      </c>
      <c r="V28" s="703" t="s">
        <v>14</v>
      </c>
      <c r="W28" s="704">
        <f t="shared" si="14"/>
        <v>100</v>
      </c>
      <c r="X28" s="1353"/>
      <c r="Y28" s="365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5"/>
      <c r="Q29" s="1350" t="str">
        <f t="shared" si="11"/>
        <v>成新率</v>
      </c>
      <c r="R29" s="703" t="s">
        <v>14</v>
      </c>
      <c r="S29" s="704" t="e">
        <f t="shared" si="12"/>
        <v>#N/A</v>
      </c>
      <c r="T29" s="703" t="s">
        <v>14</v>
      </c>
      <c r="U29" s="704" t="e">
        <f t="shared" si="13"/>
        <v>#N/A</v>
      </c>
      <c r="V29" s="703" t="s">
        <v>14</v>
      </c>
      <c r="W29" s="704" t="e">
        <f t="shared" si="14"/>
        <v>#N/A</v>
      </c>
      <c r="X29" s="1353"/>
      <c r="Y29" s="365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5"/>
      <c r="Q30" s="1350" t="str">
        <f t="shared" si="11"/>
        <v>物业等级</v>
      </c>
      <c r="R30" s="703" t="s">
        <v>14</v>
      </c>
      <c r="S30" s="704">
        <f t="shared" si="12"/>
        <v>100</v>
      </c>
      <c r="T30" s="703" t="s">
        <v>14</v>
      </c>
      <c r="U30" s="704">
        <f t="shared" si="13"/>
        <v>100</v>
      </c>
      <c r="V30" s="703" t="s">
        <v>14</v>
      </c>
      <c r="W30" s="704">
        <f t="shared" si="14"/>
        <v>100</v>
      </c>
      <c r="X30" s="1353"/>
      <c r="Y30" s="365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5"/>
      <c r="Q31" s="1341" t="str">
        <f t="shared" si="11"/>
        <v>停车位面积</v>
      </c>
      <c r="R31" s="699" t="s">
        <v>14</v>
      </c>
      <c r="S31" s="700" t="e">
        <f t="shared" si="12"/>
        <v>#N/A</v>
      </c>
      <c r="T31" s="699" t="s">
        <v>14</v>
      </c>
      <c r="U31" s="700" t="e">
        <f t="shared" si="13"/>
        <v>#N/A</v>
      </c>
      <c r="V31" s="699" t="s">
        <v>14</v>
      </c>
      <c r="W31" s="700" t="e">
        <f t="shared" si="14"/>
        <v>#N/A</v>
      </c>
      <c r="X31" s="701"/>
      <c r="Y31" s="365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5" t="s">
        <v>1696</v>
      </c>
      <c r="Q32" s="1350" t="str">
        <f t="shared" si="11"/>
        <v>车位类型</v>
      </c>
      <c r="R32" s="703" t="s">
        <v>14</v>
      </c>
      <c r="S32" s="704">
        <f t="shared" si="12"/>
        <v>100</v>
      </c>
      <c r="T32" s="703" t="s">
        <v>14</v>
      </c>
      <c r="U32" s="704">
        <f t="shared" si="13"/>
        <v>100</v>
      </c>
      <c r="V32" s="703" t="s">
        <v>14</v>
      </c>
      <c r="W32" s="704">
        <f t="shared" si="14"/>
        <v>100</v>
      </c>
      <c r="X32" s="1353"/>
      <c r="Y32" s="365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5"/>
      <c r="Q33" s="1350" t="str">
        <f t="shared" si="11"/>
        <v>是否直接入户</v>
      </c>
      <c r="R33" s="703" t="s">
        <v>14</v>
      </c>
      <c r="S33" s="704">
        <f t="shared" si="12"/>
        <v>100</v>
      </c>
      <c r="T33" s="703" t="s">
        <v>14</v>
      </c>
      <c r="U33" s="704">
        <f t="shared" si="13"/>
        <v>100</v>
      </c>
      <c r="V33" s="703" t="s">
        <v>14</v>
      </c>
      <c r="W33" s="704">
        <f t="shared" si="14"/>
        <v>100</v>
      </c>
      <c r="X33" s="1353"/>
      <c r="Y33" s="365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5"/>
      <c r="Q35" s="705">
        <f t="shared" si="11"/>
        <v>111</v>
      </c>
      <c r="R35" s="706" t="s">
        <v>14</v>
      </c>
      <c r="S35" s="707">
        <f t="shared" si="12"/>
        <v>100</v>
      </c>
      <c r="T35" s="706" t="s">
        <v>14</v>
      </c>
      <c r="U35" s="707">
        <f t="shared" si="13"/>
        <v>100</v>
      </c>
      <c r="V35" s="706" t="s">
        <v>14</v>
      </c>
      <c r="W35" s="707">
        <f t="shared" si="14"/>
        <v>100</v>
      </c>
      <c r="X35" s="708"/>
      <c r="Y35" s="365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5"/>
      <c r="Q36" s="1350">
        <f t="shared" si="11"/>
        <v>111</v>
      </c>
      <c r="R36" s="703" t="s">
        <v>14</v>
      </c>
      <c r="S36" s="704">
        <f t="shared" si="12"/>
        <v>100</v>
      </c>
      <c r="T36" s="703" t="s">
        <v>14</v>
      </c>
      <c r="U36" s="704">
        <f t="shared" si="13"/>
        <v>100</v>
      </c>
      <c r="V36" s="703" t="s">
        <v>14</v>
      </c>
      <c r="W36" s="704">
        <f t="shared" si="14"/>
        <v>100</v>
      </c>
      <c r="X36" s="1353"/>
      <c r="Y36" s="3655"/>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43" t="str">
        <f>A37</f>
        <v>成交单价</v>
      </c>
      <c r="Q37" s="3643"/>
      <c r="R37" s="3644">
        <f>E37</f>
        <v>0</v>
      </c>
      <c r="S37" s="3644"/>
      <c r="T37" s="3644">
        <f>G37</f>
        <v>0</v>
      </c>
      <c r="U37" s="3644"/>
      <c r="V37" s="3644">
        <f>I37</f>
        <v>0</v>
      </c>
      <c r="W37" s="364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3" t="str">
        <f>A39</f>
        <v>估价对象XX用房的比较价值（楼面单价，元/平方米）</v>
      </c>
      <c r="Q39" s="3694"/>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685"/>
      <c r="R7" s="699" t="s">
        <v>14</v>
      </c>
      <c r="S7" s="700">
        <f t="shared" ref="S7:S14" si="0">F7</f>
        <v>0</v>
      </c>
      <c r="T7" s="699" t="s">
        <v>14</v>
      </c>
      <c r="U7" s="700">
        <f t="shared" ref="U7:U14" si="1">H7</f>
        <v>0</v>
      </c>
      <c r="V7" s="699" t="s">
        <v>14</v>
      </c>
      <c r="W7" s="700">
        <f t="shared" ref="W7:W14" si="2">J7</f>
        <v>0</v>
      </c>
      <c r="X7" s="701"/>
      <c r="Y7" s="3684" t="s">
        <v>1680</v>
      </c>
      <c r="Z7" s="368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3"/>
      <c r="R8" s="699" t="s">
        <v>14</v>
      </c>
      <c r="S8" s="700">
        <f t="shared" si="0"/>
        <v>100</v>
      </c>
      <c r="T8" s="699" t="s">
        <v>14</v>
      </c>
      <c r="U8" s="700">
        <f t="shared" si="1"/>
        <v>100</v>
      </c>
      <c r="V8" s="699" t="s">
        <v>14</v>
      </c>
      <c r="W8" s="700">
        <f t="shared" si="2"/>
        <v>100</v>
      </c>
      <c r="X8" s="701"/>
      <c r="Y8" s="3684" t="s">
        <v>1683</v>
      </c>
      <c r="Z8" s="368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3"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3"/>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3"/>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0" t="s">
        <v>1691</v>
      </c>
      <c r="Q14" s="1350" t="str">
        <f t="shared" si="6"/>
        <v>交通便捷度</v>
      </c>
      <c r="R14" s="703" t="s">
        <v>14</v>
      </c>
      <c r="S14" s="704">
        <f t="shared" si="0"/>
        <v>100</v>
      </c>
      <c r="T14" s="703" t="s">
        <v>14</v>
      </c>
      <c r="U14" s="704">
        <f t="shared" si="1"/>
        <v>100</v>
      </c>
      <c r="V14" s="703" t="s">
        <v>14</v>
      </c>
      <c r="W14" s="704">
        <f t="shared" si="2"/>
        <v>100</v>
      </c>
      <c r="X14" s="1353"/>
      <c r="Y14" s="365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1"/>
      <c r="Q15" s="1350"/>
      <c r="R15" s="703"/>
      <c r="S15" s="704"/>
      <c r="T15" s="703"/>
      <c r="U15" s="704"/>
      <c r="V15" s="703"/>
      <c r="W15" s="704"/>
      <c r="X15" s="1353"/>
      <c r="Y15" s="365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1"/>
      <c r="Q16" s="1350" t="str">
        <f>B16</f>
        <v>公共配套设施</v>
      </c>
      <c r="R16" s="703" t="s">
        <v>14</v>
      </c>
      <c r="S16" s="704">
        <f>F16</f>
        <v>100</v>
      </c>
      <c r="T16" s="703" t="s">
        <v>14</v>
      </c>
      <c r="U16" s="704">
        <f>H16</f>
        <v>100</v>
      </c>
      <c r="V16" s="703" t="s">
        <v>14</v>
      </c>
      <c r="W16" s="704">
        <f>J16</f>
        <v>100</v>
      </c>
      <c r="X16" s="1353"/>
      <c r="Y16" s="365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1"/>
      <c r="Q17" s="1350"/>
      <c r="R17" s="703"/>
      <c r="S17" s="704"/>
      <c r="T17" s="703"/>
      <c r="U17" s="704"/>
      <c r="V17" s="703"/>
      <c r="W17" s="704"/>
      <c r="X17" s="1353"/>
      <c r="Y17" s="365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1"/>
      <c r="Q18" s="1350" t="str">
        <f>B18</f>
        <v>基础设施水平</v>
      </c>
      <c r="R18" s="703" t="s">
        <v>14</v>
      </c>
      <c r="S18" s="704">
        <f>F18</f>
        <v>100</v>
      </c>
      <c r="T18" s="703" t="s">
        <v>14</v>
      </c>
      <c r="U18" s="704">
        <f>H18</f>
        <v>100</v>
      </c>
      <c r="V18" s="703" t="s">
        <v>14</v>
      </c>
      <c r="W18" s="704">
        <f>J18</f>
        <v>100</v>
      </c>
      <c r="X18" s="1353"/>
      <c r="Y18" s="365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1"/>
      <c r="Q19" s="1350"/>
      <c r="R19" s="703"/>
      <c r="S19" s="704"/>
      <c r="T19" s="703"/>
      <c r="U19" s="704"/>
      <c r="V19" s="703"/>
      <c r="W19" s="704"/>
      <c r="X19" s="1353"/>
      <c r="Y19" s="365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1"/>
      <c r="Q20" s="1350" t="str">
        <f>B20</f>
        <v>自然及人文环境</v>
      </c>
      <c r="R20" s="703" t="s">
        <v>14</v>
      </c>
      <c r="S20" s="704">
        <f>F20</f>
        <v>100</v>
      </c>
      <c r="T20" s="703" t="s">
        <v>14</v>
      </c>
      <c r="U20" s="704">
        <f>H20</f>
        <v>100</v>
      </c>
      <c r="V20" s="703" t="s">
        <v>14</v>
      </c>
      <c r="W20" s="704">
        <f>J20</f>
        <v>100</v>
      </c>
      <c r="X20" s="1353"/>
      <c r="Y20" s="365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1"/>
      <c r="Q21" s="1350"/>
      <c r="R21" s="703"/>
      <c r="S21" s="704"/>
      <c r="T21" s="703"/>
      <c r="U21" s="704"/>
      <c r="V21" s="703"/>
      <c r="W21" s="704"/>
      <c r="X21" s="1353"/>
      <c r="Y21" s="365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1"/>
      <c r="Q22" s="1350" t="str">
        <f>B22</f>
        <v>楼层</v>
      </c>
      <c r="R22" s="703" t="s">
        <v>14</v>
      </c>
      <c r="S22" s="704">
        <f>F22</f>
        <v>100</v>
      </c>
      <c r="T22" s="703" t="s">
        <v>14</v>
      </c>
      <c r="U22" s="704">
        <f>H22</f>
        <v>100</v>
      </c>
      <c r="V22" s="703" t="s">
        <v>14</v>
      </c>
      <c r="W22" s="704">
        <f>J22</f>
        <v>100</v>
      </c>
      <c r="X22" s="1353"/>
      <c r="Y22" s="365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1"/>
      <c r="Q23" s="1350">
        <f>B23</f>
        <v>111</v>
      </c>
      <c r="R23" s="703" t="s">
        <v>14</v>
      </c>
      <c r="S23" s="704">
        <f>F23</f>
        <v>100</v>
      </c>
      <c r="T23" s="703" t="s">
        <v>14</v>
      </c>
      <c r="U23" s="704">
        <f>H23</f>
        <v>100</v>
      </c>
      <c r="V23" s="703" t="s">
        <v>14</v>
      </c>
      <c r="W23" s="704">
        <f>J23</f>
        <v>100</v>
      </c>
      <c r="X23" s="1353"/>
      <c r="Y23" s="365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1"/>
      <c r="Q24" s="1350">
        <f t="shared" ref="Q24:Q34" si="11">B24</f>
        <v>111</v>
      </c>
      <c r="R24" s="703" t="s">
        <v>14</v>
      </c>
      <c r="S24" s="704">
        <f>F24</f>
        <v>100</v>
      </c>
      <c r="T24" s="703" t="s">
        <v>14</v>
      </c>
      <c r="U24" s="704">
        <f>H24</f>
        <v>100</v>
      </c>
      <c r="V24" s="703" t="s">
        <v>14</v>
      </c>
      <c r="W24" s="704">
        <f>J24</f>
        <v>100</v>
      </c>
      <c r="X24" s="1353"/>
      <c r="Y24" s="365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1"/>
      <c r="Q25" s="1341">
        <f t="shared" si="11"/>
        <v>111</v>
      </c>
      <c r="R25" s="699" t="s">
        <v>14</v>
      </c>
      <c r="S25" s="700">
        <f>F25</f>
        <v>100</v>
      </c>
      <c r="T25" s="699" t="s">
        <v>14</v>
      </c>
      <c r="U25" s="700">
        <f>H25</f>
        <v>100</v>
      </c>
      <c r="V25" s="699" t="s">
        <v>14</v>
      </c>
      <c r="W25" s="700">
        <f>J25</f>
        <v>100</v>
      </c>
      <c r="X25" s="701"/>
      <c r="Y25" s="365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69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5"/>
      <c r="Q27" s="705" t="str">
        <f t="shared" si="11"/>
        <v>成新率</v>
      </c>
      <c r="R27" s="706" t="s">
        <v>14</v>
      </c>
      <c r="S27" s="707" t="e">
        <f t="shared" si="12"/>
        <v>#N/A</v>
      </c>
      <c r="T27" s="706" t="s">
        <v>14</v>
      </c>
      <c r="U27" s="707" t="e">
        <f t="shared" si="13"/>
        <v>#N/A</v>
      </c>
      <c r="V27" s="706" t="s">
        <v>14</v>
      </c>
      <c r="W27" s="707" t="e">
        <f t="shared" si="14"/>
        <v>#N/A</v>
      </c>
      <c r="X27" s="708"/>
      <c r="Y27" s="365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5"/>
      <c r="Q28" s="1350" t="str">
        <f t="shared" si="11"/>
        <v>物业等级</v>
      </c>
      <c r="R28" s="703" t="s">
        <v>14</v>
      </c>
      <c r="S28" s="704">
        <f t="shared" si="12"/>
        <v>100</v>
      </c>
      <c r="T28" s="703" t="s">
        <v>14</v>
      </c>
      <c r="U28" s="704">
        <f t="shared" si="13"/>
        <v>100</v>
      </c>
      <c r="V28" s="703" t="s">
        <v>14</v>
      </c>
      <c r="W28" s="704">
        <f t="shared" si="14"/>
        <v>100</v>
      </c>
      <c r="X28" s="1353"/>
      <c r="Y28" s="365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5"/>
      <c r="Q29" s="1350" t="str">
        <f t="shared" si="11"/>
        <v>有无电梯</v>
      </c>
      <c r="R29" s="703" t="s">
        <v>14</v>
      </c>
      <c r="S29" s="704">
        <f t="shared" si="12"/>
        <v>100</v>
      </c>
      <c r="T29" s="703" t="s">
        <v>14</v>
      </c>
      <c r="U29" s="704">
        <f t="shared" si="13"/>
        <v>100</v>
      </c>
      <c r="V29" s="703" t="s">
        <v>14</v>
      </c>
      <c r="W29" s="704">
        <f t="shared" si="14"/>
        <v>100</v>
      </c>
      <c r="X29" s="1353"/>
      <c r="Y29" s="365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5"/>
      <c r="Q30" s="1350" t="str">
        <f t="shared" si="11"/>
        <v>建筑面积</v>
      </c>
      <c r="R30" s="703" t="s">
        <v>14</v>
      </c>
      <c r="S30" s="704" t="e">
        <f t="shared" si="12"/>
        <v>#N/A</v>
      </c>
      <c r="T30" s="703" t="s">
        <v>14</v>
      </c>
      <c r="U30" s="704" t="e">
        <f t="shared" si="13"/>
        <v>#N/A</v>
      </c>
      <c r="V30" s="703" t="s">
        <v>14</v>
      </c>
      <c r="W30" s="704" t="e">
        <f t="shared" si="14"/>
        <v>#N/A</v>
      </c>
      <c r="X30" s="1353"/>
      <c r="Y30" s="365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5"/>
      <c r="Q31" s="1341" t="str">
        <f t="shared" si="11"/>
        <v>是否封闭</v>
      </c>
      <c r="R31" s="699" t="s">
        <v>14</v>
      </c>
      <c r="S31" s="700">
        <f t="shared" si="12"/>
        <v>100</v>
      </c>
      <c r="T31" s="699" t="s">
        <v>14</v>
      </c>
      <c r="U31" s="700">
        <f t="shared" si="13"/>
        <v>100</v>
      </c>
      <c r="V31" s="699" t="s">
        <v>14</v>
      </c>
      <c r="W31" s="700">
        <f t="shared" si="14"/>
        <v>100</v>
      </c>
      <c r="X31" s="701"/>
      <c r="Y31" s="365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5" t="s">
        <v>1696</v>
      </c>
      <c r="Q32" s="1350">
        <f t="shared" si="11"/>
        <v>111</v>
      </c>
      <c r="R32" s="703" t="s">
        <v>14</v>
      </c>
      <c r="S32" s="704">
        <f t="shared" si="12"/>
        <v>100</v>
      </c>
      <c r="T32" s="703" t="s">
        <v>14</v>
      </c>
      <c r="U32" s="704">
        <f t="shared" si="13"/>
        <v>100</v>
      </c>
      <c r="V32" s="703" t="s">
        <v>14</v>
      </c>
      <c r="W32" s="704">
        <f t="shared" si="14"/>
        <v>100</v>
      </c>
      <c r="X32" s="1353"/>
      <c r="Y32" s="365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5"/>
      <c r="Q33" s="1350">
        <f t="shared" si="11"/>
        <v>111</v>
      </c>
      <c r="R33" s="703" t="s">
        <v>14</v>
      </c>
      <c r="S33" s="704">
        <f t="shared" si="12"/>
        <v>100</v>
      </c>
      <c r="T33" s="703" t="s">
        <v>14</v>
      </c>
      <c r="U33" s="704">
        <f t="shared" si="13"/>
        <v>100</v>
      </c>
      <c r="V33" s="703" t="s">
        <v>14</v>
      </c>
      <c r="W33" s="704">
        <f t="shared" si="14"/>
        <v>100</v>
      </c>
      <c r="X33" s="1353"/>
      <c r="Y33" s="365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5"/>
      <c r="Q34" s="1350">
        <f t="shared" si="11"/>
        <v>111</v>
      </c>
      <c r="R34" s="703" t="s">
        <v>14</v>
      </c>
      <c r="S34" s="704">
        <f t="shared" si="12"/>
        <v>100</v>
      </c>
      <c r="T34" s="703" t="s">
        <v>14</v>
      </c>
      <c r="U34" s="704">
        <f t="shared" si="13"/>
        <v>100</v>
      </c>
      <c r="V34" s="703" t="s">
        <v>14</v>
      </c>
      <c r="W34" s="704">
        <f t="shared" si="14"/>
        <v>100</v>
      </c>
      <c r="X34" s="1353"/>
      <c r="Y34" s="365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3" t="str">
        <f>A35</f>
        <v>成交单价（元/平方米）</v>
      </c>
      <c r="Q35" s="3643"/>
      <c r="R35" s="3644">
        <f>E35</f>
        <v>0</v>
      </c>
      <c r="S35" s="3644"/>
      <c r="T35" s="3644">
        <f>G35</f>
        <v>0</v>
      </c>
      <c r="U35" s="3644"/>
      <c r="V35" s="3644">
        <f>I35</f>
        <v>0</v>
      </c>
      <c r="W35" s="364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3" t="str">
        <f>A37</f>
        <v>估价对象XX用房的比较价值（楼面单价，元/平方米）</v>
      </c>
      <c r="Q37" s="3694"/>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30"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30" ht="15.75" thickBot="1">
      <c r="A6" s="360"/>
      <c r="B6" s="361"/>
      <c r="C6" s="3678" t="s">
        <v>1677</v>
      </c>
      <c r="D6" s="3679"/>
      <c r="E6" s="3686" t="s">
        <v>1677</v>
      </c>
      <c r="F6" s="3687"/>
      <c r="G6" s="3678" t="s">
        <v>1677</v>
      </c>
      <c r="H6" s="3679"/>
      <c r="I6" s="3678" t="s">
        <v>1677</v>
      </c>
      <c r="J6" s="3679"/>
      <c r="K6" s="559" t="s">
        <v>1678</v>
      </c>
      <c r="L6" s="2713"/>
      <c r="M6" s="2714"/>
      <c r="N6" s="2714"/>
      <c r="O6" s="2714"/>
      <c r="P6" s="3701"/>
      <c r="Q6" s="3669"/>
      <c r="R6" s="3672"/>
      <c r="S6" s="3673"/>
      <c r="T6" s="3674"/>
      <c r="U6" s="3675"/>
      <c r="V6" s="3677"/>
      <c r="W6" s="3677"/>
      <c r="X6" s="1353"/>
      <c r="Y6" s="3674"/>
      <c r="Z6" s="3675"/>
      <c r="AA6" s="3690"/>
      <c r="AB6" s="3690"/>
      <c r="AC6" s="3690"/>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3"/>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0" t="s">
        <v>1691</v>
      </c>
      <c r="Q15" s="1350" t="str">
        <f t="shared" si="6"/>
        <v>居住社区成熟度</v>
      </c>
      <c r="R15" s="703" t="s">
        <v>14</v>
      </c>
      <c r="S15" s="704">
        <f t="shared" si="0"/>
        <v>100</v>
      </c>
      <c r="T15" s="703" t="s">
        <v>14</v>
      </c>
      <c r="U15" s="704">
        <f t="shared" si="1"/>
        <v>100</v>
      </c>
      <c r="V15" s="703" t="s">
        <v>14</v>
      </c>
      <c r="W15" s="704">
        <f t="shared" si="2"/>
        <v>100</v>
      </c>
      <c r="X15" s="1353"/>
      <c r="Y15" s="365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1"/>
      <c r="Q17" s="1350" t="str">
        <f>B17</f>
        <v>商业繁华度</v>
      </c>
      <c r="R17" s="703" t="s">
        <v>14</v>
      </c>
      <c r="S17" s="704">
        <f>F17</f>
        <v>100</v>
      </c>
      <c r="T17" s="703" t="s">
        <v>14</v>
      </c>
      <c r="U17" s="704">
        <f>H17</f>
        <v>100</v>
      </c>
      <c r="V17" s="703" t="s">
        <v>14</v>
      </c>
      <c r="W17" s="704">
        <f>J17</f>
        <v>100</v>
      </c>
      <c r="X17" s="1353"/>
      <c r="Y17" s="365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1"/>
      <c r="Q19" s="1350" t="str">
        <f>B19</f>
        <v>办公集聚程度</v>
      </c>
      <c r="R19" s="703" t="s">
        <v>14</v>
      </c>
      <c r="S19" s="704">
        <f>F19</f>
        <v>100</v>
      </c>
      <c r="T19" s="703" t="s">
        <v>14</v>
      </c>
      <c r="U19" s="704">
        <f>H19</f>
        <v>100</v>
      </c>
      <c r="V19" s="703" t="s">
        <v>14</v>
      </c>
      <c r="W19" s="704">
        <f>J19</f>
        <v>100</v>
      </c>
      <c r="X19" s="1353"/>
      <c r="Y19" s="365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1"/>
      <c r="Q20" s="1350"/>
      <c r="R20" s="703"/>
      <c r="S20" s="704"/>
      <c r="T20" s="703"/>
      <c r="U20" s="704"/>
      <c r="V20" s="703"/>
      <c r="W20" s="704"/>
      <c r="X20" s="1353"/>
      <c r="Y20" s="365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1"/>
      <c r="Q21" s="1350" t="str">
        <f>B21</f>
        <v>交通便捷度</v>
      </c>
      <c r="R21" s="703" t="s">
        <v>14</v>
      </c>
      <c r="S21" s="704">
        <f>F21</f>
        <v>100</v>
      </c>
      <c r="T21" s="703" t="s">
        <v>14</v>
      </c>
      <c r="U21" s="704">
        <f>H21</f>
        <v>100</v>
      </c>
      <c r="V21" s="703" t="s">
        <v>14</v>
      </c>
      <c r="W21" s="704">
        <f>J21</f>
        <v>100</v>
      </c>
      <c r="X21" s="1353"/>
      <c r="Y21" s="365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1"/>
      <c r="Q23" s="1350" t="str">
        <f t="shared" ref="Q23:Q37" si="8">B23</f>
        <v>区域土地利用方向</v>
      </c>
      <c r="R23" s="703" t="s">
        <v>14</v>
      </c>
      <c r="S23" s="704">
        <f>F23</f>
        <v>100</v>
      </c>
      <c r="T23" s="703" t="s">
        <v>14</v>
      </c>
      <c r="U23" s="704">
        <f>H23</f>
        <v>100</v>
      </c>
      <c r="V23" s="703" t="s">
        <v>14</v>
      </c>
      <c r="W23" s="704">
        <f>J23</f>
        <v>100</v>
      </c>
      <c r="X23" s="1353"/>
      <c r="Y23" s="365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1"/>
      <c r="Q24" s="1350"/>
      <c r="R24" s="703"/>
      <c r="S24" s="704"/>
      <c r="T24" s="703"/>
      <c r="U24" s="704"/>
      <c r="V24" s="703"/>
      <c r="W24" s="704"/>
      <c r="X24" s="1353"/>
      <c r="Y24" s="365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1"/>
      <c r="Q25" s="1350" t="str">
        <f t="shared" si="8"/>
        <v>自然及人文环境状况</v>
      </c>
      <c r="R25" s="703" t="s">
        <v>14</v>
      </c>
      <c r="S25" s="704">
        <f>F25</f>
        <v>100</v>
      </c>
      <c r="T25" s="703" t="s">
        <v>14</v>
      </c>
      <c r="U25" s="704">
        <f>H25</f>
        <v>100</v>
      </c>
      <c r="V25" s="703" t="s">
        <v>14</v>
      </c>
      <c r="W25" s="704">
        <f>J25</f>
        <v>100</v>
      </c>
      <c r="X25" s="1353"/>
      <c r="Y25" s="365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1"/>
      <c r="Q26" s="1350"/>
      <c r="R26" s="703"/>
      <c r="S26" s="704"/>
      <c r="T26" s="703"/>
      <c r="U26" s="704"/>
      <c r="V26" s="703"/>
      <c r="W26" s="704"/>
      <c r="X26" s="1353"/>
      <c r="Y26" s="365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1"/>
      <c r="Q27" s="1341" t="str">
        <f t="shared" si="8"/>
        <v>公共配套设施</v>
      </c>
      <c r="R27" s="699" t="s">
        <v>14</v>
      </c>
      <c r="S27" s="700">
        <f>F27</f>
        <v>100</v>
      </c>
      <c r="T27" s="699" t="s">
        <v>14</v>
      </c>
      <c r="U27" s="700">
        <f>H27</f>
        <v>100</v>
      </c>
      <c r="V27" s="699" t="s">
        <v>14</v>
      </c>
      <c r="W27" s="700">
        <f>J27</f>
        <v>100</v>
      </c>
      <c r="X27" s="701"/>
      <c r="Y27" s="365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1"/>
      <c r="Q28" s="1341"/>
      <c r="R28" s="699"/>
      <c r="S28" s="700"/>
      <c r="T28" s="699"/>
      <c r="U28" s="700"/>
      <c r="V28" s="699"/>
      <c r="W28" s="700"/>
      <c r="X28" s="701"/>
      <c r="Y28" s="365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1"/>
      <c r="Q29" s="1341" t="str">
        <f t="shared" ref="Q29" si="9">B29</f>
        <v>基础设施水平</v>
      </c>
      <c r="R29" s="699" t="s">
        <v>14</v>
      </c>
      <c r="S29" s="700">
        <f>F29</f>
        <v>100</v>
      </c>
      <c r="T29" s="699" t="s">
        <v>14</v>
      </c>
      <c r="U29" s="700">
        <f>H29</f>
        <v>100</v>
      </c>
      <c r="V29" s="699" t="s">
        <v>14</v>
      </c>
      <c r="W29" s="700">
        <f>J29</f>
        <v>100</v>
      </c>
      <c r="X29" s="701"/>
      <c r="Y29" s="365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1"/>
      <c r="Q30" s="1341"/>
      <c r="R30" s="699"/>
      <c r="S30" s="700"/>
      <c r="T30" s="699"/>
      <c r="U30" s="700"/>
      <c r="V30" s="699"/>
      <c r="W30" s="700"/>
      <c r="X30" s="701"/>
      <c r="Y30" s="365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1"/>
      <c r="Q32" s="1350" t="str">
        <f t="shared" si="8"/>
        <v>毗邻道路的类型与等级</v>
      </c>
      <c r="R32" s="703" t="s">
        <v>14</v>
      </c>
      <c r="S32" s="704">
        <f t="shared" si="10"/>
        <v>100</v>
      </c>
      <c r="T32" s="703" t="s">
        <v>14</v>
      </c>
      <c r="U32" s="704">
        <f t="shared" si="11"/>
        <v>100</v>
      </c>
      <c r="V32" s="703" t="s">
        <v>14</v>
      </c>
      <c r="W32" s="704">
        <f t="shared" si="12"/>
        <v>100</v>
      </c>
      <c r="X32" s="1353"/>
      <c r="Y32" s="365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1"/>
      <c r="Q33" s="1350"/>
      <c r="R33" s="703"/>
      <c r="S33" s="704"/>
      <c r="T33" s="703"/>
      <c r="U33" s="704"/>
      <c r="V33" s="703"/>
      <c r="W33" s="704"/>
      <c r="X33" s="1353"/>
      <c r="Y33" s="365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1"/>
      <c r="Q34" s="1350" t="str">
        <f t="shared" si="8"/>
        <v>土地级别</v>
      </c>
      <c r="R34" s="703" t="s">
        <v>14</v>
      </c>
      <c r="S34" s="704">
        <f t="shared" si="10"/>
        <v>100</v>
      </c>
      <c r="T34" s="703" t="s">
        <v>14</v>
      </c>
      <c r="U34" s="704">
        <f t="shared" si="11"/>
        <v>100</v>
      </c>
      <c r="V34" s="703" t="s">
        <v>14</v>
      </c>
      <c r="W34" s="704">
        <f t="shared" si="12"/>
        <v>100</v>
      </c>
      <c r="X34" s="1353"/>
      <c r="Y34" s="365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1"/>
      <c r="Q35" s="1350">
        <f t="shared" si="8"/>
        <v>111</v>
      </c>
      <c r="R35" s="703" t="s">
        <v>14</v>
      </c>
      <c r="S35" s="704">
        <f t="shared" si="10"/>
        <v>100</v>
      </c>
      <c r="T35" s="703" t="s">
        <v>14</v>
      </c>
      <c r="U35" s="704">
        <f t="shared" si="11"/>
        <v>100</v>
      </c>
      <c r="V35" s="703" t="s">
        <v>14</v>
      </c>
      <c r="W35" s="704">
        <f t="shared" si="12"/>
        <v>100</v>
      </c>
      <c r="X35" s="1353"/>
      <c r="Y35" s="365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6" t="s">
        <v>1696</v>
      </c>
      <c r="Q36" s="1350">
        <f t="shared" si="8"/>
        <v>111</v>
      </c>
      <c r="R36" s="703" t="s">
        <v>14</v>
      </c>
      <c r="S36" s="704">
        <f t="shared" si="10"/>
        <v>100</v>
      </c>
      <c r="T36" s="703" t="s">
        <v>14</v>
      </c>
      <c r="U36" s="704">
        <f t="shared" si="11"/>
        <v>100</v>
      </c>
      <c r="V36" s="703" t="s">
        <v>14</v>
      </c>
      <c r="W36" s="704">
        <f t="shared" si="12"/>
        <v>100</v>
      </c>
      <c r="X36" s="1353"/>
      <c r="Y36" s="365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5"/>
      <c r="Q37" s="1350">
        <f t="shared" si="8"/>
        <v>111</v>
      </c>
      <c r="R37" s="706" t="s">
        <v>14</v>
      </c>
      <c r="S37" s="707">
        <f t="shared" si="10"/>
        <v>100</v>
      </c>
      <c r="T37" s="706" t="s">
        <v>14</v>
      </c>
      <c r="U37" s="707">
        <f t="shared" si="11"/>
        <v>100</v>
      </c>
      <c r="V37" s="706" t="s">
        <v>14</v>
      </c>
      <c r="W37" s="707">
        <f t="shared" si="12"/>
        <v>100</v>
      </c>
      <c r="X37" s="708"/>
      <c r="Y37" s="365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5"/>
      <c r="Q38" s="1350" t="str">
        <f>B38</f>
        <v>宗地面积</v>
      </c>
      <c r="R38" s="703" t="s">
        <v>14</v>
      </c>
      <c r="S38" s="704" t="e">
        <f t="shared" si="10"/>
        <v>#N/A</v>
      </c>
      <c r="T38" s="703" t="s">
        <v>14</v>
      </c>
      <c r="U38" s="704" t="e">
        <f t="shared" si="11"/>
        <v>#N/A</v>
      </c>
      <c r="V38" s="703" t="s">
        <v>14</v>
      </c>
      <c r="W38" s="704" t="e">
        <f t="shared" si="12"/>
        <v>#N/A</v>
      </c>
      <c r="X38" s="1353"/>
      <c r="Y38" s="365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5"/>
      <c r="Q39" s="1350" t="str">
        <f t="shared" ref="Q39:Q45" si="14">B39</f>
        <v>宗地形状</v>
      </c>
      <c r="R39" s="703" t="s">
        <v>14</v>
      </c>
      <c r="S39" s="704">
        <f t="shared" si="10"/>
        <v>100</v>
      </c>
      <c r="T39" s="703" t="s">
        <v>14</v>
      </c>
      <c r="U39" s="704">
        <f t="shared" si="11"/>
        <v>100</v>
      </c>
      <c r="V39" s="703" t="s">
        <v>14</v>
      </c>
      <c r="W39" s="704">
        <f t="shared" si="12"/>
        <v>100</v>
      </c>
      <c r="X39" s="1353"/>
      <c r="Y39" s="365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5"/>
      <c r="Q40" s="1350" t="str">
        <f t="shared" si="14"/>
        <v>临街宽度及深度</v>
      </c>
      <c r="R40" s="703" t="s">
        <v>14</v>
      </c>
      <c r="S40" s="704">
        <f t="shared" si="10"/>
        <v>100</v>
      </c>
      <c r="T40" s="703" t="s">
        <v>14</v>
      </c>
      <c r="U40" s="704">
        <f t="shared" si="11"/>
        <v>100</v>
      </c>
      <c r="V40" s="703" t="s">
        <v>14</v>
      </c>
      <c r="W40" s="704">
        <f t="shared" si="12"/>
        <v>100</v>
      </c>
      <c r="X40" s="1353"/>
      <c r="Y40" s="365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5"/>
      <c r="Q41" s="1350" t="str">
        <f t="shared" si="14"/>
        <v>宗地开发程度</v>
      </c>
      <c r="R41" s="699" t="s">
        <v>14</v>
      </c>
      <c r="S41" s="700">
        <f t="shared" si="10"/>
        <v>100</v>
      </c>
      <c r="T41" s="699" t="s">
        <v>14</v>
      </c>
      <c r="U41" s="700">
        <f t="shared" si="11"/>
        <v>100</v>
      </c>
      <c r="V41" s="699" t="s">
        <v>14</v>
      </c>
      <c r="W41" s="700">
        <f t="shared" si="12"/>
        <v>100</v>
      </c>
      <c r="X41" s="701"/>
      <c r="Y41" s="365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5" t="s">
        <v>1696</v>
      </c>
      <c r="Q42" s="1350" t="str">
        <f t="shared" si="14"/>
        <v>工程地质条件</v>
      </c>
      <c r="R42" s="703" t="s">
        <v>14</v>
      </c>
      <c r="S42" s="704">
        <f t="shared" si="10"/>
        <v>100</v>
      </c>
      <c r="T42" s="703" t="s">
        <v>14</v>
      </c>
      <c r="U42" s="704">
        <f t="shared" si="11"/>
        <v>100</v>
      </c>
      <c r="V42" s="703" t="s">
        <v>14</v>
      </c>
      <c r="W42" s="704">
        <f t="shared" si="12"/>
        <v>100</v>
      </c>
      <c r="X42" s="1353"/>
      <c r="Y42" s="365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5"/>
      <c r="Q43" s="1350">
        <f t="shared" si="14"/>
        <v>111</v>
      </c>
      <c r="R43" s="703" t="s">
        <v>14</v>
      </c>
      <c r="S43" s="704">
        <f t="shared" si="10"/>
        <v>100</v>
      </c>
      <c r="T43" s="703" t="s">
        <v>14</v>
      </c>
      <c r="U43" s="704">
        <f t="shared" si="11"/>
        <v>100</v>
      </c>
      <c r="V43" s="703" t="s">
        <v>14</v>
      </c>
      <c r="W43" s="704">
        <f t="shared" si="12"/>
        <v>100</v>
      </c>
      <c r="X43" s="1353"/>
      <c r="Y43" s="365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5"/>
      <c r="Q44" s="1350">
        <f t="shared" si="14"/>
        <v>111</v>
      </c>
      <c r="R44" s="703" t="s">
        <v>14</v>
      </c>
      <c r="S44" s="704">
        <f t="shared" si="10"/>
        <v>100</v>
      </c>
      <c r="T44" s="703" t="s">
        <v>14</v>
      </c>
      <c r="U44" s="704">
        <f t="shared" si="11"/>
        <v>100</v>
      </c>
      <c r="V44" s="703" t="s">
        <v>14</v>
      </c>
      <c r="W44" s="704">
        <f t="shared" si="12"/>
        <v>100</v>
      </c>
      <c r="X44" s="1353"/>
      <c r="Y44" s="365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5"/>
      <c r="Q45" s="1350">
        <f t="shared" si="14"/>
        <v>111</v>
      </c>
      <c r="R45" s="706" t="s">
        <v>14</v>
      </c>
      <c r="S45" s="707">
        <f t="shared" si="10"/>
        <v>100</v>
      </c>
      <c r="T45" s="706" t="s">
        <v>14</v>
      </c>
      <c r="U45" s="707">
        <f t="shared" si="11"/>
        <v>100</v>
      </c>
      <c r="V45" s="706" t="s">
        <v>14</v>
      </c>
      <c r="W45" s="707">
        <f t="shared" si="12"/>
        <v>100</v>
      </c>
      <c r="X45" s="708"/>
      <c r="Y45" s="365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3" t="str">
        <f>A46</f>
        <v>成交单价</v>
      </c>
      <c r="Q46" s="3643"/>
      <c r="R46" s="3677">
        <f>E46</f>
        <v>0</v>
      </c>
      <c r="S46" s="3677"/>
      <c r="T46" s="3677">
        <f>G46</f>
        <v>0</v>
      </c>
      <c r="U46" s="3677"/>
      <c r="V46" s="3677">
        <f>I46</f>
        <v>0</v>
      </c>
      <c r="W46" s="367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3" t="str">
        <f>A47</f>
        <v>比较价值（元/平方米）</v>
      </c>
      <c r="Q47" s="3643"/>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3" t="str">
        <f>A48</f>
        <v>估价对象XX用房的比较价值（楼面单价，元/平方米）</v>
      </c>
      <c r="Q48" s="3694"/>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176.09</v>
      </c>
      <c r="F56" s="884" t="e">
        <f t="shared" ref="F56:F64" si="15">ROUND(B56*E56/10000,0)</f>
        <v>#DIV/0!</v>
      </c>
      <c r="G56" s="3642"/>
      <c r="H56" s="3643"/>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8" t="s">
        <v>1775</v>
      </c>
      <c r="Q4" s="3699"/>
      <c r="R4" s="3702" t="s">
        <v>1771</v>
      </c>
      <c r="S4" s="3703"/>
      <c r="T4" s="3702" t="s">
        <v>1772</v>
      </c>
      <c r="U4" s="3703"/>
      <c r="V4" s="3677" t="s">
        <v>1773</v>
      </c>
      <c r="W4" s="3677"/>
      <c r="X4" s="1353"/>
      <c r="Y4" s="3702" t="s">
        <v>1775</v>
      </c>
      <c r="Z4" s="3703"/>
      <c r="AA4" s="3697" t="s">
        <v>1771</v>
      </c>
      <c r="AB4" s="3689" t="s">
        <v>1772</v>
      </c>
      <c r="AC4" s="3697" t="s">
        <v>1773</v>
      </c>
    </row>
    <row r="5" spans="1:29" ht="15">
      <c r="A5" s="358"/>
      <c r="B5" s="359"/>
      <c r="C5" s="3680" t="s">
        <v>1673</v>
      </c>
      <c r="D5" s="3681"/>
      <c r="E5" s="3691" t="s">
        <v>1674</v>
      </c>
      <c r="F5" s="3692"/>
      <c r="G5" s="3680" t="s">
        <v>1675</v>
      </c>
      <c r="H5" s="3681"/>
      <c r="I5" s="3680" t="s">
        <v>1676</v>
      </c>
      <c r="J5" s="3681"/>
      <c r="K5" s="559"/>
      <c r="L5" s="2713"/>
      <c r="M5" s="2714"/>
      <c r="N5" s="2714"/>
      <c r="O5" s="2714"/>
      <c r="P5" s="3700"/>
      <c r="Q5" s="3667"/>
      <c r="R5" s="3672"/>
      <c r="S5" s="3673"/>
      <c r="T5" s="3672"/>
      <c r="U5" s="3673"/>
      <c r="V5" s="3677"/>
      <c r="W5" s="3677"/>
      <c r="X5" s="1353"/>
      <c r="Y5" s="3672"/>
      <c r="Z5" s="3673"/>
      <c r="AA5" s="3689"/>
      <c r="AB5" s="3689"/>
      <c r="AC5" s="3689"/>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1"/>
      <c r="Q6" s="3669"/>
      <c r="R6" s="3672"/>
      <c r="S6" s="3673"/>
      <c r="T6" s="3674"/>
      <c r="U6" s="3675"/>
      <c r="V6" s="3677"/>
      <c r="W6" s="3677"/>
      <c r="X6" s="1353"/>
      <c r="Y6" s="3674"/>
      <c r="Z6" s="3675"/>
      <c r="AA6" s="3690"/>
      <c r="AB6" s="3690"/>
      <c r="AC6" s="3690"/>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4" t="s">
        <v>1680</v>
      </c>
      <c r="Q7" s="3685"/>
      <c r="R7" s="699" t="s">
        <v>14</v>
      </c>
      <c r="S7" s="700">
        <f t="shared" ref="S7:S15" si="0">F7</f>
        <v>0</v>
      </c>
      <c r="T7" s="699" t="s">
        <v>14</v>
      </c>
      <c r="U7" s="700">
        <f t="shared" ref="U7:U15" si="1">H7</f>
        <v>0</v>
      </c>
      <c r="V7" s="699" t="s">
        <v>14</v>
      </c>
      <c r="W7" s="700">
        <f t="shared" ref="W7:W15" si="2">J7</f>
        <v>0</v>
      </c>
      <c r="X7" s="701"/>
      <c r="Y7" s="3684" t="s">
        <v>1680</v>
      </c>
      <c r="Z7" s="368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4" t="s">
        <v>1683</v>
      </c>
      <c r="Q8" s="3683"/>
      <c r="R8" s="699" t="s">
        <v>14</v>
      </c>
      <c r="S8" s="700">
        <f t="shared" si="0"/>
        <v>0</v>
      </c>
      <c r="T8" s="699" t="s">
        <v>14</v>
      </c>
      <c r="U8" s="700">
        <f t="shared" si="1"/>
        <v>0</v>
      </c>
      <c r="V8" s="699" t="s">
        <v>14</v>
      </c>
      <c r="W8" s="700">
        <f t="shared" si="2"/>
        <v>0</v>
      </c>
      <c r="X8" s="701"/>
      <c r="Y8" s="3684" t="s">
        <v>1683</v>
      </c>
      <c r="Z8" s="368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3"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43"/>
      <c r="Q10" s="1341" t="str">
        <f t="shared" si="6"/>
        <v>土地使用年限（年）</v>
      </c>
      <c r="R10" s="699" t="s">
        <v>14</v>
      </c>
      <c r="S10" s="700">
        <f t="shared" si="0"/>
        <v>119</v>
      </c>
      <c r="T10" s="699" t="s">
        <v>14</v>
      </c>
      <c r="U10" s="700">
        <f t="shared" si="1"/>
        <v>119</v>
      </c>
      <c r="V10" s="699" t="s">
        <v>14</v>
      </c>
      <c r="W10" s="700">
        <f t="shared" si="2"/>
        <v>119</v>
      </c>
      <c r="X10" s="701"/>
      <c r="Y10" s="3546"/>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3"/>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3"/>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3"/>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3"/>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0" t="s">
        <v>1691</v>
      </c>
      <c r="Q15" s="1350" t="str">
        <f t="shared" si="6"/>
        <v>产业集聚程度</v>
      </c>
      <c r="R15" s="703" t="s">
        <v>14</v>
      </c>
      <c r="S15" s="704">
        <f t="shared" si="0"/>
        <v>100</v>
      </c>
      <c r="T15" s="703" t="s">
        <v>14</v>
      </c>
      <c r="U15" s="704">
        <f t="shared" si="1"/>
        <v>100</v>
      </c>
      <c r="V15" s="703" t="s">
        <v>14</v>
      </c>
      <c r="W15" s="704">
        <f t="shared" si="2"/>
        <v>100</v>
      </c>
      <c r="X15" s="1353"/>
      <c r="Y15" s="365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1"/>
      <c r="Q16" s="1350"/>
      <c r="R16" s="703"/>
      <c r="S16" s="704"/>
      <c r="T16" s="703"/>
      <c r="U16" s="704"/>
      <c r="V16" s="703"/>
      <c r="W16" s="704"/>
      <c r="X16" s="1353"/>
      <c r="Y16" s="365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1"/>
      <c r="Q17" s="1350" t="str">
        <f>B17</f>
        <v>交通便捷度</v>
      </c>
      <c r="R17" s="703" t="s">
        <v>14</v>
      </c>
      <c r="S17" s="704">
        <f>F17</f>
        <v>100</v>
      </c>
      <c r="T17" s="703" t="s">
        <v>14</v>
      </c>
      <c r="U17" s="704">
        <f>H17</f>
        <v>100</v>
      </c>
      <c r="V17" s="703" t="s">
        <v>14</v>
      </c>
      <c r="W17" s="704">
        <f>J17</f>
        <v>100</v>
      </c>
      <c r="X17" s="1353"/>
      <c r="Y17" s="365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1"/>
      <c r="Q18" s="1350"/>
      <c r="R18" s="703"/>
      <c r="S18" s="704"/>
      <c r="T18" s="703"/>
      <c r="U18" s="704"/>
      <c r="V18" s="703"/>
      <c r="W18" s="704"/>
      <c r="X18" s="1353"/>
      <c r="Y18" s="365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1"/>
      <c r="Q19" s="1350" t="str">
        <f t="shared" ref="Q19:Q33" si="8">B19</f>
        <v>区域土地利用方向</v>
      </c>
      <c r="R19" s="703" t="s">
        <v>14</v>
      </c>
      <c r="S19" s="704">
        <f>F19</f>
        <v>100</v>
      </c>
      <c r="T19" s="703" t="s">
        <v>14</v>
      </c>
      <c r="U19" s="704">
        <f>H19</f>
        <v>100</v>
      </c>
      <c r="V19" s="703" t="s">
        <v>14</v>
      </c>
      <c r="W19" s="704">
        <f>J19</f>
        <v>100</v>
      </c>
      <c r="X19" s="1353"/>
      <c r="Y19" s="365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1"/>
      <c r="Q20" s="1350"/>
      <c r="R20" s="703"/>
      <c r="S20" s="704"/>
      <c r="T20" s="703"/>
      <c r="U20" s="704"/>
      <c r="V20" s="703"/>
      <c r="W20" s="704"/>
      <c r="X20" s="1353"/>
      <c r="Y20" s="365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1"/>
      <c r="Q21" s="1350" t="str">
        <f t="shared" si="8"/>
        <v>环境状况</v>
      </c>
      <c r="R21" s="703" t="s">
        <v>14</v>
      </c>
      <c r="S21" s="704">
        <f>F21</f>
        <v>100</v>
      </c>
      <c r="T21" s="703" t="s">
        <v>14</v>
      </c>
      <c r="U21" s="704">
        <f>H21</f>
        <v>100</v>
      </c>
      <c r="V21" s="703" t="s">
        <v>14</v>
      </c>
      <c r="W21" s="704">
        <f>J21</f>
        <v>100</v>
      </c>
      <c r="X21" s="1353"/>
      <c r="Y21" s="365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1"/>
      <c r="Q22" s="1350"/>
      <c r="R22" s="703"/>
      <c r="S22" s="704"/>
      <c r="T22" s="703"/>
      <c r="U22" s="704"/>
      <c r="V22" s="703"/>
      <c r="W22" s="704"/>
      <c r="X22" s="1353"/>
      <c r="Y22" s="365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1"/>
      <c r="Q23" s="1341" t="str">
        <f t="shared" si="8"/>
        <v>公共配套设施</v>
      </c>
      <c r="R23" s="699" t="s">
        <v>14</v>
      </c>
      <c r="S23" s="700">
        <f>F23</f>
        <v>100</v>
      </c>
      <c r="T23" s="699" t="s">
        <v>14</v>
      </c>
      <c r="U23" s="700">
        <f>H23</f>
        <v>100</v>
      </c>
      <c r="V23" s="699" t="s">
        <v>14</v>
      </c>
      <c r="W23" s="700">
        <f>J23</f>
        <v>100</v>
      </c>
      <c r="X23" s="701"/>
      <c r="Y23" s="365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1"/>
      <c r="Q24" s="1341"/>
      <c r="R24" s="699"/>
      <c r="S24" s="700"/>
      <c r="T24" s="699"/>
      <c r="U24" s="700"/>
      <c r="V24" s="699"/>
      <c r="W24" s="700"/>
      <c r="X24" s="701"/>
      <c r="Y24" s="365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1"/>
      <c r="Q25" s="1341" t="str">
        <f t="shared" ref="Q25" si="9">B25</f>
        <v>基础设施水平</v>
      </c>
      <c r="R25" s="699" t="s">
        <v>14</v>
      </c>
      <c r="S25" s="700">
        <f>F25</f>
        <v>100</v>
      </c>
      <c r="T25" s="699" t="s">
        <v>14</v>
      </c>
      <c r="U25" s="700">
        <f>H25</f>
        <v>100</v>
      </c>
      <c r="V25" s="699" t="s">
        <v>14</v>
      </c>
      <c r="W25" s="700">
        <f>J25</f>
        <v>100</v>
      </c>
      <c r="X25" s="701"/>
      <c r="Y25" s="365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1"/>
      <c r="Q26" s="1341"/>
      <c r="R26" s="699"/>
      <c r="S26" s="700"/>
      <c r="T26" s="699"/>
      <c r="U26" s="700"/>
      <c r="V26" s="699"/>
      <c r="W26" s="700"/>
      <c r="X26" s="701"/>
      <c r="Y26" s="365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1"/>
      <c r="Q28" s="1350" t="str">
        <f t="shared" si="8"/>
        <v>毗邻道路的类型与等级</v>
      </c>
      <c r="R28" s="703" t="s">
        <v>14</v>
      </c>
      <c r="S28" s="704">
        <f t="shared" si="10"/>
        <v>100</v>
      </c>
      <c r="T28" s="703" t="s">
        <v>14</v>
      </c>
      <c r="U28" s="704">
        <f t="shared" si="11"/>
        <v>100</v>
      </c>
      <c r="V28" s="703" t="s">
        <v>14</v>
      </c>
      <c r="W28" s="704">
        <f t="shared" si="12"/>
        <v>100</v>
      </c>
      <c r="X28" s="1353"/>
      <c r="Y28" s="365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1"/>
      <c r="Q29" s="1350"/>
      <c r="R29" s="703"/>
      <c r="S29" s="704"/>
      <c r="T29" s="703"/>
      <c r="U29" s="704"/>
      <c r="V29" s="703"/>
      <c r="W29" s="704"/>
      <c r="X29" s="1353"/>
      <c r="Y29" s="365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1"/>
      <c r="Q30" s="1350" t="str">
        <f t="shared" si="8"/>
        <v>土地级别</v>
      </c>
      <c r="R30" s="703" t="s">
        <v>14</v>
      </c>
      <c r="S30" s="704">
        <f t="shared" si="10"/>
        <v>100</v>
      </c>
      <c r="T30" s="703" t="s">
        <v>14</v>
      </c>
      <c r="U30" s="704">
        <f t="shared" si="11"/>
        <v>100</v>
      </c>
      <c r="V30" s="703" t="s">
        <v>14</v>
      </c>
      <c r="W30" s="704">
        <f t="shared" si="12"/>
        <v>100</v>
      </c>
      <c r="X30" s="1353"/>
      <c r="Y30" s="365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1"/>
      <c r="Q31" s="1350">
        <f t="shared" si="8"/>
        <v>111</v>
      </c>
      <c r="R31" s="703" t="s">
        <v>14</v>
      </c>
      <c r="S31" s="704">
        <f t="shared" si="10"/>
        <v>100</v>
      </c>
      <c r="T31" s="703" t="s">
        <v>14</v>
      </c>
      <c r="U31" s="704">
        <f t="shared" si="11"/>
        <v>100</v>
      </c>
      <c r="V31" s="703" t="s">
        <v>14</v>
      </c>
      <c r="W31" s="704">
        <f t="shared" si="12"/>
        <v>100</v>
      </c>
      <c r="X31" s="1353"/>
      <c r="Y31" s="365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6" t="s">
        <v>1696</v>
      </c>
      <c r="Q32" s="1350">
        <f t="shared" si="8"/>
        <v>111</v>
      </c>
      <c r="R32" s="703" t="s">
        <v>14</v>
      </c>
      <c r="S32" s="704">
        <f t="shared" si="10"/>
        <v>100</v>
      </c>
      <c r="T32" s="703" t="s">
        <v>14</v>
      </c>
      <c r="U32" s="704">
        <f t="shared" si="11"/>
        <v>100</v>
      </c>
      <c r="V32" s="703" t="s">
        <v>14</v>
      </c>
      <c r="W32" s="704">
        <f t="shared" si="12"/>
        <v>100</v>
      </c>
      <c r="X32" s="1353"/>
      <c r="Y32" s="365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5"/>
      <c r="Q33" s="1350">
        <f t="shared" si="8"/>
        <v>111</v>
      </c>
      <c r="R33" s="706" t="s">
        <v>14</v>
      </c>
      <c r="S33" s="707">
        <f t="shared" si="10"/>
        <v>100</v>
      </c>
      <c r="T33" s="706" t="s">
        <v>14</v>
      </c>
      <c r="U33" s="707">
        <f t="shared" si="11"/>
        <v>100</v>
      </c>
      <c r="V33" s="706" t="s">
        <v>14</v>
      </c>
      <c r="W33" s="707">
        <f t="shared" si="12"/>
        <v>100</v>
      </c>
      <c r="X33" s="708"/>
      <c r="Y33" s="365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5"/>
      <c r="Q34" s="1350" t="str">
        <f>B34</f>
        <v>宗地面积</v>
      </c>
      <c r="R34" s="703" t="s">
        <v>14</v>
      </c>
      <c r="S34" s="704" t="e">
        <f t="shared" si="10"/>
        <v>#N/A</v>
      </c>
      <c r="T34" s="703" t="s">
        <v>14</v>
      </c>
      <c r="U34" s="704" t="e">
        <f t="shared" si="11"/>
        <v>#N/A</v>
      </c>
      <c r="V34" s="703" t="s">
        <v>14</v>
      </c>
      <c r="W34" s="704" t="e">
        <f t="shared" si="12"/>
        <v>#N/A</v>
      </c>
      <c r="X34" s="1353"/>
      <c r="Y34" s="365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5"/>
      <c r="Q35" s="1350" t="str">
        <f t="shared" ref="Q35:Q40" si="14">B35</f>
        <v>宗地形状</v>
      </c>
      <c r="R35" s="703" t="s">
        <v>14</v>
      </c>
      <c r="S35" s="704">
        <f t="shared" si="10"/>
        <v>100</v>
      </c>
      <c r="T35" s="703" t="s">
        <v>14</v>
      </c>
      <c r="U35" s="704">
        <f t="shared" si="11"/>
        <v>100</v>
      </c>
      <c r="V35" s="703" t="s">
        <v>14</v>
      </c>
      <c r="W35" s="704">
        <f t="shared" si="12"/>
        <v>100</v>
      </c>
      <c r="X35" s="1353"/>
      <c r="Y35" s="365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5"/>
      <c r="Q36" s="1350" t="str">
        <f t="shared" si="14"/>
        <v>宗地开发程度</v>
      </c>
      <c r="R36" s="699" t="s">
        <v>14</v>
      </c>
      <c r="S36" s="700">
        <f t="shared" si="10"/>
        <v>100</v>
      </c>
      <c r="T36" s="699" t="s">
        <v>14</v>
      </c>
      <c r="U36" s="700">
        <f t="shared" si="11"/>
        <v>100</v>
      </c>
      <c r="V36" s="699" t="s">
        <v>14</v>
      </c>
      <c r="W36" s="700">
        <f t="shared" si="12"/>
        <v>100</v>
      </c>
      <c r="X36" s="701"/>
      <c r="Y36" s="365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5" t="s">
        <v>1696</v>
      </c>
      <c r="Q37" s="1350" t="str">
        <f t="shared" si="14"/>
        <v>工程地质条件</v>
      </c>
      <c r="R37" s="703" t="s">
        <v>14</v>
      </c>
      <c r="S37" s="704">
        <f t="shared" si="10"/>
        <v>100</v>
      </c>
      <c r="T37" s="703" t="s">
        <v>14</v>
      </c>
      <c r="U37" s="704">
        <f t="shared" si="11"/>
        <v>100</v>
      </c>
      <c r="V37" s="703" t="s">
        <v>14</v>
      </c>
      <c r="W37" s="704">
        <f t="shared" si="12"/>
        <v>100</v>
      </c>
      <c r="X37" s="1353"/>
      <c r="Y37" s="365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5"/>
      <c r="Q38" s="1350">
        <f t="shared" si="14"/>
        <v>111</v>
      </c>
      <c r="R38" s="703" t="s">
        <v>14</v>
      </c>
      <c r="S38" s="704">
        <f t="shared" si="10"/>
        <v>100</v>
      </c>
      <c r="T38" s="703" t="s">
        <v>14</v>
      </c>
      <c r="U38" s="704">
        <f t="shared" si="11"/>
        <v>100</v>
      </c>
      <c r="V38" s="703" t="s">
        <v>14</v>
      </c>
      <c r="W38" s="704">
        <f t="shared" si="12"/>
        <v>100</v>
      </c>
      <c r="X38" s="1353"/>
      <c r="Y38" s="365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5"/>
      <c r="Q39" s="1350">
        <f t="shared" si="14"/>
        <v>111</v>
      </c>
      <c r="R39" s="703" t="s">
        <v>14</v>
      </c>
      <c r="S39" s="704">
        <f t="shared" si="10"/>
        <v>100</v>
      </c>
      <c r="T39" s="703" t="s">
        <v>14</v>
      </c>
      <c r="U39" s="704">
        <f t="shared" si="11"/>
        <v>100</v>
      </c>
      <c r="V39" s="703" t="s">
        <v>14</v>
      </c>
      <c r="W39" s="704">
        <f t="shared" si="12"/>
        <v>100</v>
      </c>
      <c r="X39" s="1353"/>
      <c r="Y39" s="365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5"/>
      <c r="Q40" s="1350">
        <f t="shared" si="14"/>
        <v>111</v>
      </c>
      <c r="R40" s="706" t="s">
        <v>14</v>
      </c>
      <c r="S40" s="707">
        <f t="shared" si="10"/>
        <v>100</v>
      </c>
      <c r="T40" s="706" t="s">
        <v>14</v>
      </c>
      <c r="U40" s="707">
        <f t="shared" si="11"/>
        <v>100</v>
      </c>
      <c r="V40" s="706" t="s">
        <v>14</v>
      </c>
      <c r="W40" s="707">
        <f t="shared" si="12"/>
        <v>100</v>
      </c>
      <c r="X40" s="708"/>
      <c r="Y40" s="3655"/>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43" t="str">
        <f>A41</f>
        <v>成交单价</v>
      </c>
      <c r="Q41" s="3643"/>
      <c r="R41" s="3677">
        <f>E41</f>
        <v>9000</v>
      </c>
      <c r="S41" s="3677"/>
      <c r="T41" s="3677">
        <f>G41</f>
        <v>9000</v>
      </c>
      <c r="U41" s="3677"/>
      <c r="V41" s="3677">
        <f>I41</f>
        <v>0</v>
      </c>
      <c r="W41" s="367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3" t="str">
        <f>A42</f>
        <v>比较价值（元/平方米）</v>
      </c>
      <c r="Q42" s="3643"/>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3" t="str">
        <f>A43</f>
        <v>估价对象XX用房的比较价值（楼面单价，元/平方米）</v>
      </c>
      <c r="Q43" s="3694"/>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176.09</v>
      </c>
      <c r="F51" s="639" t="e">
        <f t="shared" ref="F51:F60" si="15">ROUND(B51*E51/10000,0)</f>
        <v>#DIV/0!</v>
      </c>
      <c r="G51" s="3642"/>
      <c r="H51" s="3643"/>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570</v>
      </c>
      <c r="C2" s="2143" t="s">
        <v>2074</v>
      </c>
      <c r="D2" s="2143" t="s">
        <v>2075</v>
      </c>
      <c r="E2" s="2610">
        <f ca="1">SUMIF(E6:E13,"&lt;&gt;#ref!",E6:E13)</f>
        <v>176.09</v>
      </c>
      <c r="F2" s="2791"/>
      <c r="G2" s="2791"/>
      <c r="H2" s="2791"/>
      <c r="I2" s="2791"/>
      <c r="J2" s="2791"/>
      <c r="K2" s="2791"/>
      <c r="L2" s="2791"/>
      <c r="M2" s="2791"/>
      <c r="N2" s="2791"/>
      <c r="O2" s="2791"/>
      <c r="P2" s="2791"/>
    </row>
    <row r="3" spans="1:16" ht="15.75">
      <c r="A3" s="2143" t="s">
        <v>2076</v>
      </c>
      <c r="B3" s="2600">
        <f ca="1">ROUND(B2*10000/E2,0)</f>
        <v>32370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570</v>
      </c>
      <c r="C6" s="2143" t="s">
        <v>2074</v>
      </c>
      <c r="D6" s="2791"/>
      <c r="E6" s="2610">
        <f ca="1">SUMIF(INDIRECT("'"&amp;A6&amp;"'"&amp;"!C:C"),"建筑面积",INDIRECT("'"&amp;A6&amp;"'"&amp;"!D:D"))</f>
        <v>176.09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8"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0" t="s">
        <v>2634</v>
      </c>
      <c r="B27" s="3768" t="s">
        <v>2615</v>
      </c>
      <c r="C27" s="3101" t="s">
        <v>2455</v>
      </c>
      <c r="D27" s="3102"/>
      <c r="E27" s="3103">
        <v>1</v>
      </c>
      <c r="F27" s="3104" t="s">
        <v>2456</v>
      </c>
      <c r="G27" s="3104"/>
    </row>
    <row r="28" spans="1:13" ht="19.5" customHeight="1">
      <c r="A28" s="3771"/>
      <c r="B28" s="3767"/>
      <c r="C28" s="3105" t="s">
        <v>2457</v>
      </c>
      <c r="D28" s="3106"/>
      <c r="E28" s="3107">
        <v>1</v>
      </c>
      <c r="F28" s="3104" t="s">
        <v>2458</v>
      </c>
      <c r="G28" s="3104"/>
    </row>
    <row r="29" spans="1:13" ht="19.5" customHeight="1">
      <c r="A29" s="3771"/>
      <c r="B29" s="3767"/>
      <c r="C29" s="3105" t="s">
        <v>2459</v>
      </c>
      <c r="D29" s="3106"/>
      <c r="E29" s="3107">
        <v>0.8</v>
      </c>
      <c r="F29" s="3104" t="s">
        <v>2460</v>
      </c>
      <c r="G29" s="3104"/>
    </row>
    <row r="30" spans="1:13" ht="19.5" customHeight="1">
      <c r="A30" s="3771"/>
      <c r="B30" s="3767"/>
      <c r="C30" s="3105" t="s">
        <v>2461</v>
      </c>
      <c r="D30" s="3106"/>
      <c r="E30" s="3107">
        <v>0.8</v>
      </c>
      <c r="F30" s="3104" t="s">
        <v>2462</v>
      </c>
      <c r="G30" s="3104"/>
    </row>
    <row r="31" spans="1:13" ht="19.5" customHeight="1">
      <c r="A31" s="3771"/>
      <c r="B31" s="3767"/>
      <c r="C31" s="3105" t="s">
        <v>2463</v>
      </c>
      <c r="D31" s="3106"/>
      <c r="E31" s="3107">
        <v>0.8</v>
      </c>
      <c r="F31" s="3104" t="s">
        <v>2464</v>
      </c>
      <c r="G31" s="3104"/>
    </row>
    <row r="32" spans="1:13" ht="19.5" customHeight="1">
      <c r="A32" s="3771"/>
      <c r="B32" s="3767"/>
      <c r="C32" s="3105" t="s">
        <v>2465</v>
      </c>
      <c r="D32" s="3106"/>
      <c r="E32" s="3107">
        <v>0.7</v>
      </c>
      <c r="F32" s="3104" t="s">
        <v>2466</v>
      </c>
      <c r="G32" s="3104"/>
    </row>
    <row r="33" spans="1:7" ht="19.5" customHeight="1">
      <c r="A33" s="3771"/>
      <c r="B33" s="3767"/>
      <c r="C33" s="3105" t="s">
        <v>2467</v>
      </c>
      <c r="D33" s="3106"/>
      <c r="E33" s="3107">
        <v>0.8</v>
      </c>
      <c r="F33" s="3104" t="s">
        <v>2468</v>
      </c>
      <c r="G33" s="3104"/>
    </row>
    <row r="34" spans="1:7" ht="19.5" customHeight="1">
      <c r="A34" s="3771"/>
      <c r="B34" s="3767"/>
      <c r="C34" s="3105" t="s">
        <v>2469</v>
      </c>
      <c r="D34" s="3106"/>
      <c r="E34" s="3107">
        <v>0.6</v>
      </c>
      <c r="F34" s="3104" t="s">
        <v>2470</v>
      </c>
      <c r="G34" s="3104"/>
    </row>
    <row r="35" spans="1:7" ht="19.5" customHeight="1">
      <c r="A35" s="3771"/>
      <c r="B35" s="3767"/>
      <c r="C35" s="3105" t="s">
        <v>2471</v>
      </c>
      <c r="D35" s="3106"/>
      <c r="E35" s="3107">
        <v>0.2</v>
      </c>
      <c r="F35" s="3104" t="s">
        <v>2472</v>
      </c>
      <c r="G35" s="3104"/>
    </row>
    <row r="36" spans="1:7" ht="19.5" customHeight="1">
      <c r="A36" s="3771"/>
      <c r="B36" s="3767"/>
      <c r="C36" s="3105" t="s">
        <v>2473</v>
      </c>
      <c r="D36" s="3106"/>
      <c r="E36" s="3107">
        <v>0.2</v>
      </c>
      <c r="F36" s="3104" t="s">
        <v>2474</v>
      </c>
      <c r="G36" s="3104"/>
    </row>
    <row r="37" spans="1:7" ht="19.5" customHeight="1">
      <c r="A37" s="3771"/>
      <c r="B37" s="3765" t="s">
        <v>2635</v>
      </c>
      <c r="C37" s="3105" t="s">
        <v>2475</v>
      </c>
      <c r="D37" s="3106"/>
      <c r="E37" s="3107">
        <v>0.6</v>
      </c>
      <c r="F37" s="3104" t="s">
        <v>2476</v>
      </c>
      <c r="G37" s="3104"/>
    </row>
    <row r="38" spans="1:7" ht="19.5" customHeight="1">
      <c r="A38" s="3771"/>
      <c r="B38" s="3767"/>
      <c r="C38" s="3105" t="s">
        <v>2477</v>
      </c>
      <c r="D38" s="3106"/>
      <c r="E38" s="3107">
        <v>0.6</v>
      </c>
      <c r="F38" s="3104" t="s">
        <v>2478</v>
      </c>
      <c r="G38" s="3104"/>
    </row>
    <row r="39" spans="1:7" ht="19.5" customHeight="1" thickBot="1">
      <c r="A39" s="3772"/>
      <c r="B39" s="376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8"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6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65"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5"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66"/>
      <c r="C89" s="3090" t="s">
        <v>2687</v>
      </c>
      <c r="D89" s="3090" t="s">
        <v>2688</v>
      </c>
      <c r="E89" s="3116">
        <v>0.1</v>
      </c>
      <c r="F89" s="3116">
        <v>15</v>
      </c>
    </row>
    <row r="90" spans="1:6" ht="13.5">
      <c r="A90" s="3116">
        <v>18</v>
      </c>
      <c r="B90" s="3765"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66"/>
      <c r="C106" s="3090" t="s">
        <v>2722</v>
      </c>
      <c r="D106" s="3090" t="s">
        <v>2723</v>
      </c>
      <c r="E106" s="3116">
        <v>0.1</v>
      </c>
      <c r="F106" s="3116">
        <v>15</v>
      </c>
    </row>
    <row r="107" spans="1:6" ht="24">
      <c r="A107" s="3116">
        <v>35</v>
      </c>
      <c r="B107" s="3765"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66"/>
      <c r="C112" s="3116" t="s">
        <v>2735</v>
      </c>
      <c r="D112" s="3090" t="s">
        <v>2736</v>
      </c>
      <c r="E112" s="3116">
        <v>0.1</v>
      </c>
      <c r="F112" s="3116">
        <v>15</v>
      </c>
    </row>
    <row r="113" spans="1:6" ht="13.5">
      <c r="A113" s="3116">
        <v>41</v>
      </c>
      <c r="B113" s="3764" t="s">
        <v>2737</v>
      </c>
      <c r="C113" s="3116" t="s">
        <v>2738</v>
      </c>
      <c r="D113" s="3090" t="s">
        <v>2739</v>
      </c>
      <c r="E113" s="3116">
        <v>0.1</v>
      </c>
      <c r="F113" s="3116">
        <v>15</v>
      </c>
    </row>
    <row r="114" spans="1:6" ht="13.5">
      <c r="A114" s="3116">
        <v>42</v>
      </c>
      <c r="B114" s="3764"/>
      <c r="C114" s="3116" t="s">
        <v>2740</v>
      </c>
      <c r="D114" s="3090" t="s">
        <v>2741</v>
      </c>
      <c r="E114" s="3116">
        <v>0.1</v>
      </c>
      <c r="F114" s="3116">
        <v>15</v>
      </c>
    </row>
    <row r="115" spans="1:6" ht="24">
      <c r="A115" s="3116">
        <v>43</v>
      </c>
      <c r="B115" s="3764"/>
      <c r="C115" s="3116" t="s">
        <v>2742</v>
      </c>
      <c r="D115" s="3090" t="s">
        <v>2743</v>
      </c>
      <c r="E115" s="3116">
        <v>0.1</v>
      </c>
      <c r="F115" s="3116">
        <v>15</v>
      </c>
    </row>
    <row r="116" spans="1:6" ht="13.5">
      <c r="A116" s="3116">
        <v>44</v>
      </c>
      <c r="B116" s="3765" t="s">
        <v>2744</v>
      </c>
      <c r="C116" s="3116" t="s">
        <v>2745</v>
      </c>
      <c r="D116" s="3090" t="s">
        <v>2746</v>
      </c>
      <c r="E116" s="3116">
        <v>0.1</v>
      </c>
      <c r="F116" s="3116">
        <v>15</v>
      </c>
    </row>
    <row r="117" spans="1:6" ht="24">
      <c r="A117" s="3116">
        <v>45</v>
      </c>
      <c r="B117" s="3766"/>
      <c r="C117" s="3090" t="s">
        <v>2747</v>
      </c>
      <c r="D117" s="3090" t="s">
        <v>2748</v>
      </c>
      <c r="E117" s="3116">
        <v>0.1</v>
      </c>
      <c r="F117" s="3116">
        <v>15</v>
      </c>
    </row>
    <row r="118" spans="1:6" ht="24">
      <c r="A118" s="3116">
        <v>46</v>
      </c>
      <c r="B118" s="3765" t="s">
        <v>2749</v>
      </c>
      <c r="C118" s="3116" t="s">
        <v>2750</v>
      </c>
      <c r="D118" s="3090" t="s">
        <v>2751</v>
      </c>
      <c r="E118" s="3116">
        <v>0.1</v>
      </c>
      <c r="F118" s="3116">
        <v>15</v>
      </c>
    </row>
    <row r="119" spans="1:6" ht="24">
      <c r="A119" s="3116">
        <v>47</v>
      </c>
      <c r="B119" s="3766"/>
      <c r="C119" s="3116" t="s">
        <v>2752</v>
      </c>
      <c r="D119" s="3090" t="s">
        <v>2753</v>
      </c>
      <c r="E119" s="3116">
        <v>0.1</v>
      </c>
      <c r="F119" s="3116">
        <v>15</v>
      </c>
    </row>
    <row r="120" spans="1:6" ht="13.5">
      <c r="A120" s="3116">
        <v>48</v>
      </c>
      <c r="B120" s="3765" t="s">
        <v>2754</v>
      </c>
      <c r="C120" s="3116" t="s">
        <v>2755</v>
      </c>
      <c r="D120" s="3090" t="s">
        <v>2756</v>
      </c>
      <c r="E120" s="3116">
        <v>0.1</v>
      </c>
      <c r="F120" s="3116">
        <v>15</v>
      </c>
    </row>
    <row r="121" spans="1:6" ht="13.5">
      <c r="A121" s="3116">
        <v>49</v>
      </c>
      <c r="B121" s="3766"/>
      <c r="C121" s="3116" t="s">
        <v>2757</v>
      </c>
      <c r="D121" s="3090" t="s">
        <v>2758</v>
      </c>
      <c r="E121" s="3116">
        <v>0.1</v>
      </c>
      <c r="F121" s="3116">
        <v>15</v>
      </c>
    </row>
    <row r="122" spans="1:6" ht="24">
      <c r="A122" s="3116">
        <v>50</v>
      </c>
      <c r="B122" s="3764" t="s">
        <v>2759</v>
      </c>
      <c r="C122" s="3116" t="s">
        <v>2760</v>
      </c>
      <c r="D122" s="3090" t="s">
        <v>2761</v>
      </c>
      <c r="E122" s="3116">
        <v>0.1</v>
      </c>
      <c r="F122" s="3116">
        <v>15</v>
      </c>
    </row>
    <row r="123" spans="1:6" ht="24">
      <c r="A123" s="3116">
        <v>51</v>
      </c>
      <c r="B123" s="3764"/>
      <c r="C123" s="3116" t="s">
        <v>2762</v>
      </c>
      <c r="D123" s="3090" t="s">
        <v>2763</v>
      </c>
      <c r="E123" s="3116">
        <v>0.1</v>
      </c>
      <c r="F123" s="3116">
        <v>15</v>
      </c>
    </row>
    <row r="124" spans="1:6" ht="24">
      <c r="A124" s="3116">
        <v>52</v>
      </c>
      <c r="B124" s="3764" t="s">
        <v>2764</v>
      </c>
      <c r="C124" s="3116" t="s">
        <v>2765</v>
      </c>
      <c r="D124" s="3090" t="s">
        <v>2766</v>
      </c>
      <c r="E124" s="3116">
        <v>0.1</v>
      </c>
      <c r="F124" s="3116">
        <v>15</v>
      </c>
    </row>
    <row r="125" spans="1:6" ht="24">
      <c r="A125" s="3116">
        <v>53</v>
      </c>
      <c r="B125" s="376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4" t="s">
        <v>2772</v>
      </c>
      <c r="C127" s="3116" t="s">
        <v>2773</v>
      </c>
      <c r="D127" s="3090" t="s">
        <v>2774</v>
      </c>
      <c r="E127" s="3116">
        <v>0.1</v>
      </c>
      <c r="F127" s="3116">
        <v>15</v>
      </c>
    </row>
    <row r="128" spans="1:6" ht="13.5">
      <c r="A128" s="3116">
        <v>56</v>
      </c>
      <c r="B128" s="3764"/>
      <c r="C128" s="3116" t="s">
        <v>2775</v>
      </c>
      <c r="D128" s="3090" t="s">
        <v>2776</v>
      </c>
      <c r="E128" s="3116">
        <v>0.1</v>
      </c>
      <c r="F128" s="3116">
        <v>15</v>
      </c>
    </row>
    <row r="129" spans="1:6" ht="24">
      <c r="A129" s="3116">
        <v>57</v>
      </c>
      <c r="B129" s="3764"/>
      <c r="C129" s="3116" t="s">
        <v>2777</v>
      </c>
      <c r="D129" s="3090" t="s">
        <v>2778</v>
      </c>
      <c r="E129" s="3116">
        <v>0.1</v>
      </c>
      <c r="F129" s="3116">
        <v>15</v>
      </c>
    </row>
    <row r="130" spans="1:6" ht="24">
      <c r="A130" s="3116">
        <v>58</v>
      </c>
      <c r="B130" s="3764" t="s">
        <v>2779</v>
      </c>
      <c r="C130" s="3116" t="s">
        <v>2780</v>
      </c>
      <c r="D130" s="3090" t="s">
        <v>2781</v>
      </c>
      <c r="E130" s="3116">
        <v>0.1</v>
      </c>
      <c r="F130" s="3116">
        <v>15</v>
      </c>
    </row>
    <row r="131" spans="1:6" ht="13.5">
      <c r="A131" s="3116">
        <v>59</v>
      </c>
      <c r="B131" s="3764"/>
      <c r="C131" s="3116" t="s">
        <v>2782</v>
      </c>
      <c r="D131" s="3090" t="s">
        <v>2783</v>
      </c>
      <c r="E131" s="3116">
        <v>0.1</v>
      </c>
      <c r="F131" s="3116">
        <v>15</v>
      </c>
    </row>
    <row r="132" spans="1:6" ht="13.5">
      <c r="A132" s="3116">
        <v>60</v>
      </c>
      <c r="B132" s="3765" t="s">
        <v>2784</v>
      </c>
      <c r="C132" s="3116" t="s">
        <v>2785</v>
      </c>
      <c r="D132" s="3090" t="s">
        <v>2786</v>
      </c>
      <c r="E132" s="3116">
        <v>0.1</v>
      </c>
      <c r="F132" s="3116">
        <v>15</v>
      </c>
    </row>
    <row r="133" spans="1:6" ht="13.5">
      <c r="A133" s="3116">
        <v>61</v>
      </c>
      <c r="B133" s="376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4" t="s">
        <v>2792</v>
      </c>
      <c r="C135" s="3116" t="s">
        <v>2793</v>
      </c>
      <c r="D135" s="3090" t="s">
        <v>2794</v>
      </c>
      <c r="E135" s="3116">
        <v>0.1</v>
      </c>
      <c r="F135" s="3116">
        <v>15</v>
      </c>
    </row>
    <row r="136" spans="1:6" ht="13.5">
      <c r="A136" s="3116">
        <v>64</v>
      </c>
      <c r="B136" s="376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27863</v>
      </c>
      <c r="C2" s="2" t="s">
        <v>106</v>
      </c>
      <c r="D2" s="199"/>
      <c r="E2" s="199"/>
      <c r="F2" s="199"/>
      <c r="G2" s="199"/>
    </row>
    <row r="3" spans="1:7" s="200" customFormat="1" ht="18" customHeight="1" thickBot="1">
      <c r="A3" s="203" t="s">
        <v>58</v>
      </c>
      <c r="B3" s="204">
        <f ca="1">ROUND(B2*10000/'数据-汇总表'!E3,0)</f>
        <v>1582316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176.09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176.09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176.09</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640</v>
      </c>
      <c r="E5" s="1489"/>
    </row>
    <row r="6" spans="1:5" ht="15.75">
      <c r="A6" s="1489"/>
      <c r="B6" s="3458"/>
      <c r="C6" s="1492" t="s">
        <v>911</v>
      </c>
      <c r="D6" s="848" t="str">
        <f ca="1">NUMBERSTRING(INT(D5*10000),2)&amp;"元整"</f>
        <v>陆佰肆拾万元整</v>
      </c>
      <c r="E6" s="1489"/>
    </row>
    <row r="7" spans="1:5" ht="15.75">
      <c r="A7" s="1489"/>
      <c r="B7" s="3463"/>
      <c r="C7" s="1493" t="s">
        <v>912</v>
      </c>
      <c r="D7" s="849">
        <f ca="1">结果表!H102</f>
        <v>36340</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640</v>
      </c>
      <c r="E13" s="1489"/>
    </row>
    <row r="14" spans="1:5" ht="15.75">
      <c r="A14" s="1489"/>
      <c r="B14" s="3458"/>
      <c r="C14" s="1492" t="s">
        <v>911</v>
      </c>
      <c r="D14" s="848" t="str">
        <f ca="1">NUMBERSTRING(INT(D13*10000),2)&amp;"元整"</f>
        <v>陆佰肆拾万元整</v>
      </c>
      <c r="E14" s="1489"/>
    </row>
    <row r="15" spans="1:5" ht="15">
      <c r="A15" s="1489"/>
      <c r="B15" s="3463"/>
      <c r="C15" s="1493" t="s">
        <v>921</v>
      </c>
      <c r="D15" s="857">
        <f ca="1">结果表!H108</f>
        <v>36340</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176.09</v>
      </c>
      <c r="C4" s="852">
        <f>项目基本情况!C18</f>
        <v>0</v>
      </c>
      <c r="D4" s="852">
        <f ca="1">结果表!D118</f>
        <v>512</v>
      </c>
      <c r="E4" s="852">
        <f ca="1">结果表!E118</f>
        <v>29072</v>
      </c>
      <c r="F4" s="852">
        <f ca="1">结果表!F118</f>
        <v>128</v>
      </c>
      <c r="G4" s="852">
        <f ca="1">结果表!G118</f>
        <v>7268</v>
      </c>
      <c r="H4" s="852">
        <f ca="1">结果表!H118</f>
        <v>640</v>
      </c>
      <c r="I4" s="852">
        <f ca="1">结果表!I118</f>
        <v>36340</v>
      </c>
    </row>
    <row r="5" spans="1:9" ht="30" customHeight="1">
      <c r="A5" s="3470" t="s">
        <v>927</v>
      </c>
      <c r="B5" s="3470"/>
      <c r="C5" s="3470"/>
      <c r="D5" s="3470" t="str">
        <f ca="1">结果表!D119</f>
        <v>伍佰壹拾贰万元整</v>
      </c>
      <c r="E5" s="3470"/>
      <c r="F5" s="3470" t="str">
        <f ca="1">结果表!F119</f>
        <v>壹佰贰拾捌万元整</v>
      </c>
      <c r="G5" s="3470"/>
      <c r="H5" s="3470" t="str">
        <f ca="1">结果表!H119</f>
        <v>陆佰肆拾万元整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640</v>
      </c>
      <c r="E8" s="3469"/>
      <c r="F8" s="3469"/>
      <c r="G8" s="3469"/>
      <c r="H8" s="3469"/>
      <c r="I8" s="3469"/>
    </row>
    <row r="9" spans="1:9" ht="15">
      <c r="A9" s="3470" t="s">
        <v>927</v>
      </c>
      <c r="B9" s="3470"/>
      <c r="C9" s="3470"/>
      <c r="D9" s="3470" t="str">
        <f ca="1">结果表!D123</f>
        <v>陆佰肆拾万元整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45166</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2023-08-28T05:10:28Z</dcterms:modified>
</cp:coreProperties>
</file>