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8" i="39" l="1"/>
  <c r="G40" i="39"/>
  <c r="G9" i="39"/>
  <c r="G7" i="39"/>
  <c r="I48" i="39"/>
  <c r="E48" i="39"/>
  <c r="E40" i="39"/>
  <c r="E9" i="39"/>
  <c r="E7" i="39"/>
  <c r="I40" i="39"/>
  <c r="I9" i="39"/>
  <c r="I7" i="39"/>
  <c r="B24" i="31"/>
  <c r="K13" i="3"/>
  <c r="I13" i="3"/>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F14" i="12"/>
  <c r="C14" i="12"/>
  <c r="F15" i="12"/>
  <c r="C15" i="12"/>
  <c r="BB13" i="3"/>
  <c r="BC13" i="3"/>
  <c r="BA13" i="3"/>
  <c r="AZ13" i="3"/>
  <c r="AZ5" i="3"/>
  <c r="E3" i="6"/>
  <c r="D16" i="12"/>
  <c r="C16" i="12"/>
  <c r="C17" i="12"/>
  <c r="C18" i="12"/>
  <c r="D19" i="12"/>
  <c r="C19" i="12"/>
  <c r="BB5" i="3"/>
  <c r="E5" i="6"/>
  <c r="D21" i="12"/>
  <c r="C21" i="12"/>
  <c r="E6" i="6"/>
  <c r="D22" i="12"/>
  <c r="C22" i="12"/>
  <c r="C20" i="12"/>
  <c r="C23" i="12"/>
  <c r="I5" i="65"/>
  <c r="B22" i="1"/>
  <c r="C2" i="65"/>
  <c r="I1" i="65"/>
  <c r="I4" i="65"/>
  <c r="E2" i="65"/>
  <c r="B40" i="1"/>
  <c r="F26" i="12"/>
  <c r="C33" i="21"/>
  <c r="F33" i="21"/>
  <c r="AA33" i="21"/>
  <c r="F7" i="21"/>
  <c r="AA7" i="21"/>
  <c r="D77" i="21"/>
  <c r="E77" i="21"/>
  <c r="F77" i="21"/>
  <c r="F15" i="21"/>
  <c r="AA15" i="21"/>
  <c r="D123" i="21"/>
  <c r="E123" i="21"/>
  <c r="F123" i="21"/>
  <c r="F42" i="21"/>
  <c r="AA42" i="21"/>
  <c r="D79" i="21"/>
  <c r="E79" i="21"/>
  <c r="F17" i="21"/>
  <c r="AA17" i="21"/>
  <c r="R47" i="21"/>
  <c r="D81" i="21"/>
  <c r="F19" i="21"/>
  <c r="AA19" i="21"/>
  <c r="R48" i="21"/>
  <c r="H33" i="21"/>
  <c r="AB33" i="21"/>
  <c r="H7" i="21"/>
  <c r="AB7" i="21"/>
  <c r="H15" i="21"/>
  <c r="AB15" i="21"/>
  <c r="H42" i="21"/>
  <c r="AB42" i="21"/>
  <c r="H17" i="21"/>
  <c r="AB17" i="21"/>
  <c r="E81" i="21"/>
  <c r="F81" i="21"/>
  <c r="H19" i="21"/>
  <c r="AB19" i="21"/>
  <c r="T48" i="21"/>
  <c r="J33" i="21"/>
  <c r="AC33" i="21"/>
  <c r="J7" i="21"/>
  <c r="AC7" i="21"/>
  <c r="J15" i="21"/>
  <c r="AC15" i="21"/>
  <c r="J42" i="21"/>
  <c r="AC42" i="21"/>
  <c r="J17" i="21"/>
  <c r="AC17" i="21"/>
  <c r="V47" i="21"/>
  <c r="J19" i="21"/>
  <c r="AC19" i="21"/>
  <c r="J23" i="21"/>
  <c r="AC23" i="21"/>
  <c r="V48" i="21"/>
  <c r="R49" i="21"/>
  <c r="C49" i="21"/>
  <c r="B3" i="21"/>
  <c r="D3" i="21"/>
  <c r="B2" i="21"/>
  <c r="C10" i="12"/>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D10" i="12"/>
  <c r="C6" i="12"/>
  <c r="C24" i="12"/>
  <c r="B24" i="1"/>
  <c r="C28" i="12"/>
  <c r="C26" i="12"/>
  <c r="C29" i="12"/>
  <c r="C31" i="12"/>
  <c r="C30" i="12"/>
  <c r="Q16" i="1"/>
  <c r="F33" i="12"/>
  <c r="C35" i="12"/>
  <c r="C33" i="12"/>
  <c r="C27" i="12"/>
  <c r="D26" i="12"/>
  <c r="C32" i="12"/>
  <c r="D30" i="12"/>
  <c r="C34" i="12"/>
  <c r="D33" i="12"/>
  <c r="C36" i="12"/>
  <c r="B2" i="12"/>
  <c r="C19" i="9"/>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D83" i="39"/>
  <c r="E83" i="39"/>
  <c r="F13" i="39"/>
  <c r="AA13" i="39"/>
  <c r="F11" i="39"/>
  <c r="AA11" i="39"/>
  <c r="D101" i="39"/>
  <c r="E101" i="39"/>
  <c r="F101" i="39"/>
  <c r="F27" i="39"/>
  <c r="AA27" i="39"/>
  <c r="D91" i="39"/>
  <c r="E91" i="39"/>
  <c r="F91" i="39"/>
  <c r="F17" i="39"/>
  <c r="AA17" i="39"/>
  <c r="F9" i="39"/>
  <c r="AA9" i="39"/>
  <c r="F40" i="39"/>
  <c r="AA40" i="39"/>
  <c r="R48" i="39"/>
  <c r="D103" i="39"/>
  <c r="E103" i="39"/>
  <c r="F103" i="39"/>
  <c r="G103" i="39"/>
  <c r="F29" i="39"/>
  <c r="AA29" i="39"/>
  <c r="D93" i="39"/>
  <c r="E93" i="39"/>
  <c r="F93" i="39"/>
  <c r="F19" i="39"/>
  <c r="AA19" i="39"/>
  <c r="R49" i="39"/>
  <c r="H12" i="39"/>
  <c r="AB12" i="39"/>
  <c r="H13" i="39"/>
  <c r="AB13" i="39"/>
  <c r="H11" i="39"/>
  <c r="AB11" i="39"/>
  <c r="H27" i="39"/>
  <c r="AB27" i="39"/>
  <c r="H9" i="39"/>
  <c r="AB9" i="39"/>
  <c r="H40" i="39"/>
  <c r="AB40" i="39"/>
  <c r="T48" i="39"/>
  <c r="H17" i="39"/>
  <c r="AB17" i="39"/>
  <c r="H19" i="39"/>
  <c r="AB19" i="39"/>
  <c r="H29" i="39"/>
  <c r="AB29" i="39"/>
  <c r="T49" i="39"/>
  <c r="J12" i="39"/>
  <c r="AC12" i="39"/>
  <c r="J13" i="39"/>
  <c r="AC13" i="39"/>
  <c r="J11" i="39"/>
  <c r="AC11" i="39"/>
  <c r="J27" i="39"/>
  <c r="AC27" i="39"/>
  <c r="J17" i="39"/>
  <c r="AC17" i="39"/>
  <c r="J9" i="39"/>
  <c r="AC9" i="39"/>
  <c r="J40" i="39"/>
  <c r="AC40" i="39"/>
  <c r="V48" i="39"/>
  <c r="J19" i="39"/>
  <c r="AC19" i="39"/>
  <c r="J23" i="39"/>
  <c r="AC23" i="39"/>
  <c r="J29" i="39"/>
  <c r="AC29"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D19" i="9"/>
  <c r="G19" i="9"/>
  <c r="C32" i="9"/>
  <c r="C33" i="9"/>
  <c r="N38" i="9"/>
  <c r="R24" i="31"/>
  <c r="C27" i="31"/>
  <c r="D6" i="31"/>
  <c r="E27" i="31"/>
  <c r="R27" i="31"/>
  <c r="S27" i="31"/>
  <c r="D17" i="66"/>
  <c r="C26" i="31"/>
  <c r="E26" i="31"/>
  <c r="R26" i="31"/>
  <c r="S26" i="31"/>
  <c r="D16" i="66"/>
  <c r="C25" i="31"/>
  <c r="E25" i="31"/>
  <c r="R25" i="31"/>
  <c r="S25" i="31"/>
  <c r="D15" i="66"/>
  <c r="B17" i="66"/>
  <c r="B16" i="66"/>
  <c r="B15" i="66"/>
  <c r="R47" i="33"/>
  <c r="F38" i="21"/>
  <c r="AA38" i="21"/>
  <c r="F35" i="21"/>
  <c r="AA35" i="21"/>
  <c r="T47" i="21"/>
  <c r="H38" i="21"/>
  <c r="AB38" i="21"/>
  <c r="J38" i="21"/>
  <c r="AC38" i="21"/>
  <c r="C17" i="9"/>
  <c r="D17" i="9"/>
  <c r="C18" i="9"/>
  <c r="D18" i="9"/>
  <c r="B2" i="52"/>
  <c r="E13" i="52"/>
  <c r="E4" i="4"/>
  <c r="B21" i="55"/>
  <c r="E7" i="52"/>
  <c r="C4" i="4"/>
  <c r="B20" i="55"/>
  <c r="C42" i="9"/>
  <c r="C44" i="9"/>
  <c r="O39" i="9"/>
  <c r="R6" i="54"/>
  <c r="R5" i="54"/>
  <c r="D42" i="9"/>
  <c r="Q5" i="54"/>
  <c r="C34" i="9"/>
  <c r="E42" i="9"/>
  <c r="P5" i="54"/>
  <c r="D8" i="12"/>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7" i="1"/>
  <c r="AE6" i="1"/>
  <c r="W18" i="36"/>
  <c r="AC18" i="36"/>
  <c r="AG6" i="1"/>
  <c r="D12" i="11"/>
  <c r="C12" i="11"/>
  <c r="L20" i="6"/>
  <c r="D16" i="43"/>
  <c r="C16" i="43"/>
  <c r="L19" i="6"/>
  <c r="L27" i="6"/>
  <c r="B72" i="63"/>
  <c r="B70" i="63"/>
  <c r="K20" i="6"/>
  <c r="S7" i="1"/>
  <c r="K19" i="6"/>
  <c r="S6" i="1"/>
  <c r="S8" i="1"/>
  <c r="S9" i="1"/>
  <c r="L38" i="9"/>
  <c r="B14" i="66"/>
  <c r="B1" i="66"/>
  <c r="C45" i="9"/>
  <c r="H14" i="66"/>
  <c r="B7" i="66"/>
  <c r="C7" i="66"/>
  <c r="R9" i="1"/>
  <c r="M20" i="6"/>
  <c r="I20" i="6"/>
  <c r="H20" i="6"/>
  <c r="R20" i="6"/>
  <c r="R7" i="1"/>
  <c r="R8" i="1"/>
  <c r="M19" i="6"/>
  <c r="I19" i="6"/>
  <c r="H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12"/>
  <c r="C20" i="9"/>
  <c r="E14" i="67"/>
  <c r="M9" i="15"/>
  <c r="E8" i="67"/>
  <c r="M11" i="44"/>
  <c r="J36" i="15"/>
  <c r="M8" i="44"/>
  <c r="B4" i="12"/>
  <c r="C21" i="9"/>
  <c r="F43" i="44"/>
  <c r="B3" i="39"/>
  <c r="D20" i="9"/>
  <c r="F26" i="15"/>
  <c r="M30" i="44"/>
  <c r="F38" i="44"/>
  <c r="M21" i="15"/>
  <c r="E11" i="67"/>
  <c r="F10" i="44"/>
  <c r="N7" i="65"/>
  <c r="F42" i="15"/>
  <c r="F43" i="15"/>
  <c r="B10" i="67"/>
  <c r="E10" i="67"/>
  <c r="F7" i="15"/>
  <c r="F9" i="15"/>
  <c r="F11" i="44"/>
  <c r="E9" i="67"/>
  <c r="M22" i="15"/>
  <c r="N6" i="65"/>
  <c r="M28" i="15"/>
  <c r="B4" i="39"/>
  <c r="D21" i="9"/>
  <c r="M29" i="44"/>
  <c r="J17" i="44"/>
  <c r="F45" i="44"/>
  <c r="M26" i="44"/>
  <c r="B11" i="67"/>
  <c r="F8" i="44"/>
  <c r="M27" i="15"/>
  <c r="M31" i="44"/>
  <c r="L48" i="15"/>
  <c r="B12" i="67"/>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6"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C38" i="15"/>
  <c r="B5" i="11"/>
  <c r="B3" i="11"/>
  <c r="B4" i="11"/>
  <c r="K28" i="9"/>
  <c r="B47" i="63"/>
  <c r="K25" i="9"/>
  <c r="K26" i="9"/>
  <c r="D14" i="66"/>
  <c r="N68" i="9"/>
  <c r="D63" i="9"/>
  <c r="B48" i="63"/>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<sst xmlns="http://schemas.openxmlformats.org/spreadsheetml/2006/main" count="7598" uniqueCount="3317">
  <si>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</si>
  <si>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</si>
  <si>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</si>
  <si>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</si>
  <si>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</si>
  <si>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</si>
  <si>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</si>
  <si>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</si>
  <si>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</si>
  <si>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</si>
  <si>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</si>
  <si>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</si>
  <si>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</si>
  <si>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</si>
  <si>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</si>
  <si>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</si>
  <si>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</si>
  <si>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</si>
  <si>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</si>
  <si>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</si>
  <si>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</si>
  <si>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</si>
  <si>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</si>
  <si>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</si>
  <si>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</si>
  <si>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</si>
  <si>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</si>
  <si>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</si>
  <si>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</si>
  <si>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</si>
  <si>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</si>
  <si>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</si>
  <si>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</si>
  <si>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</si>
  <si>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</si>
  <si>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</si>
  <si>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</si>
  <si>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</si>
  <si>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</si>
  <si>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</si>
  <si>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</si>
  <si>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</si>
  <si>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</si>
  <si>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</si>
  <si>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</si>
  <si>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</si>
  <si>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</si>
  <si>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</si>
  <si>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</si>
  <si>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</si>
  <si>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</si>
  <si>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</si>
  <si>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</si>
  <si>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</si>
  <si>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</si>
  <si>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</si>
  <si>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</si>
  <si>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</si>
  <si>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</si>
  <si>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</si>
  <si>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</si>
  <si>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</si>
  <si>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</si>
  <si>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</si>
  <si>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</si>
  <si>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</si>
  <si>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</si>
  <si>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</si>
  <si>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</si>
  <si>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</si>
  <si>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</si>
  <si>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</si>
  <si>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</si>
  <si>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</si>
  <si>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</si>
  <si>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</si>
  <si>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</si>
  <si>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</si>
  <si>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</si>
  <si>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</si>
  <si>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</si>
  <si>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</si>
  <si>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</si>
  <si>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</si>
  <si>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</si>
  <si>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</si>
  <si>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</si>
  <si>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</si>
  <si>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</si>
  <si>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</si>
  <si>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</si>
  <si>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</si>
  <si>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</si>
  <si>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</si>
  <si>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</si>
  <si>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</si>
  <si>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</si>
  <si>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</si>
  <si>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</si>
  <si>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</si>
  <si>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</si>
  <si>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</si>
  <si>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</si>
  <si>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</si>
  <si>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</si>
  <si>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</si>
  <si>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</si>
  <si>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</si>
  <si>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</si>
  <si>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</si>
  <si>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</si>
  <si>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</si>
  <si>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</si>
  <si>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</si>
  <si>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</si>
  <si>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</si>
  <si>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</si>
  <si>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</si>
  <si>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</si>
  <si>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</si>
  <si>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</si>
  <si>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</si>
  <si>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</si>
  <si>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</si>
  <si>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</si>
  <si>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</si>
  <si>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</si>
  <si>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</si>
  <si>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</si>
  <si>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</si>
  <si>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</si>
  <si>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</si>
  <si>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</si>
  <si>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</si>
  <si>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</si>
  <si>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</si>
  <si>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</si>
  <si>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</si>
  <si>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</si>
  <si>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</si>
  <si>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</si>
  <si>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</si>
  <si>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</si>
  <si>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</si>
  <si>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</si>
  <si>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</si>
  <si>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</si>
  <si>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</si>
  <si>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</si>
  <si>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</si>
  <si>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</si>
  <si>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</si>
  <si>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</si>
  <si>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</si>
  <si>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</si>
  <si>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</si>
  <si>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</si>
  <si>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</si>
  <si>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</si>
  <si>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</si>
  <si>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</si>
  <si>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</si>
  <si>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</si>
  <si>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</si>
  <si>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</si>
  <si>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</si>
  <si>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</si>
  <si>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</si>
  <si>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</si>
  <si>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</si>
  <si>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</si>
  <si>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</si>
  <si>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</si>
  <si>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</si>
  <si>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</si>
  <si>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</si>
  <si>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</si>
  <si>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</si>
  <si>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</si>
  <si>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</si>
  <si>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</si>
  <si>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</si>
  <si>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</si>
  <si>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</si>
  <si>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</si>
  <si>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</si>
  <si>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</si>
  <si>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</si>
  <si>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</si>
  <si>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</si>
  <si>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</si>
  <si>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</si>
  <si>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</si>
  <si>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</si>
  <si>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</si>
  <si>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</si>
  <si>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</si>
  <si>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</si>
  <si>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</si>
  <si>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</si>
  <si>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</si>
  <si>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</si>
  <si>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</si>
  <si>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</si>
  <si>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</si>
  <si>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</si>
  <si>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</si>
  <si>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</si>
  <si>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</si>
  <si>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</si>
  <si>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</si>
  <si>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</si>
  <si>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</si>
  <si>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</si>
  <si>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</si>
  <si>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</si>
  <si>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</si>
  <si>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</si>
  <si>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</si>
  <si>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</si>
  <si>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</si>
  <si>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</si>
  <si>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</si>
  <si>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</si>
  <si>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</si>
  <si>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</si>
  <si>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</si>
  <si>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</si>
  <si>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</si>
  <si>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</si>
  <si>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</si>
  <si>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</si>
  <si>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</si>
  <si>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</si>
  <si>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</si>
  <si>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</si>
  <si>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</si>
  <si>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</si>
  <si>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</si>
  <si>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</si>
  <si>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</si>
  <si>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</si>
  <si>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</si>
  <si>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</si>
  <si>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</si>
  <si>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</si>
  <si>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</si>
  <si>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</si>
  <si>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</si>
  <si>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</si>
  <si>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</si>
  <si>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</si>
  <si>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</si>
  <si>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</si>
  <si>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</si>
  <si>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</si>
  <si>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</si>
  <si>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</si>
  <si>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</si>
  <si>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</si>
  <si>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</si>
  <si>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</si>
  <si>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</si>
  <si>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</si>
  <si>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</si>
  <si>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</si>
  <si>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</si>
  <si>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</si>
  <si>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</si>
  <si>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</si>
  <si>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</si>
  <si>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</si>
  <si>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</si>
  <si>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</si>
  <si>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</si>
  <si>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</si>
  <si>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</si>
  <si>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</si>
  <si>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</si>
  <si>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</si>
  <si>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</si>
  <si>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</si>
  <si>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</si>
  <si>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</si>
  <si>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</si>
  <si>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</si>
  <si>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</si>
  <si>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</si>
  <si>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</si>
  <si>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</si>
  <si>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</si>
  <si>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</si>
  <si>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</si>
  <si>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</si>
  <si>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</si>
  <si>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</si>
  <si>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</si>
  <si>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</si>
  <si>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</si>
  <si>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</si>
  <si>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</si>
  <si>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</si>
  <si>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</si>
  <si>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</si>
  <si>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</si>
  <si>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</si>
  <si>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</si>
  <si>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</si>
  <si>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</si>
  <si>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</si>
  <si>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</si>
  <si>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</si>
  <si>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</si>
  <si>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</si>
  <si>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</si>
  <si>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</si>
  <si>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</si>
  <si>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</si>
  <si>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</si>
  <si>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</si>
  <si>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</si>
  <si>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</si>
  <si>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</si>
  <si>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</si>
  <si>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</si>
  <si>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</si>
  <si>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</si>
  <si>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</si>
  <si>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</si>
  <si>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</si>
  <si>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</si>
  <si>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</si>
  <si>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</si>
  <si>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</si>
  <si>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</si>
  <si>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</si>
  <si>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</si>
  <si>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</si>
  <si>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</si>
  <si>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</si>
  <si>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</si>
  <si>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</si>
  <si>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</si>
  <si>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</si>
  <si>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</si>
  <si>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</si>
  <si>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</si>
  <si>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</si>
  <si>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</si>
  <si>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</si>
  <si>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</si>
  <si>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</si>
  <si>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</si>
  <si>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</si>
  <si>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</si>
  <si>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</si>
  <si>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</si>
  <si>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</si>
  <si>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</si>
  <si>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</si>
  <si>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</si>
  <si>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</si>
  <si>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</si>
  <si>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</si>
  <si>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</si>
  <si>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</si>
  <si>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</si>
  <si>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</si>
  <si>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</si>
  <si>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</si>
  <si>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</si>
  <si>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</si>
  <si>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</si>
  <si>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</si>
  <si>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</si>
  <si>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</si>
  <si>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</si>
  <si>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</si>
  <si>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</si>
  <si>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</si>
  <si>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</si>
  <si>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</si>
  <si>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</si>
  <si>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</si>
  <si>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</si>
  <si>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</si>
  <si>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</si>
  <si>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</si>
  <si>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</si>
  <si>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</si>
  <si>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</si>
  <si>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</si>
  <si>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</si>
  <si>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</si>
  <si>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</si>
  <si>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</si>
  <si>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</si>
  <si>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</si>
  <si>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</si>
  <si>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</si>
  <si>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</si>
  <si>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</si>
  <si>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</si>
  <si>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</si>
  <si>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</si>
  <si>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</si>
  <si>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</si>
  <si>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</si>
  <si>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</si>
  <si>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</si>
  <si>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</si>
  <si>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</si>
  <si>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</si>
  <si>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</si>
  <si>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</si>
  <si>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</si>
  <si>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</si>
  <si>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</si>
  <si>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</si>
  <si>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</si>
  <si>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</si>
  <si>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</si>
  <si>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</si>
  <si>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</si>
  <si>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</si>
  <si>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</si>
  <si>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</si>
  <si>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</si>
  <si>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</si>
  <si>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</si>
  <si>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</si>
  <si>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</si>
  <si>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</si>
  <si>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</si>
  <si>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</si>
  <si>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</si>
  <si>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</si>
  <si>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</si>
  <si>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</si>
  <si>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</si>
  <si>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</si>
  <si>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</si>
  <si>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</si>
  <si>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</si>
  <si>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</si>
  <si>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</si>
  <si>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</si>
  <si>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</si>
  <si>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</si>
  <si>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</si>
  <si>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</si>
  <si>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</si>
  <si>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</si>
  <si>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</si>
  <si>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</si>
  <si>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</si>
  <si>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</si>
  <si>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</si>
  <si>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</si>
  <si>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</si>
  <si>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</si>
  <si>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</si>
  <si>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</si>
  <si>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</si>
  <si>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</si>
  <si>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</si>
  <si>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</si>
  <si>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</si>
  <si>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</si>
  <si>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</si>
  <si>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</si>
  <si>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</si>
  <si>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</si>
  <si>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</si>
  <si>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</si>
  <si>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</si>
  <si>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</si>
  <si>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</si>
  <si>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</si>
  <si>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</si>
  <si>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</si>
  <si>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</si>
  <si>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</si>
  <si>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</si>
  <si>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</si>
  <si>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</si>
  <si>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</si>
  <si>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</si>
  <si>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</si>
  <si>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</si>
  <si>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</si>
  <si>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</si>
  <si>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</si>
  <si>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</si>
  <si>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</si>
  <si>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</si>
  <si>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</si>
  <si>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</si>
  <si>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</si>
  <si>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</si>
  <si>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</si>
  <si>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</si>
  <si>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</si>
  <si>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</si>
  <si>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</si>
  <si>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</si>
  <si>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</si>
  <si>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</si>
  <si>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</si>
  <si>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</si>
  <si>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</si>
  <si>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</si>
  <si>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</si>
  <si>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</si>
  <si>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</si>
  <si>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</si>
  <si>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</si>
  <si>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</si>
  <si>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</si>
  <si>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</si>
  <si>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</si>
  <si>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</si>
  <si>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</si>
  <si>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</si>
  <si>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</si>
  <si>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</si>
  <si>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</si>
  <si>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</si>
  <si>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</si>
  <si>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</si>
  <si>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</si>
  <si>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</si>
  <si>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</si>
  <si>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</si>
  <si>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</si>
  <si>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</si>
  <si>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</si>
  <si>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</si>
  <si>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</si>
  <si>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</si>
  <si>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</si>
  <si>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</si>
  <si>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</si>
  <si>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</si>
  <si>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</si>
  <si>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</si>
  <si>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</si>
  <si>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</si>
  <si>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</si>
  <si>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</si>
  <si>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</si>
  <si>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</si>
  <si>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</si>
  <si>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</si>
  <si>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</si>
  <si>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</si>
  <si>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</si>
  <si>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</si>
  <si>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</si>
  <si>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</si>
  <si>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</si>
  <si>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</si>
  <si>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</si>
  <si>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</si>
  <si>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</si>
  <si>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</si>
  <si>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</si>
  <si>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</si>
  <si>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</si>
  <si>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</si>
  <si>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</si>
  <si>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</si>
  <si>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</si>
  <si>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</si>
  <si>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</si>
  <si>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</si>
  <si>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</si>
  <si>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</si>
  <si>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</si>
  <si>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</si>
  <si>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</si>
  <si>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</si>
  <si>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</si>
  <si>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</si>
  <si>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</si>
  <si>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</si>
  <si>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</si>
  <si>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</si>
  <si>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</si>
  <si>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</si>
  <si>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</si>
  <si>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</si>
  <si>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</si>
  <si>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</si>
  <si>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</si>
  <si>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</si>
  <si>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</si>
  <si>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</si>
  <si>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</si>
  <si>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</si>
  <si>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</si>
  <si>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</si>
  <si>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</si>
  <si>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</si>
  <si>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</si>
  <si>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</si>
  <si>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</si>
  <si>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</si>
  <si>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</si>
  <si>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</si>
  <si>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</si>
  <si>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</si>
  <si>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</si>
  <si>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</si>
  <si>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</si>
  <si>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</si>
  <si>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</si>
  <si>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</si>
  <si>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</si>
  <si>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</si>
  <si>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</si>
  <si>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</si>
  <si>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</si>
  <si>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</si>
  <si>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</si>
  <si>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</si>
  <si>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</si>
  <si>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</si>
  <si>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</si>
  <si>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</si>
  <si>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</si>
  <si>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</si>
  <si>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</si>
  <si>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</si>
  <si>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</si>
  <si>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</si>
  <si>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</si>
  <si>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</si>
  <si>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</si>
  <si>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</si>
  <si>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</si>
  <si>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</si>
  <si>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</si>
  <si>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</si>
  <si>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</si>
  <si>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</si>
  <si>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</si>
  <si>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</si>
  <si>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</si>
  <si>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</si>
  <si>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</si>
  <si>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</si>
  <si>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</si>
  <si>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</si>
  <si>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</si>
  <si>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</si>
  <si>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</si>
  <si>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</si>
  <si>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</si>
  <si>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</si>
  <si>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</si>
  <si>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</si>
  <si>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</si>
  <si>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</si>
  <si>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</si>
  <si>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</si>
  <si>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</si>
  <si>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</si>
  <si>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</si>
  <si>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</si>
  <si>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</si>
  <si>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</si>
  <si>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</si>
  <si>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</si>
  <si>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</si>
  <si>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</si>
  <si>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</si>
  <si>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</si>
  <si>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</si>
  <si>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</si>
  <si>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</si>
  <si>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</si>
  <si>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</si>
  <si>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</si>
  <si>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</si>
  <si>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</si>
  <si>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</si>
  <si>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</si>
  <si>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</si>
  <si>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</si>
  <si>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</si>
  <si>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</si>
  <si>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</si>
  <si>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</si>
  <si>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</si>
  <si>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</si>
  <si>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</si>
  <si>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</si>
  <si>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</si>
  <si>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</si>
  <si>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</si>
  <si>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</si>
  <si>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</si>
  <si>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</si>
  <si>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</si>
  <si>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</si>
  <si>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</si>
  <si>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</si>
  <si>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</si>
  <si>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</si>
  <si>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</si>
  <si>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</si>
  <si>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</si>
  <si>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</si>
  <si>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</si>
  <si>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</si>
  <si>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</si>
  <si>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</si>
  <si>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</si>
  <si>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</si>
  <si>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</si>
  <si>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</si>
  <si>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</si>
  <si>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</si>
  <si>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</si>
  <si>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</si>
  <si>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</si>
  <si>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</si>
  <si>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</si>
  <si>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</si>
  <si>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</si>
  <si>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</si>
  <si>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</si>
  <si>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</si>
  <si>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</si>
  <si>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</si>
  <si>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</si>
  <si>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</si>
  <si>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</si>
  <si>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</si>
  <si>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</si>
  <si>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</si>
  <si>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</si>
  <si>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</si>
  <si>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</si>
  <si>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</si>
  <si>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</si>
  <si>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</si>
  <si>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</si>
  <si>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</si>
  <si>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</si>
  <si>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</si>
  <si>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</si>
  <si>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</si>
  <si>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</si>
  <si>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</si>
  <si>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</si>
  <si>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</si>
  <si>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</si>
  <si>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</si>
  <si>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</si>
  <si>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</si>
  <si>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</si>
  <si>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</si>
  <si>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</si>
  <si>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</si>
  <si>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</si>
  <si>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</si>
  <si>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</si>
  <si>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</si>
  <si>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</si>
  <si>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</si>
  <si>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</si>
  <si>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</si>
  <si>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</si>
  <si>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</si>
  <si>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</si>
  <si>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</si>
  <si>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</si>
  <si>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</si>
  <si>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</si>
  <si>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</si>
  <si>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</si>
  <si>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</si>
  <si>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</si>
  <si>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</si>
  <si>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</si>
  <si>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</si>
  <si>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</si>
  <si>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</si>
  <si>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</si>
  <si>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</si>
  <si>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</si>
  <si>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</si>
  <si>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</si>
  <si>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</si>
  <si>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</si>
  <si>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</si>
  <si>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</si>
  <si>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</si>
  <si>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</si>
  <si>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</si>
  <si>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</si>
  <si>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</si>
  <si>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</si>
  <si>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</si>
  <si>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</si>
  <si>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</si>
  <si>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</si>
  <si>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</si>
  <si>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</si>
  <si>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</si>
  <si>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</si>
  <si>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</si>
  <si>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</si>
  <si>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</si>
  <si>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</si>
  <si>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</si>
  <si>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</si>
  <si>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</si>
  <si>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</si>
  <si>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</si>
  <si>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</si>
  <si>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</si>
  <si>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</si>
  <si>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</si>
  <si>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</si>
  <si>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</si>
  <si>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</si>
  <si>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</si>
  <si>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</si>
  <si>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</si>
  <si>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</si>
  <si>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</si>
  <si>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</si>
  <si>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</si>
  <si>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</si>
  <si>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</si>
  <si>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</si>
  <si>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</si>
  <si>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</si>
  <si>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</si>
  <si>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</si>
  <si>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</si>
  <si>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</si>
  <si>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</si>
  <si>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</si>
  <si>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</si>
  <si>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</si>
  <si>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</si>
  <si>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</si>
  <si>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</si>
  <si>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</si>
  <si>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</si>
  <si>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</si>
  <si>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</si>
  <si>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</si>
  <si>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</si>
  <si>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</si>
  <si>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</si>
  <si>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</si>
  <si>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</si>
  <si>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</si>
  <si>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</si>
  <si>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</si>
  <si>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</si>
  <si>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</si>
  <si>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</si>
  <si>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</si>
  <si>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</si>
  <si>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</si>
  <si>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</si>
  <si>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</si>
  <si>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</si>
  <si>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</si>
  <si>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</si>
  <si>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</si>
  <si>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</si>
  <si>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</si>
  <si>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</si>
  <si>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</si>
  <si>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</si>
  <si>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</si>
  <si>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</si>
  <si>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</si>
  <si>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</si>
  <si>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</si>
  <si>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</si>
  <si>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</si>
  <si>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</si>
  <si>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</si>
  <si>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</si>
  <si>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</si>
  <si>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</si>
  <si>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</si>
  <si>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</si>
  <si>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</si>
  <si>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</si>
  <si>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</si>
  <si>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</si>
  <si>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</si>
  <si>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</si>
  <si>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</si>
  <si>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</si>
  <si>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</si>
  <si>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</si>
  <si>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</si>
  <si>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</si>
  <si>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</si>
  <si>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</si>
  <si>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</si>
  <si>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</si>
  <si>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</si>
  <si>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</si>
  <si>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</si>
  <si>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</si>
  <si>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</si>
  <si>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</si>
  <si>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</si>
  <si>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</si>
  <si>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</si>
  <si>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</si>
  <si>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</si>
  <si>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</si>
  <si>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</si>
  <si>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</si>
  <si>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</si>
  <si>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</si>
  <si>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</si>
  <si>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</si>
  <si>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</si>
  <si>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</si>
  <si>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</si>
  <si>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</si>
  <si>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</si>
  <si>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</si>
  <si>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</si>
  <si>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</si>
  <si>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</si>
  <si>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</si>
  <si>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</si>
  <si>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</si>
  <si>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</si>
  <si>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</si>
  <si>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</si>
  <si>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</si>
  <si>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</si>
  <si>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</si>
  <si>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</si>
  <si>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</si>
  <si>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</si>
  <si>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</si>
  <si>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</si>
  <si>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</si>
  <si>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</si>
  <si>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</si>
  <si>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</si>
  <si>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</si>
  <si>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</si>
  <si>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</si>
  <si>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</si>
  <si>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</si>
  <si>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</si>
  <si>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</si>
  <si>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</si>
  <si>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</si>
  <si>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</si>
  <si>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</si>
  <si>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</si>
  <si>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</si>
  <si>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</si>
  <si>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</si>
  <si>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</si>
  <si>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</si>
  <si>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</si>
  <si>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</si>
  <si>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</si>
  <si>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</si>
  <si>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</si>
  <si>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</si>
  <si>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</si>
  <si>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</si>
  <si>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</si>
  <si>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</si>
  <si>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</si>
  <si>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</si>
  <si>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</si>
  <si>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</si>
  <si>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</si>
  <si>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</si>
  <si>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</si>
  <si>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</si>
  <si>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</si>
  <si>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</si>
  <si>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</si>
  <si>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</si>
  <si>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</si>
  <si>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</si>
  <si>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</si>
  <si>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</si>
  <si>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</si>
  <si>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</si>
  <si>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</si>
  <si>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</si>
  <si>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</si>
  <si>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</si>
  <si>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</si>
  <si>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</si>
  <si>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</si>
  <si>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</si>
  <si>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</si>
  <si>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</si>
  <si>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</si>
  <si>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</si>
  <si>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</si>
  <si>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</si>
  <si>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</si>
  <si>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</si>
  <si>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</si>
  <si>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</si>
  <si>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</si>
  <si>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</si>
  <si>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</si>
  <si>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</si>
  <si>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</si>
  <si>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</si>
  <si>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</si>
  <si>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</si>
  <si>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</si>
  <si>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</si>
  <si>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</si>
  <si>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</si>
  <si>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</si>
  <si>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</si>
  <si>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</si>
  <si>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</si>
  <si>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</si>
  <si>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</si>
  <si>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</si>
  <si>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</si>
  <si>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</si>
  <si>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</si>
  <si>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</si>
  <si>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</si>
  <si>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</si>
  <si>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</si>
  <si>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</si>
  <si>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</si>
  <si>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</si>
  <si>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</si>
  <si>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</si>
  <si>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</si>
  <si>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</si>
  <si>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</si>
  <si>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</si>
  <si>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</si>
  <si>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</si>
  <si>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</si>
  <si>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</si>
  <si>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</si>
  <si>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</si>
  <si>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</si>
  <si>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</si>
  <si>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</si>
  <si>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</si>
  <si>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</si>
  <si>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</si>
  <si>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</si>
  <si>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</si>
  <si>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</si>
  <si>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</si>
  <si>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</si>
  <si>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</si>
  <si>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</si>
  <si>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</si>
  <si>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</si>
  <si>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</si>
  <si>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</si>
  <si>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</si>
  <si>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</si>
  <si>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</si>
  <si>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</si>
  <si>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</si>
  <si>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</si>
  <si>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</si>
  <si>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</si>
  <si>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</si>
  <si>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</si>
  <si>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</si>
  <si>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</si>
  <si>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</si>
  <si>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</si>
  <si>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</si>
  <si>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</si>
  <si>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</si>
  <si>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</si>
  <si>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</si>
  <si>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</si>
  <si>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</si>
  <si>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</si>
  <si>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</si>
  <si>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</si>
  <si>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</si>
  <si>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</si>
  <si>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</si>
  <si>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</si>
  <si>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</si>
  <si>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</si>
  <si>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</si>
  <si>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</si>
  <si>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</si>
  <si>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</si>
  <si>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</si>
  <si>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</si>
  <si>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</si>
  <si>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</si>
  <si>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</si>
  <si>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</si>
  <si>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</si>
  <si>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</si>
  <si>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</si>
  <si>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</si>
  <si>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</si>
  <si>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</si>
  <si>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</si>
  <si>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</si>
  <si>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</si>
  <si>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</si>
  <si>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</si>
  <si>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</si>
  <si>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</si>
  <si>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</si>
  <si>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</si>
  <si>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</si>
  <si>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</si>
  <si>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</si>
  <si>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</si>
  <si>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</si>
  <si>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</si>
  <si>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</si>
  <si>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</si>
  <si>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</si>
  <si>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</si>
  <si>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</si>
  <si>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</si>
  <si>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</si>
  <si>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</si>
  <si>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</si>
  <si>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</si>
  <si>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</si>
  <si>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</si>
  <si>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</si>
  <si>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</si>
  <si>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</si>
  <si>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</si>
  <si>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</si>
  <si>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</si>
  <si>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</si>
  <si>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</si>
  <si>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</si>
  <si>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</si>
  <si>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</si>
  <si>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</si>
  <si>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</si>
  <si>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</si>
  <si>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</si>
  <si>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</si>
  <si>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</si>
  <si>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</si>
  <si>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</si>
  <si>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</si>
  <si>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</si>
  <si>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</si>
  <si>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</si>
  <si>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</si>
  <si>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</si>
  <si>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</si>
  <si>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</si>
  <si>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</si>
  <si>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</si>
  <si>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</si>
  <si>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</si>
  <si>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</si>
  <si>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</si>
  <si>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</si>
  <si>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</si>
  <si>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</si>
  <si>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</si>
  <si>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</si>
  <si>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</si>
  <si>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</si>
  <si>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</si>
  <si>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</si>
  <si>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</si>
  <si>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</si>
  <si>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</si>
  <si>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</si>
  <si>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</si>
  <si>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</si>
  <si>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</si>
  <si>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</si>
  <si>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</si>
  <si>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</si>
  <si>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</si>
  <si>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</si>
  <si>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</si>
  <si>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</si>
  <si>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</si>
  <si>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</si>
  <si>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</si>
  <si>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</si>
  <si>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</si>
  <si>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</si>
  <si>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</si>
  <si>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</si>
  <si>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</si>
  <si>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</si>
  <si>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</si>
  <si>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</si>
  <si>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</si>
  <si>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</si>
  <si>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</si>
  <si>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</si>
  <si>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</si>
  <si>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</si>
  <si>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</si>
  <si>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</si>
  <si>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</si>
  <si>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</si>
  <si>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</si>
  <si>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</si>
  <si>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</si>
  <si>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</si>
  <si>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</si>
  <si>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</si>
  <si>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</si>
  <si>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</si>
  <si>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</si>
  <si>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</si>
  <si>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</si>
  <si>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</si>
  <si>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</si>
  <si>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</si>
  <si>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</si>
  <si>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</si>
  <si>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</si>
  <si>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</si>
  <si>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</si>
  <si>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</si>
  <si>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</si>
  <si>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</si>
  <si>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</si>
  <si>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</si>
  <si>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</si>
  <si>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</si>
  <si>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</si>
  <si>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</si>
  <si>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</si>
  <si>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</si>
  <si>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</si>
  <si>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</si>
  <si>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</si>
  <si>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</si>
  <si>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</si>
  <si>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</si>
  <si>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</si>
  <si>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</si>
  <si>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</si>
  <si>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</si>
  <si>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</si>
  <si>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</si>
  <si>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</si>
  <si>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</si>
  <si>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</si>
  <si>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</si>
  <si>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</si>
  <si>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</si>
  <si>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</si>
  <si>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</si>
  <si>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</si>
  <si>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</si>
  <si>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</si>
  <si>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</si>
  <si>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</si>
  <si>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</si>
  <si>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</si>
  <si>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</si>
  <si>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</si>
  <si>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</si>
  <si>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</si>
  <si>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</si>
  <si>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</si>
  <si>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</si>
  <si>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</si>
  <si>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</si>
  <si>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</si>
  <si>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</si>
  <si>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</si>
  <si>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</si>
  <si>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</si>
  <si>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</si>
  <si>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</si>
  <si>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</si>
  <si>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</si>
  <si>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</si>
  <si>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</si>
  <si>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</si>
  <si>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</si>
  <si>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</si>
  <si>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</si>
  <si>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</si>
  <si>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</si>
  <si>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</si>
  <si>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</si>
  <si>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</si>
  <si>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</si>
  <si>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</si>
  <si>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</si>
  <si>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</si>
  <si>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</si>
  <si>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</si>
  <si>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</si>
  <si>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</si>
  <si>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</si>
  <si>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</si>
  <si>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</si>
  <si>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</si>
  <si>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</si>
  <si>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</si>
  <si>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</si>
  <si>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</si>
  <si>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</si>
  <si>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</si>
  <si>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</si>
  <si>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</si>
  <si>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</si>
  <si>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</si>
  <si>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</si>
  <si>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</si>
  <si>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</si>
  <si>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</si>
  <si>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</si>
  <si>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</si>
  <si>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</si>
  <si>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</si>
  <si>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</si>
  <si>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</si>
  <si>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</si>
  <si>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</si>
  <si>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</si>
  <si>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</si>
  <si>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</si>
  <si>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</si>
  <si>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</si>
  <si>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</si>
  <si>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</si>
  <si>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</si>
  <si>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</si>
  <si>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</si>
  <si>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</si>
  <si>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</si>
  <si>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</si>
  <si>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</si>
  <si>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</si>
  <si>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</si>
  <si>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</si>
  <si>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</si>
  <si>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</si>
  <si>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</si>
  <si>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</si>
  <si>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</si>
  <si>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</si>
  <si>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</si>
  <si>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</si>
  <si>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</si>
  <si>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</si>
  <si>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</si>
  <si>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</si>
  <si>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</si>
  <si>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</si>
  <si>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</si>
  <si>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</si>
  <si>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</si>
  <si>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</si>
  <si>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</si>
  <si>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</si>
  <si>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</si>
  <si>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</si>
  <si>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</si>
  <si>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</si>
  <si>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</si>
  <si>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</si>
  <si>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</si>
  <si>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</si>
  <si>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</si>
  <si>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</si>
  <si>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</si>
  <si>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</si>
  <si>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</si>
  <si>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</si>
  <si>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</si>
  <si>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</si>
  <si>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</si>
  <si>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</si>
  <si>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</si>
  <si>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</si>
  <si>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</si>
  <si>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</si>
  <si>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</si>
  <si>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</si>
  <si>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</si>
  <si>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</si>
  <si>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</si>
  <si>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</si>
  <si>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</si>
  <si>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</si>
  <si>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</si>
  <si>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</si>
  <si>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</si>
  <si>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</si>
  <si>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</si>
  <si>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</si>
  <si>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</si>
  <si>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</si>
  <si>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</si>
  <si>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</si>
  <si>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</si>
  <si>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</si>
  <si>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</si>
  <si>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</si>
  <si>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</si>
  <si>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</si>
  <si>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</si>
  <si>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</si>
  <si>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</si>
  <si>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</si>
  <si>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</si>
  <si>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</si>
  <si>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</si>
  <si>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</si>
  <si>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</si>
  <si>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</si>
  <si>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</si>
  <si>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</si>
  <si>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</si>
  <si>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</si>
  <si>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</si>
  <si>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</si>
  <si>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</si>
  <si>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</si>
  <si>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</si>
  <si>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</si>
  <si>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</si>
  <si>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</si>
  <si>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</si>
  <si>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</si>
  <si>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</si>
  <si>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</si>
  <si>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</si>
  <si>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</si>
  <si>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</si>
  <si>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</si>
  <si>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</si>
  <si>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</si>
  <si>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</si>
  <si>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</si>
  <si>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</si>
  <si>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</si>
  <si>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</si>
  <si>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</si>
  <si>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</si>
  <si>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</si>
  <si>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</si>
  <si>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</si>
  <si>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</si>
  <si>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</si>
  <si>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</si>
  <si>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</si>
  <si>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</si>
  <si>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</si>
  <si>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</si>
  <si>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</si>
  <si>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</si>
  <si>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</si>
  <si>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</si>
  <si>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</si>
  <si>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</si>
  <si>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</si>
  <si>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</si>
  <si>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</si>
  <si>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</si>
  <si>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</si>
  <si>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</si>
  <si>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</si>
  <si>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</si>
  <si>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</si>
  <si>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</si>
  <si>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</si>
  <si>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</si>
  <si>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</si>
  <si>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</si>
  <si>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</si>
  <si>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</si>
  <si>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</si>
  <si>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</si>
  <si>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</si>
  <si>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</si>
  <si>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</si>
  <si>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</si>
  <si>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</si>
  <si>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</si>
  <si>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</si>
  <si>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</si>
  <si>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</si>
  <si>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</si>
  <si>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</si>
  <si>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</si>
  <si>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</si>
  <si>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</si>
  <si>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</si>
  <si>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</si>
  <si>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</si>
  <si>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</si>
  <si>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</si>
  <si>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</si>
  <si>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</si>
  <si>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</si>
  <si>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</si>
  <si>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</si>
  <si>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</si>
  <si>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</si>
  <si>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</si>
  <si>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</si>
  <si>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</si>
  <si>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</si>
  <si>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</si>
  <si>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</si>
  <si>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</si>
  <si>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</si>
  <si>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</si>
  <si>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</si>
  <si>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</si>
  <si>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</si>
  <si>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</si>
  <si>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</si>
  <si>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</si>
  <si>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</si>
  <si>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</si>
  <si>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</si>
  <si>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</si>
  <si>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</si>
  <si>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</si>
  <si>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</si>
  <si>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</si>
  <si>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</si>
  <si>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</si>
  <si>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</si>
  <si>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</si>
  <si>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</si>
  <si>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</si>
  <si>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</si>
  <si>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</si>
  <si>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</si>
  <si>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</si>
  <si>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</si>
  <si>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</si>
  <si>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</si>
  <si>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</si>
  <si>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</si>
  <si>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</si>
  <si>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</si>
  <si>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</si>
  <si>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</si>
  <si>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</si>
  <si>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</si>
  <si>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</si>
  <si>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</si>
  <si>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</si>
  <si>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</si>
  <si>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</si>
  <si>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</si>
  <si>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</si>
  <si>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</si>
  <si>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</si>
  <si>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</si>
  <si>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</si>
  <si>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</si>
  <si>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</si>
  <si>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</si>
  <si>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</si>
  <si>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</si>
  <si>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</si>
  <si>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</si>
  <si>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</si>
  <si>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</si>
  <si>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</si>
  <si>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</si>
  <si>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</si>
  <si>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</si>
  <si>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</si>
  <si>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</si>
  <si>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</si>
  <si>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</si>
  <si>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</si>
  <si>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</si>
  <si>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</si>
  <si>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</si>
  <si>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</si>
  <si>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</si>
  <si>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</si>
  <si>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</si>
  <si>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</si>
  <si>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</si>
  <si>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</si>
  <si>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</si>
  <si>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</si>
  <si>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</si>
  <si>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</si>
  <si>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</si>
  <si>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</si>
  <si>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</si>
  <si>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</si>
  <si>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</si>
  <si>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</si>
  <si>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</si>
  <si>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</si>
  <si>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</si>
  <si>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</si>
  <si>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</si>
  <si>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</si>
  <si>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</si>
  <si>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</si>
  <si>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</si>
  <si>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</si>
  <si>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</si>
  <si>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</si>
  <si>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</si>
  <si>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</si>
  <si>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</si>
  <si>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</si>
  <si>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</si>
  <si>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</si>
  <si>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</si>
  <si>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</si>
  <si>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</si>
  <si>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</si>
  <si>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</si>
  <si>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</si>
  <si>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</si>
  <si>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</si>
  <si>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</si>
  <si>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</si>
  <si>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</si>
  <si>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</si>
  <si>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</si>
  <si>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</si>
  <si>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</si>
  <si>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</si>
  <si>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</si>
  <si>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</si>
  <si>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</si>
  <si>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</si>
  <si>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</si>
  <si>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</si>
  <si>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</si>
  <si>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</si>
  <si>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</si>
  <si>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</si>
  <si>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</si>
  <si>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</si>
  <si>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</si>
  <si>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</si>
  <si>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</si>
  <si>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</si>
  <si>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</si>
  <si>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</si>
  <si>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</si>
  <si>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</si>
  <si>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</si>
  <si>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</si>
  <si>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</si>
  <si>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</si>
  <si>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</si>
  <si>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</si>
  <si>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</si>
  <si>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</si>
  <si>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</si>
  <si>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</si>
  <si>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</si>
  <si>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</si>
  <si>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</si>
  <si>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</si>
  <si>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</si>
  <si>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</si>
  <si>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</si>
  <si>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</si>
  <si>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</si>
  <si>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</si>
  <si>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</si>
  <si>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</si>
  <si>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</si>
  <si>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</si>
  <si>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</si>
  <si>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</si>
  <si>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</si>
  <si>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</si>
  <si>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</si>
  <si>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</si>
  <si>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</si>
  <si>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</si>
  <si>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</si>
  <si>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</si>
  <si>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</si>
  <si>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</si>
  <si>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</si>
  <si>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</si>
  <si>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</si>
  <si>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</si>
  <si>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</si>
  <si>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</si>
  <si>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</si>
  <si>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</si>
  <si>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</si>
  <si>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</si>
  <si>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</si>
  <si>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</si>
  <si>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</si>
  <si>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</si>
  <si>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</si>
  <si>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</si>
  <si>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</si>
  <si>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</si>
  <si>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</si>
  <si>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</si>
  <si>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</si>
  <si>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</si>
  <si>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</si>
  <si>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</si>
  <si>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</si>
  <si>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</si>
  <si>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</si>
  <si>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</si>
  <si>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</si>
  <si>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</si>
  <si>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</si>
  <si>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</si>
  <si>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</si>
  <si>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</si>
  <si>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</si>
  <si>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</si>
  <si>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</si>
  <si>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</si>
  <si>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</si>
  <si>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</si>
  <si>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</si>
  <si>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</si>
  <si>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</si>
  <si>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</si>
  <si>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</si>
  <si>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</si>
  <si>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</si>
  <si>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</si>
  <si>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</si>
  <si>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</si>
  <si>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</si>
  <si>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</si>
  <si>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</si>
  <si>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</si>
  <si>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</si>
  <si>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</si>
  <si>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</si>
  <si>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</si>
  <si>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</si>
  <si>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</si>
  <si>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</si>
  <si>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</si>
  <si>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</si>
  <si>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</si>
  <si>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</si>
  <si>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</si>
  <si>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</si>
  <si>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</si>
  <si>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</si>
  <si>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</si>
  <si>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</si>
  <si>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</si>
  <si>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</si>
  <si>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</si>
  <si>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</si>
  <si>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</si>
  <si>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</si>
  <si>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</si>
  <si>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</si>
  <si>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</si>
  <si>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</si>
  <si>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</si>
  <si>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</si>
  <si>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</si>
  <si>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</si>
  <si>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</si>
  <si>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</si>
  <si>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</si>
  <si>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</si>
  <si>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</si>
  <si>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</si>
  <si>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</si>
  <si>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</si>
  <si>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</si>
  <si>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</si>
  <si>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</si>
  <si>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</si>
  <si>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</si>
  <si>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</si>
  <si>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</si>
  <si>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</si>
  <si>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</si>
  <si>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</si>
  <si>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</si>
  <si>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</si>
  <si>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</si>
  <si>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</si>
  <si>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</si>
  <si>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</si>
  <si>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</si>
  <si>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</si>
  <si>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</si>
  <si>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</si>
  <si>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</si>
  <si>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</si>
  <si>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</si>
  <si>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</si>
  <si>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</si>
  <si>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</si>
  <si>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</si>
  <si>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</si>
  <si>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</si>
  <si>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</si>
  <si>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</si>
  <si>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</si>
  <si>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</si>
  <si>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</si>
  <si>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</si>
  <si>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</si>
  <si>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</si>
  <si>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</si>
  <si>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</si>
  <si>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</si>
  <si>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</si>
  <si>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</si>
  <si>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</si>
  <si>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</si>
  <si>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</si>
  <si>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</si>
  <si>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</si>
  <si>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</si>
  <si>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</si>
  <si>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</si>
  <si>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</si>
  <si>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</si>
  <si>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</si>
  <si>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</si>
  <si>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</si>
  <si>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</si>
  <si>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</si>
  <si>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</si>
  <si>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</si>
  <si>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</si>
  <si>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</si>
  <si>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</si>
  <si>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</si>
  <si>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</si>
  <si>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</si>
  <si>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</si>
  <si>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</si>
  <si>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</si>
  <si>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</si>
  <si>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</si>
  <si>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</si>
  <si>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</si>
  <si>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</si>
  <si>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</si>
  <si>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</si>
  <si>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</si>
  <si>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</si>
  <si>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</si>
  <si>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</si>
  <si>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</si>
  <si>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</si>
  <si>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</si>
  <si>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</si>
  <si>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</si>
  <si>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</si>
  <si>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</si>
  <si>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</si>
  <si>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</si>
  <si>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</si>
  <si>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</si>
  <si>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</si>
  <si>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</si>
  <si>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</si>
  <si>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</si>
  <si>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</si>
  <si>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</si>
  <si>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</si>
  <si>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</si>
  <si>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</si>
  <si>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</si>
  <si>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</si>
  <si>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</si>
  <si>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</si>
  <si>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</si>
  <si>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</si>
  <si>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</si>
  <si>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</si>
  <si>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</si>
  <si>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</si>
  <si>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</si>
  <si>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</si>
  <si>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</si>
  <si>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</si>
  <si>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</si>
  <si>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</si>
  <si>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</si>
  <si>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</si>
  <si>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</si>
  <si>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</si>
  <si>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</si>
  <si>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</si>
  <si>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</si>
  <si>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</si>
  <si>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</si>
  <si>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</si>
  <si>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</si>
  <si>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</si>
  <si>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</si>
  <si>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</si>
  <si>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</si>
  <si>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</si>
  <si>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</si>
  <si>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</si>
  <si>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</si>
  <si>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</si>
  <si>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</si>
  <si>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</si>
  <si>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</si>
  <si>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</si>
  <si>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</si>
  <si>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</si>
  <si>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</si>
  <si>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</si>
  <si>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</si>
  <si>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</si>
  <si>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</si>
  <si>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</si>
  <si>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</si>
  <si>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</si>
  <si>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</si>
  <si>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</si>
  <si>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</si>
  <si>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</si>
  <si>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</si>
  <si>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</si>
  <si>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</si>
  <si>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</si>
  <si>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</si>
  <si>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</si>
  <si>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</si>
  <si>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</si>
  <si>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</si>
  <si>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</si>
  <si>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</si>
  <si>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</si>
  <si>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</si>
  <si>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</si>
  <si>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</si>
  <si>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</si>
  <si>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</si>
  <si>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</si>
  <si>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</si>
  <si>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</si>
  <si>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</si>
  <si>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</si>
  <si>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</si>
  <si>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</si>
  <si>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</si>
  <si>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</si>
  <si>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</si>
  <si>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</si>
  <si>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</si>
  <si>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</si>
  <si>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</si>
  <si>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</si>
  <si>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</si>
  <si>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</si>
  <si>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</si>
  <si>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</si>
  <si>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</si>
  <si>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</si>
  <si>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</si>
  <si>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</si>
  <si>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</si>
  <si>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</si>
  <si>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</si>
  <si>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</si>
  <si>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</si>
  <si>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</si>
  <si>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</si>
  <si>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</si>
  <si>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</si>
  <si>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</si>
  <si>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</si>
  <si>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</si>
  <si>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</si>
  <si>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</si>
  <si>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</si>
  <si>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</si>
  <si>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</si>
  <si>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</si>
  <si>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</si>
  <si>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</si>
  <si>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</si>
  <si>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</si>
  <si>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</si>
  <si>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</si>
  <si>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</si>
  <si>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</si>
  <si>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</si>
  <si>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</si>
  <si>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</si>
  <si>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</si>
  <si>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</si>
  <si>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</si>
  <si>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</si>
  <si>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</si>
  <si>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</si>
  <si>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</si>
  <si>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</si>
  <si>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</si>
  <si>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</si>
  <si>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</si>
  <si>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</si>
  <si>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</si>
  <si>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</si>
  <si>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</si>
  <si>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</si>
  <si>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</si>
  <si>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</si>
  <si>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</si>
  <si>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</si>
  <si>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</si>
  <si>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</si>
  <si>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</si>
  <si>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</si>
  <si>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</si>
  <si>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</si>
  <si>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</si>
  <si>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</si>
  <si>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</si>
  <si>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</si>
  <si>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</si>
  <si>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</si>
  <si>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</si>
  <si>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</si>
  <si>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</si>
  <si>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</si>
  <si>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</si>
  <si>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</si>
  <si>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</si>
  <si>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</si>
  <si>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</si>
  <si>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</si>
  <si>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</si>
  <si>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</si>
  <si>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</si>
  <si>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</si>
  <si>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</si>
  <si>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</si>
  <si>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</si>
  <si>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</si>
  <si>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</si>
  <si>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</si>
  <si>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</si>
  <si>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</si>
  <si>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</si>
  <si>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</si>
  <si>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</si>
  <si>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</si>
  <si>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</si>
  <si>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</si>
  <si>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</si>
  <si>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</si>
  <si>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</si>
  <si>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</si>
  <si>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</si>
  <si>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</si>
  <si>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</si>
  <si>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</si>
  <si>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</si>
  <si>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</si>
  <si>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</si>
  <si>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</si>
  <si>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</si>
  <si>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</si>
  <si>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</si>
  <si>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</si>
  <si>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</si>
  <si>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</si>
  <si>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</si>
  <si>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</si>
  <si>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</si>
  <si>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</si>
  <si>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</si>
  <si>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</si>
  <si>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</si>
  <si>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</si>
  <si>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</si>
  <si>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</si>
  <si>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</si>
  <si>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</si>
  <si>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</si>
  <si>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</si>
  <si>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</si>
  <si>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</si>
  <si>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</si>
  <si>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</si>
  <si>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</si>
  <si>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</si>
  <si>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</si>
  <si>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</si>
  <si>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</si>
  <si>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</si>
  <si>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</si>
  <si>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</si>
  <si>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</si>
  <si>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</si>
  <si>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</si>
  <si>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</si>
  <si>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</si>
  <si>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</si>
  <si>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</si>
  <si>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</si>
  <si>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</si>
  <si>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</si>
  <si>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</si>
  <si>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</si>
  <si>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</si>
  <si>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</si>
  <si>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</si>
  <si>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</si>
  <si>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</si>
  <si>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</si>
  <si>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</si>
  <si>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</si>
  <si>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</si>
  <si>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</si>
  <si>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</si>
  <si>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</si>
  <si>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</si>
  <si>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</si>
  <si>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</si>
  <si>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</si>
  <si>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</si>
  <si>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</si>
  <si>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</si>
  <si>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</si>
  <si>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</si>
  <si>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</si>
  <si>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</si>
  <si>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</si>
  <si>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</si>
  <si>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</si>
  <si>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</si>
  <si>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</si>
  <si>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</si>
  <si>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</si>
  <si>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</si>
  <si>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</si>
  <si>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</si>
  <si>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</si>
  <si>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</si>
  <si>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</si>
  <si>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</si>
  <si>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</si>
  <si>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</si>
  <si>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</si>
  <si>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</si>
  <si>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</si>
  <si>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</si>
  <si>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</si>
  <si>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</si>
  <si>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</si>
  <si>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</si>
  <si>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</si>
  <si>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</si>
  <si>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</si>
  <si>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</si>
  <si>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</si>
  <si>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</si>
  <si>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</si>
  <si>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</si>
  <si>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</si>
  <si>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</si>
  <si>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</si>
  <si>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</si>
  <si>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</si>
  <si>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</si>
  <si>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</si>
  <si>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</si>
  <si>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</si>
  <si>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</si>
  <si>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</si>
  <si>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</si>
  <si>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</si>
  <si>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</si>
  <si>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</si>
  <si>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</si>
  <si>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</si>
  <si>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</si>
  <si>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</si>
  <si>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</si>
  <si>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</si>
  <si>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</si>
  <si>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</si>
  <si>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</si>
  <si>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</si>
  <si>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</si>
  <si>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</si>
  <si>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</si>
  <si>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</si>
  <si>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</si>
  <si>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</si>
  <si>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</si>
  <si>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</si>
  <si>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</si>
  <si>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</si>
  <si>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</si>
  <si>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</si>
  <si>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</si>
  <si>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</si>
  <si>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</si>
  <si>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</si>
  <si>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</si>
  <si>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</si>
  <si>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</si>
  <si>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</si>
  <si>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</si>
  <si>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</si>
  <si>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</si>
  <si>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</si>
  <si>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</si>
  <si>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</si>
  <si>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</si>
  <si>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</si>
  <si>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</si>
  <si>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</si>
  <si>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</si>
  <si>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</si>
  <si>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</si>
  <si>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</si>
  <si>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</si>
  <si>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</si>
  <si>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</si>
  <si>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</si>
  <si>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</si>
  <si>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</si>
  <si>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</si>
  <si>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</si>
  <si>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</si>
  <si>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</si>
  <si>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</si>
  <si>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</si>
  <si>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</si>
  <si>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</si>
  <si>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</si>
  <si>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</si>
  <si>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</si>
  <si>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</si>
  <si>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</si>
  <si>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</si>
  <si>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</si>
  <si>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</si>
  <si>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</si>
  <si>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</si>
  <si>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</si>
  <si>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</si>
  <si>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</si>
  <si>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</si>
  <si>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</si>
  <si>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</si>
  <si>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</si>
  <si>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</si>
  <si>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</si>
  <si>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</si>
  <si>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</si>
  <si>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</si>
  <si>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</si>
  <si>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</si>
  <si>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</si>
  <si>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</si>
  <si>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</si>
  <si>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</si>
  <si>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</si>
  <si>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</si>
  <si>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</si>
  <si>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</si>
  <si>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</si>
  <si>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</si>
  <si>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</si>
  <si>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</si>
  <si>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</si>
  <si>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</si>
  <si>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</si>
  <si>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</si>
  <si>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</si>
  <si>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</si>
  <si>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</si>
  <si>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</si>
  <si>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</si>
  <si>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</si>
  <si>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</si>
  <si>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</si>
  <si>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</si>
  <si>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</si>
  <si>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</si>
  <si>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</si>
  <si>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</si>
  <si>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</si>
  <si>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</si>
  <si>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</si>
  <si>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</si>
  <si>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</si>
  <si>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</si>
  <si>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</si>
  <si>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</si>
  <si>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</si>
  <si>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</si>
  <si>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</si>
  <si>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</si>
  <si>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</si>
  <si>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</si>
  <si>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</si>
  <si>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</si>
  <si>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</si>
  <si>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</si>
  <si>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</si>
  <si>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</si>
  <si>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</si>
  <si>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</si>
  <si>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</si>
  <si>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</si>
  <si>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</si>
  <si>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</si>
  <si>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</si>
  <si>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</si>
  <si>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</si>
  <si>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</si>
  <si>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</si>
  <si>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</si>
  <si>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</si>
  <si>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</si>
  <si>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</si>
  <si>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</si>
  <si>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</si>
  <si>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</si>
  <si>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</si>
  <si>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</si>
  <si>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</si>
  <si>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</si>
  <si>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</si>
  <si>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</si>
  <si>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</si>
  <si>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</si>
  <si>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</si>
  <si>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</si>
  <si>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</si>
  <si>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</si>
  <si>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</si>
  <si>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</si>
  <si>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</si>
  <si>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</si>
  <si>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</si>
  <si>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</si>
  <si>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</si>
  <si>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</si>
  <si>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</si>
  <si>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</si>
  <si>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</si>
  <si>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</si>
  <si>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</si>
  <si>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</si>
  <si>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</si>
  <si>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</si>
  <si>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</si>
  <si>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</si>
  <si>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</si>
  <si>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</si>
  <si>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</si>
  <si>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</si>
  <si>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</si>
  <si>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</si>
  <si>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</si>
  <si>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</si>
  <si>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</si>
  <si>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</si>
  <si>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</si>
  <si>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</si>
  <si>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</si>
  <si>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</si>
  <si>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</si>
  <si>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</si>
  <si>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</si>
  <si>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</si>
  <si>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</si>
  <si>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</si>
  <si>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</si>
  <si>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</si>
  <si>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</si>
  <si>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</si>
  <si>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</si>
  <si>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</si>
  <si>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</si>
  <si>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</si>
  <si>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</si>
  <si>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</si>
  <si>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</si>
  <si>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</si>
  <si>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</si>
  <si>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</si>
  <si>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</si>
  <si>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</si>
  <si>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</si>
  <si>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</si>
  <si>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</si>
  <si>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</si>
  <si>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</si>
  <si>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</si>
  <si>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</si>
  <si>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</si>
  <si>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</si>
  <si>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</si>
  <si>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</si>
  <si>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</si>
  <si>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</si>
  <si>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</si>
  <si>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</si>
  <si>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</si>
  <si>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</si>
  <si>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</si>
  <si>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</si>
  <si>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</si>
  <si>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</si>
  <si>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</si>
  <si>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</si>
  <si>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</si>
  <si>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</si>
  <si>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</si>
  <si>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</si>
  <si>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</si>
  <si>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</si>
  <si>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</si>
  <si>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</si>
  <si>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</si>
  <si>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</si>
  <si>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</si>
  <si>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</si>
  <si>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</si>
  <si>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</si>
  <si>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</si>
  <si>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</si>
  <si>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</si>
  <si>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</si>
  <si>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</si>
  <si>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</si>
  <si>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</si>
  <si>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</si>
  <si>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</si>
  <si>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</si>
  <si>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</si>
  <si>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</si>
  <si>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</si>
  <si>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</si>
  <si>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</si>
  <si>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</si>
  <si>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</si>
  <si>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</si>
  <si>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</si>
  <si>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</si>
  <si>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</si>
  <si>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</si>
  <si>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</si>
  <si>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</si>
  <si>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</si>
  <si>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</si>
  <si>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</si>
  <si>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</si>
  <si>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</si>
  <si>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</si>
  <si>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</si>
  <si>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</si>
  <si>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</si>
  <si>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</si>
  <si>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</si>
  <si>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</si>
  <si>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</si>
  <si>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</si>
  <si>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</si>
  <si>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</si>
  <si>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</si>
  <si>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</si>
  <si>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</si>
  <si>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</si>
  <si>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</si>
  <si>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</si>
  <si>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</si>
  <si>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</si>
  <si>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</si>
  <si>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</si>
  <si>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</si>
  <si>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</si>
  <si>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</si>
  <si>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</si>
  <si>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</si>
  <si>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</si>
  <si>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</si>
  <si>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</si>
  <si>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</si>
  <si>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</si>
  <si>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</si>
  <si>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</si>
  <si>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</si>
  <si>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</si>
  <si>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</si>
  <si>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</si>
  <si>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</si>
  <si>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</si>
  <si>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</si>
  <si>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</si>
  <si>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</si>
  <si>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</si>
  <si>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</si>
  <si>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</si>
  <si>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</si>
  <si>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</si>
  <si>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</si>
  <si>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</si>
  <si>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</si>
  <si>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</si>
  <si>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</si>
  <si>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</si>
  <si>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</si>
  <si>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</si>
  <si>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</si>
  <si>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</si>
  <si>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</si>
  <si>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</si>
  <si>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</si>
  <si>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</si>
  <si>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</si>
  <si>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</si>
  <si>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</si>
  <si>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</si>
  <si>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</si>
  <si>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</si>
  <si>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</si>
  <si>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</si>
  <si>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</si>
  <si>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</si>
  <si>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</si>
  <si>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</si>
  <si>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</si>
  <si>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</si>
  <si>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</si>
  <si>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</si>
  <si>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</si>
  <si>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</si>
  <si>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</si>
  <si>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</si>
  <si>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</si>
  <si>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</si>
  <si>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</si>
  <si>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</si>
  <si>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</si>
  <si>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</si>
  <si>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</si>
  <si>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</si>
  <si>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</si>
  <si>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</si>
  <si>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</si>
  <si>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</si>
  <si>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</si>
  <si>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</si>
  <si>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</si>
  <si>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</si>
  <si>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</si>
  <si>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</si>
  <si>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</si>
  <si>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</si>
  <si>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</si>
  <si>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</si>
  <si>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</si>
  <si>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</si>
  <si>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</si>
  <si>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</si>
  <si>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</si>
  <si>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</si>
  <si>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</si>
  <si>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</si>
  <si>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</si>
  <si>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</si>
  <si>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</si>
  <si>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</si>
  <si>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</si>
  <si>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</si>
  <si>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</si>
  <si>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</si>
  <si>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</si>
  <si>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</si>
  <si>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</si>
  <si>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</si>
  <si>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</si>
  <si>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</si>
  <si>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</si>
  <si>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</si>
  <si>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</si>
  <si>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</si>
  <si>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</si>
  <si>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</si>
  <si>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</si>
  <si>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</si>
  <si>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</si>
  <si>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</si>
  <si>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</si>
  <si>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</si>
  <si>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</si>
  <si>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</si>
  <si>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</si>
  <si>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</si>
  <si>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</si>
  <si>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</si>
  <si>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</si>
  <si>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</si>
  <si>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</si>
  <si>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</si>
  <si>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</si>
  <si>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</si>
  <si>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</si>
  <si>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</si>
  <si>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</si>
  <si>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</si>
  <si>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</si>
  <si>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</si>
  <si>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</si>
  <si>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</si>
  <si>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</si>
  <si>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</si>
  <si>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</si>
  <si>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</si>
  <si>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</si>
  <si>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</si>
  <si>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</si>
  <si>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</si>
  <si>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</si>
  <si>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</si>
  <si>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</si>
  <si>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</si>
  <si>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</si>
  <si>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</si>
  <si>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</si>
  <si>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</si>
  <si>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</si>
  <si>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</si>
  <si>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</si>
  <si>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</si>
  <si>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</si>
  <si>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</si>
  <si>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</si>
  <si>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</si>
  <si>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</si>
  <si>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</si>
  <si>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</si>
  <si>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</si>
  <si>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</si>
  <si>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</si>
  <si>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</si>
  <si>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</si>
  <si>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</si>
  <si>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</si>
  <si>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</si>
  <si>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</si>
  <si>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</si>
  <si>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</si>
  <si>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</si>
  <si>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</si>
  <si>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</si>
  <si>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</si>
  <si>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</si>
  <si>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</si>
  <si>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</si>
  <si>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</si>
  <si>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</si>
  <si>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</si>
  <si>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</si>
  <si>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</si>
  <si>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</si>
  <si>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</si>
  <si>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</si>
  <si>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</si>
  <si>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</si>
  <si>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</si>
  <si>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</si>
  <si>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</si>
  <si>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</si>
  <si>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</si>
  <si>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</si>
  <si>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</si>
  <si>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</si>
  <si>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</si>
  <si>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</si>
  <si>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</si>
  <si>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</si>
  <si>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</si>
  <si>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</si>
  <si>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</si>
  <si>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</si>
  <si>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</si>
  <si>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</si>
  <si>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</si>
  <si>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</si>
  <si>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</si>
  <si>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</si>
  <si>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</si>
  <si>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</si>
  <si>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</si>
  <si>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</si>
  <si>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</si>
  <si>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</si>
  <si>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</si>
  <si>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</si>
  <si>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</si>
  <si>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</si>
  <si>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</si>
  <si>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</si>
  <si>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</si>
  <si>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</si>
  <si>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</si>
  <si>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</si>
  <si>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</si>
  <si>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</si>
  <si>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</si>
  <si>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</si>
  <si>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</si>
  <si>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</si>
  <si>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</si>
  <si>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</si>
  <si>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</si>
  <si>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</si>
  <si>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</si>
  <si>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</si>
  <si>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</si>
  <si>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</si>
  <si>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</si>
  <si>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</si>
  <si>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</si>
  <si>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</si>
  <si>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</si>
  <si>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</si>
  <si>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</si>
  <si>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</si>
  <si>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</si>
  <si>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</si>
  <si>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</si>
  <si>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</si>
  <si>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</si>
  <si>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</si>
  <si>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</si>
  <si>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</si>
  <si>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</si>
  <si>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</si>
  <si>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</si>
  <si>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</si>
  <si>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</si>
  <si>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</si>
  <si>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</si>
  <si>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</si>
  <si>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</si>
  <si>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</si>
  <si>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</si>
  <si>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</si>
  <si>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</si>
  <si>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</si>
  <si>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</si>
  <si>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</si>
  <si>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</si>
  <si>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</si>
  <si>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</si>
  <si>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</si>
  <si>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</si>
  <si>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</si>
  <si>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</si>
  <si>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</si>
  <si>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</si>
  <si>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</si>
  <si>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</si>
  <si>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</si>
  <si>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</si>
  <si>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</si>
  <si>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</si>
  <si>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</si>
  <si>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</si>
  <si>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</si>
  <si>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</si>
  <si>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</si>
  <si>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</si>
  <si>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</si>
  <si>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</si>
  <si>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</si>
  <si>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</si>
  <si>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</si>
  <si>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</si>
  <si>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</si>
  <si>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</si>
  <si>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</si>
  <si>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</si>
  <si>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</si>
  <si>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</si>
  <si>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</si>
  <si>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</si>
  <si>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</si>
  <si>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</si>
  <si>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</si>
  <si>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</si>
  <si>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</si>
  <si>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</si>
  <si>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</si>
  <si>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</si>
  <si>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</si>
  <si>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</si>
  <si>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</si>
  <si>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</si>
  <si>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</si>
  <si>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</si>
  <si>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</si>
  <si>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</si>
  <si>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</si>
  <si>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</si>
  <si>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</si>
  <si>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</si>
  <si>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</si>
  <si>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</si>
  <si>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</si>
  <si>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</si>
  <si>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</si>
  <si>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</si>
  <si>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</si>
  <si>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</si>
  <si>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</si>
  <si>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</si>
  <si>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</si>
  <si>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</si>
  <si>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</si>
  <si>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</si>
  <si>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</si>
  <si>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</si>
  <si>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</si>
  <si>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</si>
  <si>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</si>
  <si>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</si>
  <si>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</si>
  <si>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</si>
  <si>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</si>
  <si>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</si>
  <si>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</si>
  <si>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</si>
  <si>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</si>
  <si>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</si>
  <si>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</si>
  <si>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</si>
  <si>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</si>
  <si>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</si>
  <si>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</si>
  <si>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</si>
  <si>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</si>
  <si>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</si>
  <si>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</si>
  <si>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</si>
  <si>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</si>
  <si>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</si>
  <si>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</si>
  <si>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</si>
  <si>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</si>
  <si>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</si>
  <si>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</si>
  <si>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</si>
  <si>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</si>
  <si>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</si>
  <si>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</si>
  <si>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</si>
  <si>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</si>
  <si>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</si>
  <si>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</si>
  <si>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</si>
  <si>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</si>
  <si>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</si>
  <si>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</si>
  <si>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</si>
  <si>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</si>
  <si>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</si>
  <si>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</si>
  <si>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</si>
  <si>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</si>
  <si>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</si>
  <si>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</si>
  <si>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</si>
  <si>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</si>
  <si>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</si>
  <si>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</si>
  <si>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</si>
  <si>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</si>
  <si>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</si>
  <si>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</si>
  <si>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</si>
  <si>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</si>
  <si>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</si>
  <si>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</si>
  <si>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</si>
  <si>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</si>
  <si>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</si>
  <si>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</si>
  <si>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</si>
  <si>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</si>
  <si>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</si>
  <si>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</si>
  <si>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</si>
  <si>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</si>
  <si>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</si>
  <si>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</si>
  <si>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</si>
  <si>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</si>
  <si>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</si>
  <si>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</si>
  <si>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</si>
  <si>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</si>
  <si>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</si>
  <si>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</si>
  <si>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</si>
  <si>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</si>
  <si>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</si>
  <si>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</si>
  <si>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</si>
  <si>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</si>
  <si>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</si>
  <si>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</si>
  <si>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</si>
  <si>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</si>
  <si>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</si>
  <si>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</si>
  <si>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</si>
  <si>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</si>
  <si>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</si>
  <si>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</si>
  <si>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</si>
  <si>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</si>
  <si>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</si>
  <si>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</si>
  <si>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</si>
  <si>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</si>
  <si>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</si>
  <si>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</si>
  <si>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</si>
  <si>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</si>
  <si>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</si>
  <si>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</si>
  <si>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</si>
  <si>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</si>
  <si>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</si>
  <si>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</si>
  <si>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</si>
  <si>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</si>
  <si>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</si>
  <si>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</si>
  <si>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</si>
  <si>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</si>
  <si>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</si>
  <si>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</si>
  <si>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</si>
  <si>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</si>
  <si>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</si>
  <si>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</si>
  <si>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</si>
  <si>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</si>
  <si>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</si>
  <si>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</si>
  <si>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</si>
  <si>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</si>
  <si>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</si>
  <si>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</si>
  <si>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</si>
  <si>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</si>
  <si>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</si>
  <si>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</si>
  <si>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</si>
  <si>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</si>
  <si>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</si>
  <si>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</si>
  <si>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</si>
  <si>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</si>
  <si>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</si>
  <si>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</si>
  <si>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</si>
  <si>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</si>
  <si>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</si>
  <si>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</si>
  <si>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</si>
  <si>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</si>
  <si>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</si>
  <si>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</si>
  <si>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</si>
  <si>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</si>
  <si>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</si>
  <si>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</si>
  <si>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</si>
  <si>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</si>
  <si>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</si>
  <si>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</si>
  <si>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</si>
  <si>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</si>
  <si>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</si>
  <si>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</si>
  <si>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</si>
  <si>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</si>
  <si>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</si>
  <si>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</si>
  <si>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</si>
  <si>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</si>
  <si>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</si>
  <si>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</si>
  <si>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</si>
  <si>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</si>
  <si>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</si>
  <si>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</si>
  <si>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</si>
  <si>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</si>
  <si>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</si>
  <si>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</si>
  <si>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</si>
  <si>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</si>
  <si>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</si>
  <si>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</si>
  <si>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</si>
  <si>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</si>
  <si>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</si>
  <si>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</si>
  <si>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</si>
  <si>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</si>
  <si>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</si>
  <si>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</si>
  <si>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</si>
  <si>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</si>
  <si>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</si>
  <si>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</si>
  <si>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</si>
  <si>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</si>
  <si>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</si>
  <si>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</si>
  <si>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</si>
  <si>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</si>
  <si>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</si>
  <si>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</si>
  <si>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</si>
  <si>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</si>
  <si>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</si>
  <si>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</si>
  <si>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</si>
  <si>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</si>
  <si>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</si>
  <si>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</si>
  <si>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</si>
  <si>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</si>
  <si>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</si>
  <si>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</si>
  <si>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</si>
  <si>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</si>
  <si>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</si>
  <si>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</si>
  <si>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</si>
  <si>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</si>
  <si>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</si>
  <si>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</si>
  <si>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</si>
  <si>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</si>
  <si>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</si>
  <si>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</si>
  <si>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</si>
  <si>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</si>
  <si>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</si>
  <si>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</si>
  <si>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</si>
  <si>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</si>
  <si>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</si>
  <si>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</si>
  <si>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</si>
  <si>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</si>
  <si>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</si>
  <si>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</si>
  <si>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</si>
  <si>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</si>
  <si>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</si>
  <si>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</si>
  <si>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</si>
  <si>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</si>
  <si>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</si>
  <si>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</si>
  <si>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</si>
  <si>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</si>
  <si>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</si>
  <si>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</si>
  <si>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</si>
  <si>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</si>
  <si>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</si>
  <si>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</si>
  <si>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</si>
  <si>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</si>
  <si>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</si>
  <si>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</si>
  <si>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</si>
  <si>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</si>
  <si>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</si>
  <si>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</si>
  <si>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</si>
  <si>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</si>
  <si>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</si>
  <si>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</si>
  <si>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</si>
  <si>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</si>
  <si>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</si>
  <si>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</si>
  <si>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</si>
  <si>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</si>
  <si>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</si>
  <si>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</si>
  <si>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</si>
  <si>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</si>
  <si>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</si>
  <si>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</si>
  <si>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</si>
  <si>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</si>
  <si>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</si>
  <si>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</si>
  <si>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</si>
  <si>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</si>
  <si>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</si>
  <si>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</si>
  <si>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</si>
  <si>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</si>
  <si>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</si>
  <si>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</si>
  <si>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</si>
  <si>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</si>
  <si>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</si>
  <si>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</si>
  <si>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</si>
  <si>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</si>
  <si>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</si>
  <si>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</si>
  <si>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</si>
  <si>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</si>
  <si>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</si>
  <si>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</si>
  <si>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</si>
  <si>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</si>
  <si>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</si>
  <si>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</si>
  <si>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</si>
  <si>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</si>
  <si>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</si>
  <si>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</si>
  <si>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</si>
  <si>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</si>
  <si>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</si>
  <si>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</si>
  <si>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</si>
  <si>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</si>
  <si>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</si>
  <si>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</si>
  <si>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</si>
  <si>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</si>
  <si>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</si>
  <si>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</si>
  <si>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</si>
  <si>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</si>
  <si>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</si>
  <si>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</si>
  <si>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</si>
  <si>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</si>
  <si>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</si>
  <si>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</si>
  <si>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</si>
  <si>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</si>
  <si>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</si>
  <si>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</si>
  <si>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</si>
  <si>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周边居住社区较少，规模一般，入住率较差，综合评价居住社区成熟度较差。</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</si>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</sst>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9" borderId="0" xfId="0"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12</xdr:col>
      <xdr:colOff>228600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4</xdr:col>
      <xdr:colOff>409075</xdr:colOff>
      <xdr:row>86</xdr:row>
      <xdr:rowOff>0</xdr:rowOff>
    </xdr:from>
    <xdr:to>
      <xdr:col>10</xdr:col>
      <xdr:colOff>647699</xdr:colOff>
      <xdr:row>113</xdr:row>
      <xdr:rowOff>28575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52750" y="14744700"/>
          <a:ext cx="6096499" cy="465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95250</xdr:rowOff>
    </xdr:from>
    <xdr:to>
      <xdr:col>10</xdr:col>
      <xdr:colOff>581025</xdr:colOff>
      <xdr:row>32</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438150"/>
          <a:ext cx="7229475" cy="5086350"/>
        </a:xfrm>
        <a:prstGeom prst="rect">
          <a:avLst/>
        </a:prstGeom>
      </xdr:spPr>
    </xdr:pic>
    <xdr:clientData/>
  </xdr:twoCellAnchor>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2659</v>
      </c>
      <c r="B3" s="2833" t="str">
        <f>'预评函-封皮'!B40</f>
        <v>中信信托有限责任公司</v>
      </c>
    </row>
    <row r="4" spans="1:55" s="2832" customFormat="1">
      <c r="A4" s="2830" t="s">
        <v>2660</v>
      </c>
      <c r="B4" s="2831" t="str">
        <f>'预评函-封皮'!B46</f>
        <v>王鹏、郑燚</v>
      </c>
      <c r="N4" s="2832" t="str">
        <f>'预评函-1'!A28</f>
        <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2655</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2019年7月17日（评估专业人员勘察现场之日）</v>
      </c>
    </row>
    <row r="11" spans="1:55" s="2829" customFormat="1">
      <c r="A11" s="2830" t="s">
        <v>2663</v>
      </c>
      <c r="B11" s="2831" t="str">
        <f>'预评函-1'!A14</f>
        <v>根据《不动产权证书》[鄂（2018）黄石市不动产权第0021399号]等四本，本次评估估价对象证载（地类）用途为城镇住宅用地、商服用地。</v>
      </c>
    </row>
    <row r="12" spans="1:55" s="2829" customFormat="1">
      <c r="A12" s="2830" t="s">
        <v>2664</v>
      </c>
      <c r="B12" s="2831" t="str">
        <f>'预评函-1'!A15</f>
        <v>本次评估设定用途即为证载用途住宅、商业。</v>
      </c>
    </row>
    <row r="13" spans="1:55" s="2829" customFormat="1">
      <c r="A13" s="2830" t="s">
        <v>2665</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2666</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2662</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2667</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2668</v>
      </c>
      <c r="B17" s="2831" t="str">
        <f>'预评函-1'!A23</f>
        <v>本次评估设定估价对象剩余土地使用年限为住宅68.5年、商业38.5年。</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
      </c>
    </row>
    <row r="22" spans="1:48" ht="15" thickTop="1">
      <c r="A22" s="2841" t="s">
        <v>2673</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估价期日：2019年7月17日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城镇住宅用地、商服用地</v>
      </c>
      <c r="AV32" s="2835"/>
    </row>
    <row r="33" spans="1:2">
      <c r="A33" s="2830" t="s">
        <v>2711</v>
      </c>
      <c r="B33" s="2831">
        <f>'预评函-2'!F5</f>
        <v>258</v>
      </c>
    </row>
    <row r="34" spans="1:2">
      <c r="A34" s="2830" t="s">
        <v>2712</v>
      </c>
      <c r="B34" s="2831" t="str">
        <f>'预评函-2'!G5</f>
        <v>住宅、商业</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红线外七通、宗地红线内场地未平整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t="str">
        <f>'预评函-2'!M5</f>
        <v>住宅68.5年、商业38.5年</v>
      </c>
    </row>
    <row r="42" spans="1:2">
      <c r="A42" s="2830" t="s">
        <v>2737</v>
      </c>
      <c r="B42" s="2831" t="str">
        <f>'预评函-2'!N3</f>
        <v>（分摊）出让国有建设用地使用权面积/㎡</v>
      </c>
    </row>
    <row r="43" spans="1:2">
      <c r="A43" s="2830" t="s">
        <v>2719</v>
      </c>
      <c r="B43" s="2831">
        <f>'预评函-2'!N5</f>
        <v>48381</v>
      </c>
    </row>
    <row r="44" spans="1:2">
      <c r="A44" s="2830" t="s">
        <v>2738</v>
      </c>
      <c r="B44" s="2831" t="str">
        <f>'预评函-2'!O3</f>
        <v>规划建筑面积/㎡</v>
      </c>
    </row>
    <row r="45" spans="1:2">
      <c r="A45" s="2830" t="s">
        <v>2720</v>
      </c>
      <c r="B45" s="2831">
        <f>'预评函-2'!O5</f>
        <v>120900</v>
      </c>
    </row>
    <row r="46" spans="1:2">
      <c r="A46" s="2830" t="s">
        <v>2721</v>
      </c>
      <c r="B46" s="2831">
        <f ca="1">'预评函-2'!P5</f>
        <v>2621</v>
      </c>
    </row>
    <row r="47" spans="1:2">
      <c r="A47" s="2830" t="s">
        <v>2722</v>
      </c>
      <c r="B47" s="2831">
        <f ca="1">'预评函-2'!Q5</f>
        <v>1049</v>
      </c>
    </row>
    <row r="48" spans="1:2">
      <c r="A48" s="2830" t="s">
        <v>2723</v>
      </c>
      <c r="B48" s="2831">
        <f ca="1">'预评函-2'!R5</f>
        <v>12682</v>
      </c>
    </row>
    <row r="49" spans="1:2">
      <c r="A49" s="2830" t="s">
        <v>2739</v>
      </c>
      <c r="B49" s="2831" t="str">
        <f>'预评函-2'!A6</f>
        <v>抵押价格</v>
      </c>
    </row>
    <row r="50" spans="1:2">
      <c r="A50" s="2830" t="s">
        <v>2724</v>
      </c>
      <c r="B50" s="2831">
        <f ca="1">'预评函-2'!R6</f>
        <v>12682</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1.权利限制：根据估价对象《不动产权证书》原件、《国有土地使用权》复印件，截至估价期日，估价对象已设定抵押。未设定租赁等其他他项权利。</v>
      </c>
    </row>
    <row r="56" spans="1:2">
      <c r="A56" s="2830" t="s">
        <v>2677</v>
      </c>
      <c r="B56" s="2831" t="str">
        <f>'预评函-3'!A3</f>
        <v>2.基础设施条件：估价对象实际开发程度为红线外七通、宗地红线内场地未平整；本次评估设定开发程度为红线外七通、宗地红线内场地平整。</v>
      </c>
    </row>
    <row r="57" spans="1:2">
      <c r="A57" s="2830" t="s">
        <v>2678</v>
      </c>
      <c r="B57" s="2831" t="str">
        <f>'预评函-3'!A4</f>
        <v>3.估价规划限制条件：详见《黄石市建设用地规划条件控制文本》。</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王鹏</v>
      </c>
    </row>
    <row r="70" spans="1:2">
      <c r="A70" s="2830" t="s">
        <v>2688</v>
      </c>
      <c r="B70" s="2837">
        <f ca="1">'预评函-3'!B20</f>
        <v>2002110030</v>
      </c>
    </row>
    <row r="71" spans="1:2">
      <c r="A71" s="2830" t="s">
        <v>2689</v>
      </c>
      <c r="B71" s="2831" t="str">
        <f>'预评函-3'!A21</f>
        <v>郑燚</v>
      </c>
    </row>
    <row r="72" spans="1:2" s="2845" customFormat="1" ht="15" thickBot="1">
      <c r="A72" s="2852" t="s">
        <v>2689</v>
      </c>
      <c r="B72" s="2858">
        <f ca="1">'预评函-3'!B21</f>
        <v>2014110011</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1936</v>
      </c>
      <c r="B1" s="3243"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44"/>
      <c r="D1" s="3244"/>
      <c r="E1" s="3244"/>
      <c r="F1" s="3244"/>
      <c r="G1" s="3244"/>
      <c r="H1" s="3244"/>
      <c r="I1" s="3245"/>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1937</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1938</v>
      </c>
      <c r="B3" s="1645">
        <v>43663</v>
      </c>
      <c r="C3" s="1646" t="s">
        <v>1994</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1939</v>
      </c>
      <c r="B4" s="1824" t="s">
        <v>2988</v>
      </c>
      <c r="C4" s="1827">
        <f ca="1">SUMIF(土地估价师,B4,估价师及机构信息!E3:E24)</f>
        <v>2002110030</v>
      </c>
      <c r="D4" s="1824" t="s">
        <v>2989</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1940</v>
      </c>
      <c r="B5" s="1770" t="s">
        <v>2991</v>
      </c>
      <c r="C5" s="1649"/>
      <c r="D5" s="1650"/>
      <c r="E5" s="1675"/>
      <c r="F5" s="1675"/>
      <c r="G5" s="1675"/>
      <c r="H5" s="1643"/>
      <c r="I5" s="1676"/>
      <c r="J5" s="1675"/>
      <c r="K5" s="1755"/>
      <c r="L5" s="1704"/>
      <c r="M5" s="1704"/>
      <c r="N5" s="1675"/>
      <c r="O5" s="1676"/>
      <c r="P5" s="1675"/>
      <c r="Q5" s="1675"/>
      <c r="R5" s="1675"/>
      <c r="S5" s="1675"/>
      <c r="T5" s="1675"/>
      <c r="U5" s="1675"/>
    </row>
    <row r="6" spans="1:21" ht="26.25">
      <c r="A6" s="1646" t="s">
        <v>2704</v>
      </c>
      <c r="B6" s="1770" t="s">
        <v>2992</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2705</v>
      </c>
      <c r="B7" s="1770" t="s">
        <v>2998</v>
      </c>
      <c r="C7" s="1742"/>
      <c r="D7" s="1651"/>
      <c r="E7" s="1675"/>
      <c r="F7" s="1675"/>
      <c r="G7" s="1675"/>
      <c r="H7" s="1643"/>
      <c r="I7" s="1676"/>
      <c r="J7" s="1675"/>
      <c r="K7" s="1755"/>
      <c r="L7" s="1704"/>
      <c r="M7" s="1704"/>
      <c r="N7" s="1675"/>
      <c r="O7" s="1676"/>
      <c r="P7" s="1675"/>
      <c r="Q7" s="1675"/>
      <c r="R7" s="1675"/>
      <c r="S7" s="1675"/>
      <c r="T7" s="1675"/>
      <c r="U7" s="1675"/>
    </row>
    <row r="8" spans="1:21">
      <c r="A8" s="1652" t="s">
        <v>1941</v>
      </c>
      <c r="B8" s="1653" t="s">
        <v>2987</v>
      </c>
      <c r="C8" s="1654"/>
      <c r="D8" s="3249" t="s">
        <v>1943</v>
      </c>
      <c r="E8" s="1825" t="s">
        <v>2994</v>
      </c>
      <c r="F8" s="1655"/>
      <c r="G8" s="1643"/>
      <c r="H8" s="1643"/>
      <c r="I8" s="1688"/>
      <c r="J8" s="1675"/>
      <c r="K8" s="1755"/>
      <c r="L8" s="1704"/>
      <c r="M8" s="1704"/>
      <c r="N8" s="1675"/>
      <c r="O8" s="1676"/>
      <c r="P8" s="1675"/>
      <c r="Q8" s="1675"/>
      <c r="R8" s="1675"/>
      <c r="S8" s="1675"/>
      <c r="T8" s="1675"/>
      <c r="U8" s="1675"/>
    </row>
    <row r="9" spans="1:21" ht="15" thickBot="1">
      <c r="A9" s="1656" t="s">
        <v>1942</v>
      </c>
      <c r="B9" s="1657" t="s">
        <v>2994</v>
      </c>
      <c r="C9" s="1658"/>
      <c r="D9" s="3250"/>
      <c r="E9" s="1657" t="s">
        <v>951</v>
      </c>
      <c r="F9" s="1728"/>
      <c r="G9" s="1723"/>
      <c r="H9" s="1723"/>
      <c r="I9" s="1724"/>
      <c r="J9" s="1675"/>
      <c r="K9" s="1755"/>
      <c r="L9" s="1704"/>
      <c r="M9" s="1704"/>
      <c r="N9" s="1675"/>
      <c r="O9" s="1676"/>
      <c r="P9" s="1675"/>
      <c r="Q9" s="1675"/>
      <c r="R9" s="1675"/>
      <c r="S9" s="1675"/>
      <c r="T9" s="1675"/>
      <c r="U9" s="1675"/>
    </row>
    <row r="10" spans="1:21" ht="47.25" customHeight="1" thickTop="1">
      <c r="A10" s="1725" t="s">
        <v>1997</v>
      </c>
      <c r="B10" s="1700" t="s">
        <v>2995</v>
      </c>
      <c r="C10" s="1659" t="s">
        <v>2996</v>
      </c>
      <c r="D10" s="1650"/>
      <c r="E10" s="1660" t="s">
        <v>1945</v>
      </c>
      <c r="F10" s="3180" t="s">
        <v>3002</v>
      </c>
      <c r="G10" s="1726"/>
      <c r="H10" s="1727"/>
      <c r="I10" s="1650"/>
      <c r="J10" s="1675"/>
      <c r="K10" s="1755"/>
      <c r="L10" s="1704"/>
      <c r="M10" s="1704"/>
      <c r="N10" s="1675"/>
      <c r="O10" s="1676"/>
      <c r="P10" s="1675"/>
      <c r="Q10" s="1675"/>
      <c r="R10" s="1675"/>
      <c r="S10" s="1675"/>
      <c r="T10" s="1675"/>
      <c r="U10" s="1675"/>
    </row>
    <row r="11" spans="1:21">
      <c r="A11" s="1678" t="s">
        <v>1998</v>
      </c>
      <c r="B11" s="1679" t="s">
        <v>2997</v>
      </c>
      <c r="C11" s="3179" t="s">
        <v>2993</v>
      </c>
      <c r="D11" s="1743"/>
      <c r="E11" s="1643"/>
      <c r="F11" s="1643"/>
      <c r="G11" s="1643"/>
      <c r="H11" s="1643"/>
      <c r="I11" s="1643"/>
      <c r="J11" s="1675"/>
      <c r="K11" s="1755"/>
      <c r="L11" s="1704"/>
      <c r="M11" s="1704"/>
      <c r="N11" s="1675"/>
      <c r="O11" s="1676"/>
      <c r="P11" s="1675"/>
      <c r="Q11" s="1675"/>
      <c r="R11" s="1675"/>
      <c r="S11" s="1675"/>
      <c r="T11" s="1675"/>
      <c r="U11" s="1675"/>
    </row>
    <row r="12" spans="1:21">
      <c r="A12" s="1766" t="s">
        <v>2056</v>
      </c>
      <c r="B12" s="3246" t="s">
        <v>2999</v>
      </c>
      <c r="C12" s="3247"/>
      <c r="D12" s="3248"/>
      <c r="E12" s="1680" t="s">
        <v>2059</v>
      </c>
      <c r="F12" s="3264" t="s">
        <v>3003</v>
      </c>
      <c r="G12" s="3265"/>
      <c r="H12" s="3265"/>
      <c r="I12" s="3266"/>
      <c r="J12" s="1675"/>
      <c r="K12" s="1755"/>
      <c r="L12" s="1704"/>
      <c r="M12" s="1704"/>
      <c r="N12" s="1675"/>
      <c r="O12" s="1676"/>
      <c r="P12" s="1675"/>
      <c r="Q12" s="1675"/>
      <c r="R12" s="1675"/>
      <c r="S12" s="1675"/>
      <c r="T12" s="1675"/>
      <c r="U12" s="1675"/>
    </row>
    <row r="13" spans="1:21">
      <c r="A13" s="1668" t="s">
        <v>2057</v>
      </c>
      <c r="B13" s="3246" t="s">
        <v>3001</v>
      </c>
      <c r="C13" s="3247"/>
      <c r="D13" s="3248"/>
      <c r="E13" s="1680" t="s">
        <v>2059</v>
      </c>
      <c r="F13" s="3264" t="s">
        <v>3007</v>
      </c>
      <c r="G13" s="3265"/>
      <c r="H13" s="3265"/>
      <c r="I13" s="3266"/>
      <c r="J13" s="1675"/>
      <c r="K13" s="1755"/>
      <c r="L13" s="1704"/>
      <c r="M13" s="1704"/>
      <c r="N13" s="1675"/>
      <c r="O13" s="1676"/>
      <c r="P13" s="1675"/>
      <c r="Q13" s="1675"/>
      <c r="R13" s="1675"/>
      <c r="S13" s="1675"/>
      <c r="T13" s="1675"/>
      <c r="U13" s="1675"/>
    </row>
    <row r="14" spans="1:21">
      <c r="A14" s="1644" t="s">
        <v>2060</v>
      </c>
      <c r="B14" s="1680"/>
      <c r="C14" s="1826" t="s">
        <v>3004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14.25" customHeight="1">
      <c r="A16" s="1661" t="s">
        <v>1946</v>
      </c>
      <c r="B16" s="1662" t="s">
        <v>2980</v>
      </c>
      <c r="C16" s="1680" t="s">
        <v>1947</v>
      </c>
      <c r="D16" s="2607" t="s">
        <v>1948</v>
      </c>
      <c r="E16" s="1703" t="s">
        <v>3005</v>
      </c>
      <c r="F16" s="1703"/>
      <c r="G16" s="1703"/>
      <c r="H16" s="1703"/>
      <c r="I16" s="1667" t="s">
        <v>1953</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1954</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1955</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1956</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61" t="s">
        <v>3006</v>
      </c>
      <c r="E20" s="3262"/>
      <c r="F20" s="3262"/>
      <c r="G20" s="3262"/>
      <c r="H20" s="3262"/>
      <c r="I20" s="3263"/>
      <c r="J20" s="1675"/>
      <c r="K20" s="1755"/>
      <c r="L20" s="1704"/>
      <c r="M20" s="1704"/>
      <c r="N20" s="1675"/>
      <c r="O20" s="1676"/>
      <c r="P20" s="1675"/>
      <c r="Q20" s="1675"/>
      <c r="R20" s="1675"/>
      <c r="S20" s="1675"/>
      <c r="T20" s="1675"/>
      <c r="U20" s="1675"/>
    </row>
    <row r="21" spans="1:21">
      <c r="A21" s="1744" t="s">
        <v>1957</v>
      </c>
      <c r="B21" s="1745" t="s">
        <v>1958</v>
      </c>
      <c r="C21" s="1740">
        <f>'数据-汇总表'!E3</f>
        <v>120900</v>
      </c>
      <c r="D21" s="1741" t="s">
        <v>1959</v>
      </c>
      <c r="E21" s="3251" t="s">
        <v>3008</v>
      </c>
      <c r="F21" s="3252"/>
      <c r="G21" s="3252"/>
      <c r="H21" s="3252"/>
      <c r="I21" s="3253"/>
      <c r="J21" s="1675"/>
      <c r="K21" s="1755"/>
      <c r="L21" s="1704"/>
      <c r="M21" s="1704"/>
      <c r="N21" s="1675"/>
      <c r="O21" s="1676"/>
      <c r="P21" s="1675"/>
      <c r="Q21" s="1675"/>
      <c r="R21" s="1675"/>
      <c r="S21" s="1675"/>
      <c r="T21" s="1675"/>
      <c r="U21" s="1675"/>
    </row>
    <row r="22" spans="1:21">
      <c r="A22" s="3091" t="s">
        <v>951</v>
      </c>
      <c r="B22" s="1644" t="s">
        <v>1960</v>
      </c>
      <c r="C22" s="1667">
        <f>'数据-汇总表'!D3</f>
        <v>48381</v>
      </c>
      <c r="D22" s="1668" t="s">
        <v>1959</v>
      </c>
      <c r="E22" s="3251" t="s">
        <v>3009</v>
      </c>
      <c r="F22" s="3252"/>
      <c r="G22" s="3252"/>
      <c r="H22" s="3252"/>
      <c r="I22" s="3253"/>
      <c r="J22" s="1675"/>
      <c r="K22" s="1755"/>
      <c r="L22" s="1704"/>
      <c r="M22" s="1704"/>
      <c r="N22" s="1675"/>
      <c r="O22" s="1676"/>
      <c r="P22" s="1675"/>
      <c r="Q22" s="1675"/>
      <c r="R22" s="1675"/>
      <c r="S22" s="1675"/>
      <c r="T22" s="1675"/>
      <c r="U22" s="1675"/>
    </row>
    <row r="23" spans="1:21" ht="29.25" thickBot="1">
      <c r="A23" s="1746" t="s">
        <v>1961</v>
      </c>
      <c r="B23" s="1682" t="s">
        <v>1962</v>
      </c>
      <c r="C23" s="1683" t="s">
        <v>1677</v>
      </c>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54" t="s">
        <v>1965</v>
      </c>
      <c r="C24" s="3255"/>
      <c r="D24" s="3256" t="s">
        <v>1966</v>
      </c>
      <c r="E24" s="3257"/>
      <c r="F24" s="1689" t="s">
        <v>1967</v>
      </c>
      <c r="G24" s="1675"/>
      <c r="H24" s="1675"/>
      <c r="I24" s="1688"/>
      <c r="J24" s="1675"/>
      <c r="K24" s="3242"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2323</v>
      </c>
      <c r="C25" s="1690" t="s">
        <v>1969</v>
      </c>
      <c r="D25" s="1691"/>
      <c r="E25" s="1692" t="s">
        <v>951</v>
      </c>
      <c r="F25" s="1693"/>
      <c r="G25" s="1675"/>
      <c r="H25" s="1675"/>
      <c r="I25" s="1688"/>
      <c r="J25" s="1675"/>
      <c r="K25" s="3242"/>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2324</v>
      </c>
      <c r="D26" s="1643"/>
      <c r="E26" s="1643"/>
      <c r="F26" s="1669"/>
      <c r="G26" s="1675"/>
      <c r="H26" s="1675"/>
      <c r="I26" s="1688"/>
      <c r="J26" s="1675"/>
      <c r="K26" s="3242"/>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28" t="s">
        <v>1999</v>
      </c>
      <c r="B31" s="1745" t="s">
        <v>2000</v>
      </c>
      <c r="C31" s="3267" t="s">
        <v>3010</v>
      </c>
      <c r="D31" s="3268"/>
      <c r="E31" s="1675"/>
      <c r="F31" s="1675"/>
      <c r="G31" s="1675"/>
      <c r="H31" s="1675"/>
      <c r="I31" s="1688"/>
      <c r="J31" s="1675"/>
      <c r="K31" s="2419"/>
      <c r="L31" s="1675"/>
      <c r="M31" s="1675"/>
      <c r="N31" s="1675"/>
      <c r="O31" s="1675"/>
      <c r="P31" s="1675"/>
      <c r="Q31" s="1675"/>
      <c r="R31" s="1675"/>
      <c r="S31" s="1675"/>
      <c r="T31" s="1675"/>
      <c r="U31" s="1675"/>
    </row>
    <row r="32" spans="1:21">
      <c r="A32" s="3228"/>
      <c r="B32" s="1644" t="s">
        <v>2001</v>
      </c>
      <c r="C32" s="1700" t="s">
        <v>3011</v>
      </c>
      <c r="D32" s="1701"/>
      <c r="E32" s="1675"/>
      <c r="F32" s="1675"/>
      <c r="G32" s="1675"/>
      <c r="H32" s="1675"/>
      <c r="I32" s="1688"/>
      <c r="J32" s="1675"/>
      <c r="K32" s="2419"/>
      <c r="L32" s="1675"/>
      <c r="M32" s="1675"/>
      <c r="N32" s="1675"/>
      <c r="O32" s="1675"/>
      <c r="P32" s="1675"/>
      <c r="Q32" s="1675"/>
      <c r="R32" s="1675"/>
      <c r="S32" s="1675"/>
      <c r="T32" s="1675"/>
      <c r="U32" s="1675"/>
    </row>
    <row r="33" spans="1:21">
      <c r="A33" s="3228"/>
      <c r="B33" s="1644" t="s">
        <v>2002</v>
      </c>
      <c r="C33" s="1702" t="s">
        <v>3012</v>
      </c>
      <c r="D33" s="1819"/>
      <c r="E33" s="1675"/>
      <c r="F33" s="1675"/>
      <c r="G33" s="1675"/>
      <c r="H33" s="1675"/>
      <c r="I33" s="1688"/>
      <c r="J33" s="1675"/>
      <c r="K33" s="2419"/>
      <c r="L33" s="1675"/>
      <c r="M33" s="1675"/>
      <c r="N33" s="1675"/>
      <c r="O33" s="1675"/>
      <c r="P33" s="1675"/>
      <c r="Q33" s="1675"/>
      <c r="R33" s="1675"/>
      <c r="S33" s="1675"/>
      <c r="T33" s="1675"/>
      <c r="U33" s="1675"/>
    </row>
    <row r="34" spans="1:21">
      <c r="A34" s="3229"/>
      <c r="B34" s="1644" t="s">
        <v>2003</v>
      </c>
      <c r="C34" s="3230"/>
      <c r="D34" s="3231"/>
      <c r="E34" s="1675"/>
      <c r="F34" s="1675"/>
      <c r="G34" s="1675"/>
      <c r="H34" s="1675"/>
      <c r="I34" s="1688"/>
      <c r="J34" s="1675"/>
      <c r="K34" s="2419"/>
      <c r="L34" s="1675"/>
      <c r="M34" s="1675"/>
      <c r="N34" s="1675"/>
      <c r="O34" s="1675"/>
      <c r="P34" s="1675"/>
      <c r="Q34" s="1675"/>
      <c r="R34" s="1675"/>
      <c r="S34" s="1675"/>
      <c r="T34" s="1675"/>
      <c r="U34" s="1675"/>
    </row>
    <row r="35" spans="1:21">
      <c r="A35" s="3232" t="s">
        <v>846</v>
      </c>
      <c r="B35" s="1703" t="s">
        <v>3013</v>
      </c>
      <c r="C35" s="1757" t="str">
        <f>IF(B35="场地平整","——","具体情况：")</f>
        <v>具体情况：</v>
      </c>
      <c r="D35" s="3234" t="s">
        <v>3014</v>
      </c>
      <c r="E35" s="3235"/>
      <c r="F35" s="3235"/>
      <c r="G35" s="3235"/>
      <c r="H35" s="3235"/>
      <c r="I35" s="3236"/>
      <c r="J35" s="1675"/>
      <c r="K35" s="1756"/>
      <c r="L35" s="1704"/>
      <c r="M35" s="1704"/>
      <c r="N35" s="1675"/>
      <c r="O35" s="1676"/>
      <c r="P35" s="1675"/>
      <c r="Q35" s="1675"/>
      <c r="R35" s="1675"/>
      <c r="S35" s="1675"/>
      <c r="T35" s="1675"/>
      <c r="U35" s="1675"/>
    </row>
    <row r="36" spans="1:21" ht="28.5">
      <c r="A36" s="3228"/>
      <c r="B36" s="3237" t="s">
        <v>2052</v>
      </c>
      <c r="C36" s="3238"/>
      <c r="D36" s="1773" t="s">
        <v>3015</v>
      </c>
      <c r="E36" s="3239" t="s">
        <v>3016</v>
      </c>
      <c r="F36" s="3239"/>
      <c r="G36" s="1668" t="str">
        <f>IF(B35="场地未平整","估价结果处理","")</f>
        <v>估价结果处理</v>
      </c>
      <c r="H36" s="3240"/>
      <c r="I36" s="3240"/>
      <c r="J36" s="1675"/>
      <c r="K36" s="1756"/>
      <c r="L36" s="1704"/>
      <c r="M36" s="1704"/>
      <c r="N36" s="1675"/>
      <c r="O36" s="1676"/>
      <c r="P36" s="1675"/>
      <c r="Q36" s="1675"/>
      <c r="R36" s="1675"/>
      <c r="S36" s="1675"/>
      <c r="T36" s="1675"/>
      <c r="U36" s="1675"/>
    </row>
    <row r="37" spans="1:21" ht="28.5">
      <c r="A37" s="3228"/>
      <c r="B37" s="3258"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28"/>
      <c r="B38" s="3259"/>
      <c r="C38" s="1652" t="s">
        <v>849</v>
      </c>
      <c r="D38" s="1772">
        <f>ROUNDDOWN(MIN(('数据-取费表'!$B$2-D37)/365,D34),1)</f>
        <v>119.6</v>
      </c>
      <c r="E38" s="1708" t="s">
        <v>850</v>
      </c>
      <c r="F38" s="1675"/>
      <c r="G38" s="1675"/>
      <c r="H38" s="1675"/>
      <c r="I38" s="1688"/>
      <c r="J38" s="1675"/>
      <c r="K38" s="1756"/>
      <c r="L38" s="1675"/>
      <c r="M38" s="1675"/>
      <c r="N38" s="1675"/>
      <c r="O38" s="1675"/>
      <c r="P38" s="1675"/>
      <c r="Q38" s="1675"/>
      <c r="R38" s="1675"/>
      <c r="S38" s="1675"/>
      <c r="T38" s="1675"/>
      <c r="U38" s="1675"/>
    </row>
    <row r="39" spans="1:21">
      <c r="A39" s="3229"/>
      <c r="B39" s="3260"/>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3017</v>
      </c>
      <c r="C40" s="1671" t="s">
        <v>3018</v>
      </c>
      <c r="D40" s="1671" t="s">
        <v>3019</v>
      </c>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41" t="s">
        <v>1984</v>
      </c>
      <c r="T40" s="1712" t="str">
        <f>NUMBERSTRING(7-K40,1)&amp;"通"</f>
        <v>七通</v>
      </c>
      <c r="U40" s="1675"/>
    </row>
    <row r="41" spans="1:21">
      <c r="A41" s="1646"/>
      <c r="B41" s="3233" t="s">
        <v>1720</v>
      </c>
      <c r="C41" s="3233"/>
      <c r="D41" s="3233"/>
      <c r="E41" s="3233"/>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41"/>
      <c r="T41" s="1714" t="str">
        <f>IF(T40="一通",L41,IF(T40="二通",M41,IF(T40="三通",N41,IF(T40="四通",O41,IF(T40="五通",P41,IF(T40="六通",Q41,R41))))))</f>
        <v>通路、通讯、通上水、、、、</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3020</v>
      </c>
      <c r="J9" s="51"/>
      <c r="K9" s="2968" t="s">
        <v>3020</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922</v>
      </c>
      <c r="J10" s="51"/>
      <c r="K10" s="2970" t="s">
        <v>3005</v>
      </c>
      <c r="L10" s="51"/>
      <c r="M10" s="2970"/>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3021</v>
      </c>
      <c r="J11" s="71"/>
      <c r="K11" s="2969" t="s">
        <v>3022</v>
      </c>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1677</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0" t="s">
        <v>203</v>
      </c>
      <c r="B2" s="3280"/>
      <c r="C2" s="3280"/>
      <c r="D2" s="1957" t="s">
        <v>204</v>
      </c>
      <c r="E2" s="106" t="s">
        <v>205</v>
      </c>
      <c r="F2" s="1966"/>
      <c r="G2" s="1193"/>
      <c r="H2" s="1194"/>
      <c r="I2" s="1195" t="s">
        <v>856</v>
      </c>
      <c r="J2" s="1966"/>
      <c r="K2" s="1966"/>
      <c r="L2" s="1966"/>
    </row>
    <row r="3" spans="1:16" ht="15.75" thickBot="1">
      <c r="A3" s="3281" t="s">
        <v>206</v>
      </c>
      <c r="B3" s="3281"/>
      <c r="C3" s="3281"/>
      <c r="D3" s="107">
        <f>'数据-基础表'!AY6</f>
        <v>48381</v>
      </c>
      <c r="E3" s="107">
        <f>'数据-基础表'!AZ5</f>
        <v>120900</v>
      </c>
      <c r="F3" s="1966"/>
      <c r="G3" s="280" t="s">
        <v>857</v>
      </c>
      <c r="H3" s="275" t="s">
        <v>858</v>
      </c>
      <c r="I3" s="1958">
        <f>ROUND('数据-基础表'!B3/'数据-基础表'!A3,2)</f>
        <v>2.5</v>
      </c>
      <c r="J3" s="1966"/>
      <c r="K3" s="1966"/>
      <c r="L3" s="1966"/>
    </row>
    <row r="4" spans="1:16" ht="15">
      <c r="A4" s="3282"/>
      <c r="B4" s="3283"/>
      <c r="C4" s="3284"/>
      <c r="D4" s="108" t="s">
        <v>204</v>
      </c>
      <c r="E4" s="109" t="s">
        <v>205</v>
      </c>
      <c r="F4" s="1966"/>
      <c r="G4" s="1196"/>
      <c r="H4" s="275" t="s">
        <v>859</v>
      </c>
      <c r="I4" s="1958">
        <f>ROUND(SUMIF('数据-基础表'!I9:AS9,"地上",'数据-基础表'!I5:AS5)/'数据-基础表'!A3,2)</f>
        <v>2.5</v>
      </c>
      <c r="J4" s="1966"/>
      <c r="K4" s="1966"/>
      <c r="L4" s="1966"/>
    </row>
    <row r="5" spans="1:16">
      <c r="A5" s="110" t="s">
        <v>207</v>
      </c>
      <c r="B5" s="3285" t="s">
        <v>230</v>
      </c>
      <c r="C5" s="3285"/>
      <c r="D5" s="111">
        <f>ROUND($D$3*E5/$E$3,2)</f>
        <v>43542.9</v>
      </c>
      <c r="E5" s="112">
        <f>SUMIF('数据-基础表'!$11:$11,"住宅",'数据-基础表'!$5:$5)</f>
        <v>108810</v>
      </c>
      <c r="F5" s="1966"/>
      <c r="G5" s="280" t="s">
        <v>860</v>
      </c>
      <c r="H5" s="275" t="s">
        <v>858</v>
      </c>
      <c r="I5" s="1958">
        <f>ROUND(E31/D31,2)</f>
        <v>2.5</v>
      </c>
      <c r="J5" s="1966"/>
      <c r="K5" s="1966"/>
      <c r="L5" s="1966"/>
    </row>
    <row r="6" spans="1:16" ht="15" thickBot="1">
      <c r="A6" s="113"/>
      <c r="B6" s="3285" t="s">
        <v>208</v>
      </c>
      <c r="C6" s="3285"/>
      <c r="D6" s="111">
        <f>ROUND($D$3*E6/$E$3,2)</f>
        <v>4838.1000000000004</v>
      </c>
      <c r="E6" s="112">
        <f>E3-E5</f>
        <v>12090</v>
      </c>
      <c r="F6" s="1966"/>
      <c r="G6" s="1196"/>
      <c r="H6" s="275" t="s">
        <v>859</v>
      </c>
      <c r="I6" s="1958">
        <f>ROUND(F31/D31,2)</f>
        <v>2.5</v>
      </c>
      <c r="J6" s="1966"/>
      <c r="K6" s="1966"/>
      <c r="L6" s="1966"/>
    </row>
    <row r="7" spans="1:16" ht="15">
      <c r="A7" s="3277"/>
      <c r="B7" s="3278"/>
      <c r="C7" s="3279"/>
      <c r="D7" s="108" t="s">
        <v>204</v>
      </c>
      <c r="E7" s="114" t="s">
        <v>231</v>
      </c>
      <c r="F7" s="1966"/>
      <c r="G7" s="1151" t="s">
        <v>1644</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120900</v>
      </c>
      <c r="F16" s="1966"/>
      <c r="G16" s="1968"/>
      <c r="H16" s="967" t="s">
        <v>219</v>
      </c>
      <c r="I16" s="968"/>
      <c r="J16" s="1966"/>
      <c r="K16" s="3271" t="s">
        <v>2564</v>
      </c>
      <c r="L16" s="3272"/>
      <c r="M16" s="3272"/>
      <c r="N16" s="3272"/>
      <c r="O16" s="3272"/>
      <c r="P16" s="3273"/>
    </row>
    <row r="17" spans="1:19" ht="15">
      <c r="A17" s="121" t="s">
        <v>216</v>
      </c>
      <c r="B17" s="122" t="s">
        <v>217</v>
      </c>
      <c r="C17" s="2280" t="s">
        <v>2311</v>
      </c>
      <c r="D17" s="108" t="s">
        <v>204</v>
      </c>
      <c r="E17" s="124" t="s">
        <v>205</v>
      </c>
      <c r="F17" s="125"/>
      <c r="G17" s="1361"/>
      <c r="H17" s="969" t="s">
        <v>218</v>
      </c>
      <c r="I17" s="970" t="s">
        <v>2310</v>
      </c>
      <c r="J17" s="1966"/>
      <c r="K17" s="3274" t="s">
        <v>2565</v>
      </c>
      <c r="L17" s="3275"/>
      <c r="M17" s="3276"/>
      <c r="N17" s="3274" t="s">
        <v>2566</v>
      </c>
      <c r="O17" s="3275"/>
      <c r="P17" s="3276"/>
      <c r="R17" s="2281" t="s">
        <v>2309</v>
      </c>
      <c r="S17" s="144"/>
    </row>
    <row r="18" spans="1:19" ht="15">
      <c r="A18" s="117"/>
      <c r="B18" s="128"/>
      <c r="C18" s="129"/>
      <c r="D18" s="2603"/>
      <c r="E18" s="130" t="s">
        <v>220</v>
      </c>
      <c r="F18" s="131" t="s">
        <v>221</v>
      </c>
      <c r="G18" s="1362"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4" t="s">
        <v>3023</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c r="A20" s="138"/>
      <c r="B20" s="115" t="s">
        <v>226</v>
      </c>
      <c r="C20" s="2974" t="s">
        <v>3024</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2320</v>
      </c>
      <c r="D31" s="1367">
        <f>D27+D30</f>
        <v>48381</v>
      </c>
      <c r="E31" s="1367">
        <f>E27+E30</f>
        <v>120900</v>
      </c>
      <c r="F31" s="1368">
        <f>F27+F30</f>
        <v>120900</v>
      </c>
      <c r="G31" s="1369">
        <f>G27+G30</f>
        <v>0</v>
      </c>
      <c r="H31" s="1966"/>
      <c r="I31" s="1966"/>
      <c r="J31" s="1966"/>
      <c r="K31" s="1966"/>
      <c r="L31" s="1966"/>
    </row>
    <row r="32" spans="1:19">
      <c r="A32" s="1966"/>
      <c r="B32" s="2324" t="s">
        <v>2319</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F41" sqref="F41:G4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2826</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2500</v>
      </c>
      <c r="M6" s="177">
        <f t="shared" ref="M6:M14" si="0">ROUND(K6*L6/10000,0)</f>
        <v>27203</v>
      </c>
      <c r="N6" s="2977">
        <v>0</v>
      </c>
      <c r="O6" s="177">
        <f>IF($N$5="成新度","——",ROUND(M6*N6,0))</f>
        <v>0</v>
      </c>
      <c r="P6" s="178">
        <f>IF($N$5="成新度","——",M6-O6)</f>
        <v>27203</v>
      </c>
      <c r="Q6" s="2978">
        <v>0.25</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3005</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3000</v>
      </c>
      <c r="M7" s="177">
        <f t="shared" si="0"/>
        <v>3627</v>
      </c>
      <c r="N7" s="2977">
        <v>0</v>
      </c>
      <c r="O7" s="177">
        <f t="shared" ref="O7:O14" si="3">IF($N$5="成新度","——",ROUND(M7*N7,0))</f>
        <v>0</v>
      </c>
      <c r="P7" s="178">
        <f t="shared" ref="P7:P14" si="4">IF($N$5="成新度","——",M7-O7)</f>
        <v>3627</v>
      </c>
      <c r="Q7" s="2978">
        <v>0.3</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2312</v>
      </c>
      <c r="B14" s="2288" t="s">
        <v>1678</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2314</v>
      </c>
      <c r="B15" s="2288" t="s">
        <v>1678</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2550</v>
      </c>
      <c r="M16" s="206">
        <f>SUM(M6:M14)</f>
        <v>30830</v>
      </c>
      <c r="N16" s="207">
        <f>ROUND(SUMPRODUCT(M6:M14,N6:N14)/M16,3)</f>
        <v>0</v>
      </c>
      <c r="O16" s="206">
        <f>SUM(O6:O14)</f>
        <v>0</v>
      </c>
      <c r="P16" s="206">
        <f>SUM(P6:P14)</f>
        <v>30830</v>
      </c>
      <c r="Q16" s="208">
        <f>ROUND(SUMPRODUCT(Q6:Q13,K6:K13)/SUMPRODUCT((Q6:Q13&gt;0)*(K6:K13)),2)</f>
        <v>0.26</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2336</v>
      </c>
      <c r="B27" s="227">
        <v>40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2337</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2335</v>
      </c>
      <c r="B29" s="232"/>
      <c r="C29" s="1538"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90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110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0.05</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0.08</v>
      </c>
      <c r="C34" s="2326" t="s">
        <v>2889</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2891</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25" t="s">
        <v>2899</v>
      </c>
      <c r="D53" s="3026"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2901</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2902</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2903</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2904</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2905</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2906</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2910</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86" t="s">
        <v>1662</v>
      </c>
      <c r="B1" s="3287"/>
      <c r="C1" s="3287"/>
      <c r="D1" s="3287"/>
      <c r="E1" s="3287"/>
      <c r="F1" s="3287"/>
      <c r="G1" s="3287"/>
      <c r="H1" s="1984"/>
      <c r="I1" s="1985"/>
      <c r="J1" s="1986"/>
      <c r="K1" s="1984"/>
      <c r="L1" s="1985"/>
      <c r="M1" s="1986"/>
      <c r="N1" s="1984"/>
      <c r="O1" s="1985"/>
      <c r="P1" s="1986"/>
      <c r="Q1" s="1987"/>
      <c r="R1" s="1988"/>
    </row>
    <row r="2" spans="1:18" ht="14.25" thickBot="1">
      <c r="A2" s="1216"/>
      <c r="B2" s="1217"/>
      <c r="C2" s="1218" t="s">
        <v>1663</v>
      </c>
      <c r="D2" s="1219"/>
      <c r="E2" s="1220"/>
      <c r="F2" s="1221"/>
      <c r="G2" s="1218" t="s">
        <v>1664</v>
      </c>
      <c r="H2" s="1990"/>
      <c r="I2" s="1990"/>
      <c r="J2" s="1990"/>
      <c r="K2" s="1990"/>
      <c r="L2" s="1990"/>
      <c r="M2" s="1990"/>
      <c r="N2" s="1990"/>
      <c r="O2" s="1990"/>
      <c r="P2" s="1990"/>
      <c r="Q2" s="1990"/>
      <c r="R2" s="1990"/>
    </row>
    <row r="3" spans="1:18" ht="54">
      <c r="A3" s="1222" t="s">
        <v>1665</v>
      </c>
      <c r="B3" s="1223" t="s">
        <v>1652</v>
      </c>
      <c r="C3" s="3185" t="s">
        <v>3191</v>
      </c>
      <c r="D3" s="1991"/>
      <c r="E3" s="1224" t="s">
        <v>1665</v>
      </c>
      <c r="F3" s="1225" t="s">
        <v>1653</v>
      </c>
      <c r="G3" s="3031" t="s">
        <v>2915</v>
      </c>
      <c r="H3" s="1990"/>
      <c r="I3" s="1990"/>
      <c r="J3" s="1990"/>
      <c r="K3" s="1990"/>
      <c r="L3" s="1990"/>
      <c r="M3" s="1990"/>
      <c r="N3" s="1990"/>
      <c r="O3" s="1990"/>
      <c r="P3" s="1990"/>
      <c r="Q3" s="1990"/>
      <c r="R3" s="1990"/>
    </row>
    <row r="4" spans="1:18" ht="40.5">
      <c r="A4" s="1224"/>
      <c r="B4" s="1226" t="s">
        <v>1666</v>
      </c>
      <c r="C4" s="3186" t="s">
        <v>3192</v>
      </c>
      <c r="D4" s="1991"/>
      <c r="E4" s="1227"/>
      <c r="F4" s="1228" t="s">
        <v>1667</v>
      </c>
      <c r="G4" s="3030" t="s">
        <v>2912</v>
      </c>
      <c r="H4" s="1990"/>
      <c r="I4" s="1990"/>
      <c r="J4" s="1990"/>
      <c r="K4" s="1990"/>
      <c r="L4" s="1990"/>
      <c r="M4" s="1990"/>
      <c r="N4" s="1990"/>
      <c r="O4" s="1990"/>
      <c r="P4" s="1990"/>
      <c r="Q4" s="1990"/>
      <c r="R4" s="1990"/>
    </row>
    <row r="5" spans="1:18" ht="27">
      <c r="A5" s="1224"/>
      <c r="B5" s="1226" t="s">
        <v>1668</v>
      </c>
      <c r="C5" s="3186" t="s">
        <v>3193</v>
      </c>
      <c r="D5" s="1991"/>
      <c r="E5" s="1227"/>
      <c r="F5" s="1226" t="s">
        <v>2544</v>
      </c>
      <c r="G5" s="3030" t="s">
        <v>2913</v>
      </c>
      <c r="H5" s="1990"/>
      <c r="I5" s="1990"/>
      <c r="J5" s="1990"/>
      <c r="K5" s="1990"/>
      <c r="L5" s="1990"/>
      <c r="M5" s="1990"/>
      <c r="N5" s="1990"/>
      <c r="O5" s="1990"/>
      <c r="P5" s="1990"/>
      <c r="Q5" s="1990"/>
      <c r="R5" s="1990"/>
    </row>
    <row r="6" spans="1:18" ht="67.5">
      <c r="A6" s="1224"/>
      <c r="B6" s="1226" t="s">
        <v>1654</v>
      </c>
      <c r="C6" s="3187" t="s">
        <v>3194</v>
      </c>
      <c r="D6" s="1991"/>
      <c r="E6" s="1227"/>
      <c r="F6" s="1226" t="s">
        <v>2545</v>
      </c>
      <c r="G6" s="3030" t="s">
        <v>2911</v>
      </c>
      <c r="H6" s="1990"/>
      <c r="I6" s="1990"/>
      <c r="J6" s="1990"/>
      <c r="K6" s="1990"/>
      <c r="L6" s="1990"/>
      <c r="M6" s="1990"/>
      <c r="N6" s="1990"/>
      <c r="O6" s="1990"/>
      <c r="P6" s="1990"/>
      <c r="Q6" s="1990"/>
      <c r="R6" s="1990"/>
    </row>
    <row r="7" spans="1:18" ht="162.75" thickBot="1">
      <c r="A7" s="1224"/>
      <c r="B7" s="1226" t="s">
        <v>2544</v>
      </c>
      <c r="C7" s="3187" t="s">
        <v>3206</v>
      </c>
      <c r="D7" s="1992"/>
      <c r="E7" s="1229"/>
      <c r="F7" s="1230" t="s">
        <v>1669</v>
      </c>
      <c r="G7" s="3032" t="s">
        <v>2914</v>
      </c>
      <c r="H7" s="1990"/>
      <c r="I7" s="1990"/>
      <c r="J7" s="1990"/>
      <c r="K7" s="1990"/>
      <c r="L7" s="1990"/>
      <c r="M7" s="1990"/>
      <c r="N7" s="1990"/>
      <c r="O7" s="1990"/>
      <c r="P7" s="1990"/>
      <c r="Q7" s="1990"/>
      <c r="R7" s="1990"/>
    </row>
    <row r="8" spans="1:18" ht="27">
      <c r="A8" s="1224"/>
      <c r="B8" s="1226" t="s">
        <v>2545</v>
      </c>
      <c r="C8" s="3187" t="s">
        <v>3195</v>
      </c>
      <c r="D8" s="1992"/>
      <c r="E8" s="1992"/>
      <c r="F8" s="1539"/>
      <c r="G8" s="1539"/>
      <c r="H8" s="1990"/>
      <c r="I8" s="1990"/>
      <c r="J8" s="1990"/>
      <c r="K8" s="1990"/>
      <c r="L8" s="1990"/>
      <c r="M8" s="1990"/>
      <c r="N8" s="1990"/>
      <c r="O8" s="1990"/>
      <c r="P8" s="1990"/>
      <c r="Q8" s="1990"/>
      <c r="R8" s="1990"/>
    </row>
    <row r="9" spans="1:18" ht="94.5">
      <c r="A9" s="1224"/>
      <c r="B9" s="1226" t="s">
        <v>1655</v>
      </c>
      <c r="C9" s="3186" t="s">
        <v>3209</v>
      </c>
      <c r="D9" s="1991"/>
      <c r="E9" s="1992"/>
      <c r="F9" s="1539"/>
      <c r="G9" s="1539"/>
      <c r="H9" s="1990"/>
      <c r="I9" s="1990"/>
      <c r="J9" s="1990"/>
      <c r="K9" s="1990"/>
      <c r="L9" s="1990"/>
      <c r="M9" s="1990"/>
      <c r="N9" s="1990"/>
      <c r="O9" s="1990"/>
      <c r="P9" s="1990"/>
      <c r="Q9" s="1990"/>
      <c r="R9" s="1990"/>
    </row>
    <row r="10" spans="1:18" s="1998" customFormat="1" ht="14.25" thickBot="1">
      <c r="A10" s="1231"/>
      <c r="B10" s="1232" t="s">
        <v>1670</v>
      </c>
      <c r="C10" s="3188" t="s">
        <v>3196</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9"/>
      <c r="E13" s="2539"/>
      <c r="F13" s="2539"/>
      <c r="G13" s="2539"/>
    </row>
    <row r="14" spans="1:18" ht="14.25" thickBot="1">
      <c r="A14" s="1233"/>
      <c r="B14" s="1234"/>
      <c r="C14" s="1235" t="s">
        <v>1663</v>
      </c>
      <c r="D14" s="1991"/>
      <c r="E14" s="1236"/>
      <c r="F14" s="1236"/>
      <c r="G14" s="1218" t="s">
        <v>1664</v>
      </c>
    </row>
    <row r="15" spans="1:18" ht="54">
      <c r="A15" s="2549" t="s">
        <v>1656</v>
      </c>
      <c r="B15" s="1237" t="s">
        <v>1652</v>
      </c>
      <c r="C15" s="1238" t="str">
        <f>C3</f>
        <v>估价对象周边居住社区较少，规模一般，入住率较差，综合评价居住社区成熟度较差。</v>
      </c>
      <c r="D15" s="1991"/>
      <c r="E15" s="2546" t="s">
        <v>1657</v>
      </c>
      <c r="F15" s="1237" t="s">
        <v>1672</v>
      </c>
      <c r="G15" s="1239" t="str">
        <f>G3</f>
        <v>估价对象位于XX开发区，园区建设成熟度XX，产业集聚程度XX</v>
      </c>
    </row>
    <row r="16" spans="1:18" ht="40.5">
      <c r="A16" s="2550"/>
      <c r="B16" s="1240" t="s">
        <v>1666</v>
      </c>
      <c r="C16" s="1241" t="str">
        <f>C4</f>
        <v>估价对象周边商业氛围成熟度较差，人流量一般，商业繁华度较差。</v>
      </c>
      <c r="D16" s="1991"/>
      <c r="E16" s="2547"/>
      <c r="F16" s="1242" t="s">
        <v>1667</v>
      </c>
      <c r="G16" s="1004" t="str">
        <f>G4</f>
        <v>估价对象周边道路状况、公共交通通达情况、停车便捷程度，综合评价交通便捷度较好</v>
      </c>
    </row>
    <row r="17" spans="1:7" ht="14.25">
      <c r="A17" s="2550"/>
      <c r="B17" s="1240" t="s">
        <v>1668</v>
      </c>
      <c r="C17" s="1241" t="str">
        <f>C5</f>
        <v>——</v>
      </c>
      <c r="D17" s="1992"/>
      <c r="E17" s="2547"/>
      <c r="F17" s="1242" t="s">
        <v>1673</v>
      </c>
      <c r="G17" s="2747"/>
    </row>
    <row r="18" spans="1:7" ht="67.5">
      <c r="A18" s="2550"/>
      <c r="B18" s="1242" t="s">
        <v>1654</v>
      </c>
      <c r="C18" s="1004" t="str">
        <f>C6</f>
        <v>估价对象周边有32路、46路、309路等多条公交线路，路网密集度一般，停车便捷程度一般，综合评价交通便捷度一般。</v>
      </c>
      <c r="D18" s="1992"/>
      <c r="E18" s="2547"/>
      <c r="F18" s="1242" t="s">
        <v>1669</v>
      </c>
      <c r="G18" s="1004" t="str">
        <f>G7</f>
        <v>该园区内是否有污染型企业，绿化情况，卫生条件，整体环境状况判断</v>
      </c>
    </row>
    <row r="19" spans="1:7" ht="27">
      <c r="A19" s="2550"/>
      <c r="B19" s="1242" t="s">
        <v>1658</v>
      </c>
      <c r="C19" s="3189" t="s">
        <v>3198</v>
      </c>
      <c r="D19" s="1991"/>
      <c r="E19" s="2547"/>
      <c r="F19" s="1226" t="s">
        <v>2544</v>
      </c>
      <c r="G19" s="1004" t="str">
        <f>G5</f>
        <v>估价对象所在区域公共配套设施齐备情况</v>
      </c>
    </row>
    <row r="20" spans="1:7" ht="94.5">
      <c r="A20" s="2550"/>
      <c r="B20" s="1242" t="s">
        <v>1659</v>
      </c>
      <c r="C20" s="1241" t="str">
        <f>C9</f>
        <v>估价对象所在区域无公园等自然设施，绿化一般，自然环境一般；估价对象所在区域有奥体中心，无博物馆等人文设施，人文环境一般；综合评价环境状况一般。</v>
      </c>
      <c r="D20" s="1992"/>
      <c r="E20" s="2547"/>
      <c r="F20" s="1226" t="s">
        <v>2545</v>
      </c>
      <c r="G20" s="1004" t="str">
        <f>G6</f>
        <v>估价对象所在区域基础设施水平</v>
      </c>
    </row>
    <row r="21" spans="1:7" ht="162">
      <c r="A21" s="2550"/>
      <c r="B21" s="1226" t="s">
        <v>2544</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1660</v>
      </c>
      <c r="G21" s="3033"/>
    </row>
    <row r="22" spans="1:7" ht="27">
      <c r="A22" s="2550"/>
      <c r="B22" s="1226" t="s">
        <v>2545</v>
      </c>
      <c r="C22" s="1004" t="str">
        <f>C8</f>
        <v>估价对象所在区域基础设施水平达“六通”。</v>
      </c>
      <c r="D22" s="1991"/>
      <c r="E22" s="2547"/>
      <c r="F22" s="1242" t="s">
        <v>1670</v>
      </c>
      <c r="G22" s="2747"/>
    </row>
    <row r="23" spans="1:7" ht="15" thickBot="1">
      <c r="A23" s="2550"/>
      <c r="B23" s="1242" t="s">
        <v>1660</v>
      </c>
      <c r="C23" s="3033" t="s">
        <v>3199</v>
      </c>
      <c r="E23" s="2548"/>
      <c r="F23" s="1243" t="s">
        <v>1674</v>
      </c>
      <c r="G23" s="3034"/>
    </row>
    <row r="24" spans="1:7" ht="14.25" thickBot="1">
      <c r="A24" s="2551"/>
      <c r="B24" s="1243" t="s">
        <v>1661</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4" t="s">
        <v>2842</v>
      </c>
      <c r="B1" s="2994">
        <f>SUM(B14:B23)</f>
        <v>483000</v>
      </c>
      <c r="C1" s="2995"/>
      <c r="D1" s="2995"/>
      <c r="E1" s="2995"/>
      <c r="F1" s="2995"/>
    </row>
    <row r="2" spans="1:9" ht="16.5">
      <c r="A2" s="2994" t="s">
        <v>2843</v>
      </c>
      <c r="B2" s="2994">
        <f>SUM(C14:C23)</f>
        <v>193250</v>
      </c>
      <c r="C2" s="2995"/>
      <c r="D2" s="2995"/>
      <c r="E2" s="2995"/>
      <c r="F2" s="2995"/>
    </row>
    <row r="3" spans="1:9" ht="16.5">
      <c r="A3" s="2994" t="s">
        <v>2844</v>
      </c>
      <c r="B3" s="2996">
        <f>项目基本情况!D3</f>
        <v>43663</v>
      </c>
      <c r="C3" s="2995"/>
      <c r="D3" s="2995"/>
      <c r="E3" s="2995"/>
      <c r="F3" s="2995"/>
    </row>
    <row r="4" spans="1:9" ht="33">
      <c r="A4" s="2994" t="s">
        <v>2845</v>
      </c>
      <c r="B4" s="2994" t="s">
        <v>2846</v>
      </c>
      <c r="C4" s="2994" t="s">
        <v>2847</v>
      </c>
      <c r="D4" s="2994" t="s">
        <v>2848</v>
      </c>
      <c r="E4" s="2995"/>
      <c r="F4" s="2995"/>
    </row>
    <row r="5" spans="1:9" ht="16.5">
      <c r="A5" s="2994" t="s">
        <v>2849</v>
      </c>
      <c r="B5" s="2994">
        <f ca="1">SUM(D14:D23)</f>
        <v>50805</v>
      </c>
      <c r="C5" s="2994">
        <f ca="1">ROUND(B5*10000/$B$1,0)</f>
        <v>1052</v>
      </c>
      <c r="D5" s="2994">
        <f ca="1">ROUND(B5*10000/$B$2,0)</f>
        <v>2629</v>
      </c>
      <c r="E5" s="2995"/>
      <c r="F5" s="2995"/>
    </row>
    <row r="6" spans="1:9" ht="16.5">
      <c r="A6" s="2994" t="s">
        <v>2850</v>
      </c>
      <c r="B6" s="2994">
        <f ca="1">SUM(G14:G23)</f>
        <v>12682</v>
      </c>
      <c r="C6" s="2994">
        <f t="shared" ref="C6:C8" ca="1" si="0">ROUND(B6*10000/$B$1,0)</f>
        <v>263</v>
      </c>
      <c r="D6" s="2994">
        <f t="shared" ref="D6:D8" ca="1" si="1">ROUND(B6*10000/$B$2,0)</f>
        <v>656</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120900</v>
      </c>
      <c r="C14" s="2998">
        <f>结果表!K38</f>
        <v>48381</v>
      </c>
      <c r="D14" s="2998">
        <f ca="1">结果表!C42</f>
        <v>12682</v>
      </c>
      <c r="E14" s="2998">
        <f ca="1">ROUND(D14*10000/B14,0)</f>
        <v>1049</v>
      </c>
      <c r="F14" s="2998">
        <f ca="1">ROUND(D14*10000/C14,0)</f>
        <v>2621</v>
      </c>
      <c r="G14" s="2998">
        <f ca="1">结果表!C44</f>
        <v>12682</v>
      </c>
      <c r="H14" s="2998" t="str">
        <f>结果表!C45</f>
        <v>——</v>
      </c>
      <c r="I14" s="2998" t="str">
        <f>结果表!C46</f>
        <v>——</v>
      </c>
    </row>
    <row r="15" spans="1:9" ht="16.5">
      <c r="A15" s="3001" t="s">
        <v>2859</v>
      </c>
      <c r="B15" s="3002">
        <f>典型户型修正!B25</f>
        <v>138600</v>
      </c>
      <c r="C15" s="3002">
        <v>55449</v>
      </c>
      <c r="D15" s="3002">
        <f ca="1">典型户型修正!S25</f>
        <v>14678</v>
      </c>
      <c r="E15" s="2998">
        <f t="shared" ref="E15:E23" ca="1" si="2">ROUND(D15*10000/B15,0)</f>
        <v>1059</v>
      </c>
      <c r="F15" s="2998">
        <f t="shared" ref="F15:F23" ca="1" si="3">ROUND(D15*10000/C15,0)</f>
        <v>2647</v>
      </c>
      <c r="G15" s="2999"/>
      <c r="H15" s="2999"/>
      <c r="I15" s="3002"/>
    </row>
    <row r="16" spans="1:9" ht="16.5">
      <c r="A16" s="3001" t="s">
        <v>2860</v>
      </c>
      <c r="B16" s="3002">
        <f>典型户型修正!B26</f>
        <v>114900</v>
      </c>
      <c r="C16" s="3002">
        <v>45962</v>
      </c>
      <c r="D16" s="3002">
        <f ca="1">典型户型修正!S26</f>
        <v>12053</v>
      </c>
      <c r="E16" s="2998">
        <f t="shared" ca="1" si="2"/>
        <v>1049</v>
      </c>
      <c r="F16" s="2998">
        <f t="shared" ca="1" si="3"/>
        <v>2622</v>
      </c>
      <c r="G16" s="2999"/>
      <c r="H16" s="2999"/>
      <c r="I16" s="3002"/>
    </row>
    <row r="17" spans="1:9" ht="16.5">
      <c r="A17" s="3001" t="s">
        <v>2861</v>
      </c>
      <c r="B17" s="3002">
        <f>典型户型修正!B27</f>
        <v>108600</v>
      </c>
      <c r="C17" s="3002">
        <v>43458</v>
      </c>
      <c r="D17" s="3002">
        <f ca="1">典型户型修正!S27</f>
        <v>11392</v>
      </c>
      <c r="E17" s="2998">
        <f t="shared" ca="1" si="2"/>
        <v>1049</v>
      </c>
      <c r="F17" s="2998">
        <f t="shared" ca="1" si="3"/>
        <v>2621</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2053</v>
      </c>
      <c r="B1" s="1759"/>
      <c r="C1" s="1787" t="s">
        <v>2054</v>
      </c>
      <c r="D1" s="1788" t="s">
        <v>3295</v>
      </c>
      <c r="E1" s="1787" t="s">
        <v>2055</v>
      </c>
      <c r="F1" s="1789" t="s">
        <v>3296</v>
      </c>
      <c r="G1" s="311"/>
      <c r="H1" s="311"/>
      <c r="I1" s="311"/>
      <c r="J1" s="2011"/>
      <c r="K1" s="2011"/>
      <c r="L1" s="2011"/>
      <c r="M1" s="2011"/>
      <c r="N1" s="2011"/>
      <c r="O1" s="2011"/>
      <c r="P1" s="2011"/>
      <c r="Q1" s="2011"/>
      <c r="R1" s="2011"/>
      <c r="S1" s="2011"/>
      <c r="T1" s="2011"/>
      <c r="U1" s="2011"/>
      <c r="V1" s="2011"/>
    </row>
    <row r="2" spans="1:22" ht="21.75" customHeight="1" thickBot="1">
      <c r="A2" s="3324" t="str">
        <f>项目基本情况!K2</f>
        <v>湖北省黄石市黄金山开发区金城大道以东百花南路以西经二路以北01420281006011GB00013W00000000号等四宗住宅、商业用地出让国有建设用地使用权</v>
      </c>
      <c r="B2" s="3325"/>
      <c r="C2" s="3326"/>
      <c r="D2" s="3326"/>
      <c r="E2" s="3326"/>
      <c r="F2" s="3326"/>
      <c r="G2" s="3325"/>
      <c r="H2" s="3325"/>
      <c r="I2" s="3327"/>
      <c r="J2" s="2012"/>
      <c r="K2" s="2011"/>
      <c r="L2" s="2011"/>
      <c r="M2" s="2011"/>
      <c r="N2" s="2011"/>
      <c r="O2" s="2011"/>
      <c r="P2" s="2011"/>
      <c r="Q2" s="2011"/>
      <c r="R2" s="2011"/>
      <c r="S2" s="2011"/>
      <c r="T2" s="2011"/>
      <c r="U2" s="2011"/>
      <c r="V2" s="2011"/>
    </row>
    <row r="3" spans="1:22" ht="14.25">
      <c r="A3" s="3317" t="s">
        <v>298</v>
      </c>
      <c r="B3" s="3318"/>
      <c r="C3" s="3318"/>
      <c r="D3" s="3318"/>
      <c r="E3" s="3318"/>
      <c r="F3" s="3318"/>
      <c r="G3" s="3318"/>
      <c r="H3" s="3318"/>
      <c r="I3" s="3318"/>
      <c r="J3" s="2012"/>
      <c r="K3" s="2011"/>
      <c r="L3" s="2011"/>
      <c r="M3" s="2011"/>
      <c r="N3" s="2011"/>
      <c r="O3" s="2011"/>
      <c r="P3" s="2011"/>
      <c r="Q3" s="2011"/>
      <c r="R3" s="2011"/>
      <c r="S3" s="2011"/>
      <c r="T3" s="2011"/>
      <c r="U3" s="2011"/>
      <c r="V3" s="2011"/>
    </row>
    <row r="4" spans="1:22" ht="14.25">
      <c r="A4" s="258" t="s">
        <v>299</v>
      </c>
      <c r="B4" s="259" t="s">
        <v>300</v>
      </c>
      <c r="C4" s="260" t="s">
        <v>3293</v>
      </c>
      <c r="D4" s="260" t="s">
        <v>3294</v>
      </c>
      <c r="E4" s="3289" t="s">
        <v>301</v>
      </c>
      <c r="F4" s="3290"/>
      <c r="G4" s="3290"/>
      <c r="H4" s="3290"/>
      <c r="I4" s="3319"/>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88" t="s">
        <v>302</v>
      </c>
      <c r="B5" s="3314">
        <v>25</v>
      </c>
      <c r="C5" s="3312"/>
      <c r="D5" s="3316"/>
      <c r="E5" s="261" t="s">
        <v>303</v>
      </c>
      <c r="F5" s="262"/>
      <c r="G5" s="262"/>
      <c r="H5" s="262"/>
      <c r="I5" s="263"/>
      <c r="J5" s="2012"/>
      <c r="K5" s="2011"/>
      <c r="L5" s="2011"/>
      <c r="M5" s="2011"/>
      <c r="N5" s="2011"/>
      <c r="O5" s="2011"/>
      <c r="P5" s="2011"/>
      <c r="Q5" s="2011"/>
      <c r="R5" s="2011"/>
      <c r="S5" s="2011"/>
      <c r="T5" s="2011"/>
      <c r="U5" s="2011"/>
      <c r="V5" s="2011"/>
    </row>
    <row r="6" spans="1:22" ht="14.25">
      <c r="A6" s="3288"/>
      <c r="B6" s="3314"/>
      <c r="C6" s="3315"/>
      <c r="D6" s="3316"/>
      <c r="E6" s="261" t="s">
        <v>304</v>
      </c>
      <c r="F6" s="262"/>
      <c r="G6" s="262"/>
      <c r="H6" s="262"/>
      <c r="I6" s="263"/>
      <c r="J6" s="2012"/>
      <c r="K6" s="2011"/>
      <c r="L6" s="2011"/>
      <c r="M6" s="2011"/>
      <c r="N6" s="2011"/>
      <c r="O6" s="2011"/>
      <c r="P6" s="2011"/>
      <c r="Q6" s="2011"/>
      <c r="R6" s="2011"/>
      <c r="S6" s="2011"/>
      <c r="T6" s="2011"/>
      <c r="U6" s="2011"/>
      <c r="V6" s="2011"/>
    </row>
    <row r="7" spans="1:22" ht="14.25">
      <c r="A7" s="3288"/>
      <c r="B7" s="3314"/>
      <c r="C7" s="3313"/>
      <c r="D7" s="3316"/>
      <c r="E7" s="261" t="s">
        <v>305</v>
      </c>
      <c r="F7" s="262"/>
      <c r="G7" s="262"/>
      <c r="H7" s="262"/>
      <c r="I7" s="263"/>
      <c r="J7" s="2012"/>
      <c r="K7" s="2011"/>
      <c r="L7" s="2011"/>
      <c r="M7" s="2011"/>
      <c r="N7" s="2011"/>
      <c r="O7" s="2011"/>
      <c r="P7" s="2011"/>
      <c r="Q7" s="2011"/>
      <c r="R7" s="2011"/>
      <c r="S7" s="2011"/>
      <c r="T7" s="2011"/>
      <c r="U7" s="2011"/>
      <c r="V7" s="2011"/>
    </row>
    <row r="8" spans="1:22" ht="14.25">
      <c r="A8" s="3288" t="s">
        <v>306</v>
      </c>
      <c r="B8" s="3314">
        <v>15</v>
      </c>
      <c r="C8" s="3312"/>
      <c r="D8" s="3316"/>
      <c r="E8" s="261" t="s">
        <v>307</v>
      </c>
      <c r="F8" s="262"/>
      <c r="G8" s="262"/>
      <c r="H8" s="262"/>
      <c r="I8" s="263"/>
      <c r="J8" s="2012"/>
      <c r="K8" s="2011"/>
      <c r="L8" s="2011"/>
      <c r="M8" s="2011"/>
      <c r="N8" s="2011"/>
      <c r="O8" s="2011"/>
      <c r="P8" s="2011"/>
      <c r="Q8" s="2011"/>
      <c r="R8" s="2011"/>
      <c r="S8" s="2011"/>
      <c r="T8" s="2011"/>
      <c r="U8" s="2011"/>
      <c r="V8" s="2011"/>
    </row>
    <row r="9" spans="1:22" ht="14.25">
      <c r="A9" s="3288"/>
      <c r="B9" s="3314"/>
      <c r="C9" s="3313"/>
      <c r="D9" s="3316"/>
      <c r="E9" s="261" t="s">
        <v>308</v>
      </c>
      <c r="F9" s="262"/>
      <c r="G9" s="262"/>
      <c r="H9" s="262"/>
      <c r="I9" s="263"/>
      <c r="J9" s="2012"/>
      <c r="K9" s="2011"/>
      <c r="L9" s="2011"/>
      <c r="M9" s="2011"/>
      <c r="N9" s="2011"/>
      <c r="O9" s="2011"/>
      <c r="P9" s="2011"/>
      <c r="Q9" s="2011"/>
      <c r="R9" s="2011"/>
      <c r="S9" s="2011"/>
      <c r="T9" s="2011"/>
      <c r="U9" s="2011"/>
      <c r="V9" s="2011"/>
    </row>
    <row r="10" spans="1:22" ht="14.25">
      <c r="A10" s="3288" t="s">
        <v>309</v>
      </c>
      <c r="B10" s="3314">
        <v>15</v>
      </c>
      <c r="C10" s="3312"/>
      <c r="D10" s="3316"/>
      <c r="E10" s="261" t="s">
        <v>310</v>
      </c>
      <c r="F10" s="262"/>
      <c r="G10" s="262"/>
      <c r="H10" s="262"/>
      <c r="I10" s="263"/>
      <c r="J10" s="2012"/>
      <c r="K10" s="2011"/>
      <c r="L10" s="2011"/>
      <c r="M10" s="2011"/>
      <c r="N10" s="2011"/>
      <c r="O10" s="2011"/>
      <c r="P10" s="2011"/>
      <c r="Q10" s="2011"/>
      <c r="R10" s="2011"/>
      <c r="S10" s="2011"/>
      <c r="T10" s="2011"/>
      <c r="U10" s="2011"/>
      <c r="V10" s="2011"/>
    </row>
    <row r="11" spans="1:22" ht="14.25">
      <c r="A11" s="3288"/>
      <c r="B11" s="3314"/>
      <c r="C11" s="3313"/>
      <c r="D11" s="3316"/>
      <c r="E11" s="261" t="s">
        <v>311</v>
      </c>
      <c r="F11" s="262"/>
      <c r="G11" s="262"/>
      <c r="H11" s="262"/>
      <c r="I11" s="263"/>
      <c r="J11" s="2012"/>
      <c r="K11" s="2011"/>
      <c r="L11" s="2011"/>
      <c r="M11" s="2011"/>
      <c r="N11" s="2011"/>
      <c r="O11" s="2011"/>
      <c r="P11" s="2011"/>
      <c r="Q11" s="2011"/>
      <c r="R11" s="2011"/>
      <c r="S11" s="2011"/>
      <c r="T11" s="2011"/>
      <c r="U11" s="2011"/>
      <c r="V11" s="2011"/>
    </row>
    <row r="12" spans="1:22" ht="14.25">
      <c r="A12" s="3288" t="s">
        <v>312</v>
      </c>
      <c r="B12" s="3314">
        <v>15</v>
      </c>
      <c r="C12" s="3312"/>
      <c r="D12" s="3316"/>
      <c r="E12" s="261" t="s">
        <v>313</v>
      </c>
      <c r="F12" s="262"/>
      <c r="G12" s="262"/>
      <c r="H12" s="262"/>
      <c r="I12" s="263"/>
      <c r="J12" s="2012"/>
      <c r="K12" s="2011"/>
      <c r="L12" s="2011"/>
      <c r="M12" s="2011"/>
      <c r="N12" s="2011"/>
      <c r="O12" s="2011"/>
      <c r="P12" s="2011"/>
      <c r="Q12" s="2011"/>
      <c r="R12" s="2011"/>
      <c r="S12" s="2011"/>
      <c r="T12" s="2011"/>
      <c r="U12" s="2011"/>
      <c r="V12" s="2011"/>
    </row>
    <row r="13" spans="1:22" ht="14.25">
      <c r="A13" s="3288"/>
      <c r="B13" s="3314"/>
      <c r="C13" s="3313"/>
      <c r="D13" s="3316"/>
      <c r="E13" s="261" t="s">
        <v>314</v>
      </c>
      <c r="F13" s="262"/>
      <c r="G13" s="262"/>
      <c r="H13" s="262"/>
      <c r="I13" s="263"/>
      <c r="J13" s="2012"/>
      <c r="K13" s="2011"/>
      <c r="L13" s="2011"/>
      <c r="M13" s="2011"/>
      <c r="N13" s="2011"/>
      <c r="O13" s="2011"/>
      <c r="P13" s="2011"/>
      <c r="Q13" s="2011"/>
      <c r="R13" s="2011"/>
      <c r="S13" s="2011"/>
      <c r="T13" s="2011"/>
      <c r="U13" s="2011"/>
      <c r="V13" s="2011"/>
    </row>
    <row r="14" spans="1:22" ht="14.25">
      <c r="A14" s="3288" t="s">
        <v>315</v>
      </c>
      <c r="B14" s="3314">
        <v>30</v>
      </c>
      <c r="C14" s="3312">
        <v>5</v>
      </c>
      <c r="D14" s="3316">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88"/>
      <c r="B15" s="3314"/>
      <c r="C15" s="3315"/>
      <c r="D15" s="3316"/>
      <c r="E15" s="261" t="s">
        <v>317</v>
      </c>
      <c r="F15" s="262"/>
      <c r="G15" s="262"/>
      <c r="H15" s="262"/>
      <c r="I15" s="263"/>
      <c r="J15" s="2012"/>
      <c r="K15" s="2011"/>
      <c r="L15" s="2011"/>
      <c r="M15" s="2011"/>
      <c r="N15" s="2011"/>
      <c r="O15" s="2011"/>
      <c r="P15" s="2011"/>
      <c r="Q15" s="2011"/>
      <c r="R15" s="2011"/>
      <c r="S15" s="2011"/>
      <c r="T15" s="2011"/>
      <c r="U15" s="2011"/>
      <c r="V15" s="2011"/>
    </row>
    <row r="16" spans="1:22" ht="14.25">
      <c r="A16" s="3288"/>
      <c r="B16" s="3314"/>
      <c r="C16" s="3313"/>
      <c r="D16" s="3316"/>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12682</v>
      </c>
      <c r="D19" s="271">
        <f ca="1">SUMIF(INDIRECT("'"&amp;D4&amp;"'"&amp;"!A:A"),结果表!B19,INDIRECT("'"&amp;D4&amp;"'"&amp;"!B:B"))</f>
        <v>12682</v>
      </c>
      <c r="E19" s="268" t="s">
        <v>323</v>
      </c>
      <c r="F19" s="269" t="s">
        <v>322</v>
      </c>
      <c r="G19" s="272">
        <f ca="1">ROUND(C19*$C$18+D19*$D$18,0)</f>
        <v>12682</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1049</v>
      </c>
      <c r="D20" s="277">
        <f ca="1">SUMIF(INDIRECT("'"&amp;D4&amp;"'"&amp;"!A:A"),结果表!B20,INDIRECT("'"&amp;D4&amp;"'"&amp;"!B:B"))</f>
        <v>1049</v>
      </c>
      <c r="E20" s="274"/>
      <c r="F20" s="275" t="s">
        <v>325</v>
      </c>
      <c r="G20" s="278">
        <f ca="1">ROUND(C20*$C$18+D20*$D$18,0)</f>
        <v>1049</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2621</v>
      </c>
      <c r="D21" s="151">
        <f ca="1">SUMIF(INDIRECT("'"&amp;D4&amp;"'"&amp;"!A:A"),结果表!B21,INDIRECT("'"&amp;D4&amp;"'"&amp;"!B:B"))</f>
        <v>2621</v>
      </c>
      <c r="E21" s="274"/>
      <c r="F21" s="280" t="s">
        <v>327</v>
      </c>
      <c r="G21" s="282">
        <f ca="1">ROUND(C21*$C$18+D21*$D$18,0)</f>
        <v>2621</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0</v>
      </c>
      <c r="E22" s="284"/>
      <c r="F22" s="285"/>
      <c r="G22" s="286">
        <f ca="1">ROUND(G19/('数据-汇总表'!D3/666.67),0)</f>
        <v>175</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4"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295"/>
      <c r="B25" s="1316" t="s">
        <v>331</v>
      </c>
      <c r="C25" s="290">
        <f>IF(B30=0,0,C30)</f>
        <v>0</v>
      </c>
      <c r="D25" s="291"/>
      <c r="E25" s="311"/>
      <c r="F25" s="311"/>
      <c r="G25" s="311"/>
      <c r="H25" s="311"/>
      <c r="I25" s="311"/>
      <c r="J25" s="2011"/>
      <c r="K25" s="1250" t="str">
        <f ca="1">项目基本情况!B16&amp;"国有建设用地使用权价格："&amp;O38&amp;"万元"</f>
        <v>出让国有建设用地使用权价格：12682万元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大写金额：人民币壹亿贰仟陆佰捌拾贰万元整</v>
      </c>
      <c r="L26" s="1247"/>
      <c r="M26" s="1247"/>
      <c r="N26" s="1247"/>
      <c r="O26" s="1246"/>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3" t="str">
        <f ca="1">"单位面积地价："&amp;M38&amp;"元/平方米"</f>
        <v>单位面积地价：2621元/平方米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楼面地价：1049元/平方米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抵押价格：12682万元</v>
      </c>
      <c r="L29" s="1247"/>
      <c r="M29" s="1247"/>
      <c r="N29" s="1247"/>
      <c r="O29" s="1246"/>
      <c r="P29" s="2011"/>
      <c r="V29" s="2011"/>
    </row>
    <row r="30" spans="1:26" ht="18.75" thickBot="1">
      <c r="A30" s="3076" t="s">
        <v>336</v>
      </c>
      <c r="B30" s="309"/>
      <c r="C30" s="309"/>
      <c r="D30" s="310"/>
      <c r="E30" s="3077" t="s">
        <v>2958</v>
      </c>
      <c r="F30" s="311"/>
      <c r="G30" s="311"/>
      <c r="H30" s="311"/>
      <c r="I30" s="311"/>
      <c r="J30" s="2011"/>
      <c r="K30" s="1253" t="str">
        <f ca="1">IF(K29="——","——","大写金额：人民币"&amp;NUMBERSTRING(INT(O39*10000),2)&amp;"元整")</f>
        <v>大写金额：人民币壹亿贰仟陆佰捌拾贰万元整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7" t="s">
        <v>1687</v>
      </c>
      <c r="C32" s="1378">
        <f ca="1">G19-C24</f>
        <v>12682</v>
      </c>
      <c r="D32" s="1379" t="s">
        <v>1688</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80" t="s">
        <v>1689</v>
      </c>
      <c r="C33" s="264">
        <f ca="1">ROUND(C32*10000/'数据-汇总表'!E3,0)</f>
        <v>1049</v>
      </c>
      <c r="D33" s="1381" t="s">
        <v>1690</v>
      </c>
      <c r="E33" s="3294"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1691</v>
      </c>
      <c r="C34" s="264">
        <f ca="1">ROUND(C32*10000/'数据-汇总表'!D3,0)</f>
        <v>2621</v>
      </c>
      <c r="D34" s="1383" t="s">
        <v>1690</v>
      </c>
      <c r="E34" s="3335"/>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175</v>
      </c>
      <c r="D35" s="1386" t="s">
        <v>1692</v>
      </c>
      <c r="E35" s="3336"/>
      <c r="F35" s="301" t="s">
        <v>342</v>
      </c>
      <c r="G35" s="981"/>
      <c r="H35" s="980" t="s">
        <v>343</v>
      </c>
      <c r="I35" s="311"/>
      <c r="J35" s="2011"/>
      <c r="K35" s="3309" t="s">
        <v>350</v>
      </c>
      <c r="L35" s="3309" t="s">
        <v>351</v>
      </c>
      <c r="M35" s="1259" t="s">
        <v>352</v>
      </c>
      <c r="N35" s="3309" t="s">
        <v>353</v>
      </c>
      <c r="O35" s="3309" t="s">
        <v>354</v>
      </c>
      <c r="P35" s="2011"/>
      <c r="V35" s="2011"/>
    </row>
    <row r="36" spans="1:26" ht="16.5" customHeight="1">
      <c r="A36" s="303" t="s">
        <v>344</v>
      </c>
      <c r="B36" s="304" t="s">
        <v>333</v>
      </c>
      <c r="C36" s="305" t="s">
        <v>345</v>
      </c>
      <c r="D36" s="305" t="s">
        <v>346</v>
      </c>
      <c r="E36" s="306" t="s">
        <v>347</v>
      </c>
      <c r="F36" s="311"/>
      <c r="G36" s="311"/>
      <c r="H36" s="311"/>
      <c r="I36" s="311"/>
      <c r="J36" s="2013"/>
      <c r="K36" s="3310"/>
      <c r="L36" s="3310"/>
      <c r="M36" s="1261" t="s">
        <v>355</v>
      </c>
      <c r="N36" s="3310"/>
      <c r="O36" s="3310"/>
      <c r="P36" s="2011"/>
      <c r="V36" s="2011"/>
    </row>
    <row r="37" spans="1:26" ht="16.5" customHeight="1" thickBot="1">
      <c r="A37" s="1255" t="s">
        <v>348</v>
      </c>
      <c r="B37" s="307"/>
      <c r="C37" s="294"/>
      <c r="D37" s="294"/>
      <c r="E37" s="295"/>
      <c r="F37" s="311"/>
      <c r="G37" s="311"/>
      <c r="H37" s="311"/>
      <c r="I37" s="311"/>
      <c r="J37" s="2013"/>
      <c r="K37" s="3311"/>
      <c r="L37" s="3311"/>
      <c r="M37" s="1262"/>
      <c r="N37" s="3311"/>
      <c r="O37" s="3311"/>
      <c r="P37" s="2011"/>
      <c r="V37" s="2011"/>
    </row>
    <row r="38" spans="1:26" ht="16.5" customHeight="1" thickBot="1">
      <c r="A38" s="1255" t="s">
        <v>349</v>
      </c>
      <c r="B38" s="307"/>
      <c r="C38" s="294"/>
      <c r="D38" s="294"/>
      <c r="E38" s="295"/>
      <c r="F38" s="311"/>
      <c r="G38" s="311"/>
      <c r="H38" s="311"/>
      <c r="I38" s="311"/>
      <c r="J38" s="2013"/>
      <c r="K38" s="1263">
        <f>'数据-汇总表'!D3</f>
        <v>48381</v>
      </c>
      <c r="L38" s="1264">
        <f>'数据-汇总表'!E3</f>
        <v>120900</v>
      </c>
      <c r="M38" s="1264">
        <f ca="1">C34</f>
        <v>2621</v>
      </c>
      <c r="N38" s="1264">
        <f ca="1">C33</f>
        <v>1049</v>
      </c>
      <c r="O38" s="1265">
        <f ca="1">C32</f>
        <v>12682</v>
      </c>
      <c r="P38" s="2011"/>
      <c r="V38" s="2011"/>
    </row>
    <row r="39" spans="1:26" ht="16.5" customHeight="1" thickBot="1">
      <c r="A39" s="1260"/>
      <c r="B39" s="308"/>
      <c r="C39" s="309"/>
      <c r="D39" s="309"/>
      <c r="E39" s="310"/>
      <c r="F39" s="311"/>
      <c r="G39" s="311"/>
      <c r="H39" s="311"/>
      <c r="I39" s="311"/>
      <c r="J39" s="2013"/>
      <c r="K39" s="3354" t="str">
        <f>MID(A44,3,LEN(A44)-2)</f>
        <v>抵押价格</v>
      </c>
      <c r="L39" s="3355"/>
      <c r="M39" s="3355"/>
      <c r="N39" s="3356"/>
      <c r="O39" s="1388">
        <f ca="1">C44</f>
        <v>12682</v>
      </c>
      <c r="P39" s="2011"/>
      <c r="V39" s="2011"/>
    </row>
    <row r="40" spans="1:26" ht="19.5" thickBot="1">
      <c r="A40" s="104" t="s">
        <v>872</v>
      </c>
      <c r="B40" s="311"/>
      <c r="C40" s="311"/>
      <c r="D40" s="311"/>
      <c r="E40" s="311"/>
      <c r="F40" s="311"/>
      <c r="G40" s="311"/>
      <c r="H40" s="311"/>
      <c r="I40" s="311"/>
      <c r="J40" s="2013"/>
      <c r="K40" s="3354" t="str">
        <f t="shared" ref="K40:K41" si="0">MID(A45,3,LEN(A45)-2)</f>
        <v/>
      </c>
      <c r="L40" s="3355"/>
      <c r="M40" s="3355"/>
      <c r="N40" s="3356"/>
      <c r="O40" s="1388" t="str">
        <f>C45</f>
        <v>——</v>
      </c>
      <c r="P40" s="2011"/>
      <c r="V40" s="2011"/>
    </row>
    <row r="41" spans="1:26" ht="16.5" thickBot="1">
      <c r="A41" s="312" t="s">
        <v>356</v>
      </c>
      <c r="B41" s="313"/>
      <c r="C41" s="314" t="s">
        <v>357</v>
      </c>
      <c r="D41" s="315" t="s">
        <v>358</v>
      </c>
      <c r="E41" s="315" t="s">
        <v>359</v>
      </c>
      <c r="F41" s="316" t="s">
        <v>360</v>
      </c>
      <c r="G41" s="311"/>
      <c r="H41" s="311"/>
      <c r="I41" s="311"/>
      <c r="J41" s="2013"/>
      <c r="K41" s="3354" t="str">
        <f t="shared" si="0"/>
        <v/>
      </c>
      <c r="L41" s="3355"/>
      <c r="M41" s="3355"/>
      <c r="N41" s="3356"/>
      <c r="O41" s="1388" t="str">
        <f>C46</f>
        <v>——</v>
      </c>
      <c r="P41" s="2011"/>
      <c r="V41" s="2011"/>
    </row>
    <row r="42" spans="1:26" ht="29.25">
      <c r="A42" s="3296" t="s">
        <v>2065</v>
      </c>
      <c r="B42" s="3297"/>
      <c r="C42" s="264">
        <f ca="1">C32</f>
        <v>12682</v>
      </c>
      <c r="D42" s="317">
        <f ca="1">C33</f>
        <v>1049</v>
      </c>
      <c r="E42" s="317">
        <f ca="1">C34</f>
        <v>2621</v>
      </c>
      <c r="F42" s="318">
        <f ca="1">C35</f>
        <v>175</v>
      </c>
      <c r="G42" s="311"/>
      <c r="H42" s="311"/>
      <c r="I42" s="319"/>
      <c r="J42" s="2013"/>
      <c r="K42" s="1266" t="s">
        <v>361</v>
      </c>
      <c r="L42" s="2030" t="s">
        <v>362</v>
      </c>
      <c r="M42" s="1267" t="s">
        <v>363</v>
      </c>
      <c r="N42" s="2031" t="s">
        <v>364</v>
      </c>
      <c r="O42" s="2032" t="s">
        <v>365</v>
      </c>
      <c r="P42" s="2011"/>
      <c r="V42" s="2011"/>
    </row>
    <row r="43" spans="1:26" ht="30">
      <c r="A43" s="3307" t="s">
        <v>2728</v>
      </c>
      <c r="B43" s="3308"/>
      <c r="C43" s="264">
        <f>IF(H33="正常操作",G33+G34+G35,G34+G35)</f>
        <v>0</v>
      </c>
      <c r="D43" s="317" t="s">
        <v>43</v>
      </c>
      <c r="E43" s="317" t="s">
        <v>44</v>
      </c>
      <c r="F43" s="318" t="s">
        <v>44</v>
      </c>
      <c r="G43" s="2819" t="s">
        <v>951</v>
      </c>
      <c r="H43" s="311"/>
      <c r="I43" s="319"/>
      <c r="J43" s="2013"/>
      <c r="K43" s="1268" t="str">
        <f>C4</f>
        <v>剩余法-待开发</v>
      </c>
      <c r="L43" s="1269">
        <f ca="1">IF(L42="估价结果/万元",C19,C20)</f>
        <v>12682</v>
      </c>
      <c r="M43" s="1270">
        <f>C18</f>
        <v>0.5</v>
      </c>
      <c r="N43" s="1271">
        <f ca="1">IF(N42="测算结果/万元",G19,G20)</f>
        <v>12682</v>
      </c>
      <c r="O43" s="1272">
        <f ca="1">IF(O42="最终结果/万元",C32,C33)</f>
        <v>12682</v>
      </c>
      <c r="P43" s="2011"/>
      <c r="V43" s="2011"/>
    </row>
    <row r="44" spans="1:26" ht="30.75" thickBot="1">
      <c r="A44" s="3296" t="str">
        <f>IF(OR(项目基本情况!E8="抵押价格",项目基本情况!E8="已注销及未注销"),"3.抵押价格","——")</f>
        <v>3.抵押价格</v>
      </c>
      <c r="B44" s="3297"/>
      <c r="C44" s="264">
        <f ca="1">IF(A44="——","——",C42-C43)</f>
        <v>12682</v>
      </c>
      <c r="D44" s="317">
        <f ca="1">ROUND(C44*10000/'数据-汇总表'!E3,0)</f>
        <v>1049</v>
      </c>
      <c r="E44" s="317">
        <f ca="1">ROUND(C44*10000/'数据-汇总表'!D3,0)</f>
        <v>2621</v>
      </c>
      <c r="F44" s="318">
        <f ca="1">ROUND(C44/('数据-汇总表'!D3/666.67),0)</f>
        <v>175</v>
      </c>
      <c r="G44" s="311"/>
      <c r="H44" s="311"/>
      <c r="I44" s="319"/>
      <c r="J44" s="2013"/>
      <c r="K44" s="1273" t="str">
        <f>D4</f>
        <v>比较法-住宅、综合</v>
      </c>
      <c r="L44" s="1274">
        <f ca="1">IF(L42="估价结果/万元",D19,D20)</f>
        <v>12682</v>
      </c>
      <c r="M44" s="1275">
        <f>D18</f>
        <v>0.5</v>
      </c>
      <c r="N44" s="1276"/>
      <c r="O44" s="1277"/>
      <c r="P44" s="2011"/>
      <c r="V44" s="2011"/>
    </row>
    <row r="45" spans="1:26" ht="15">
      <c r="A45" s="3302" t="str">
        <f>IF(项目基本情况!E8="已注销及未注销","4.抵押担保权已注销时的抵押价格",IF(项目基本情况!E8="已注销","3.抵押担保权已注销时的抵押价格","——"))</f>
        <v>——</v>
      </c>
      <c r="B45" s="3303"/>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298" t="str">
        <f>IF(项目基本情况!E9="抵押净值",IF(A45="——","4.抵押净值","5.抵押净值"),"——")</f>
        <v>——</v>
      </c>
      <c r="B46" s="3299"/>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3" t="s">
        <v>374</v>
      </c>
      <c r="B63" s="3344"/>
      <c r="C63" s="3345"/>
      <c r="D63" s="341">
        <f ca="1">ROUND(C42*F63,0)</f>
        <v>7609</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04" t="s">
        <v>378</v>
      </c>
      <c r="B64" s="3305"/>
      <c r="C64" s="3305"/>
      <c r="D64" s="3305"/>
      <c r="E64" s="3305"/>
      <c r="F64" s="3305"/>
      <c r="G64" s="3306"/>
      <c r="H64" s="1283"/>
      <c r="I64" s="948"/>
      <c r="J64" s="1973"/>
      <c r="K64" s="1547"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5.5">
      <c r="A66" s="3300" t="s">
        <v>386</v>
      </c>
      <c r="B66" s="3301"/>
      <c r="C66" s="3301"/>
      <c r="D66" s="261">
        <f ca="1">IF(H66="情况1",0,IF(H66="情况2",D70,IF(H66="情况3",D71,IF(H66="情况4",D72))))</f>
        <v>399</v>
      </c>
      <c r="E66" s="992" t="str">
        <f>IF(H66="情况4","(销售额-原购置价)×税（费）率","销售额×税（费）率")</f>
        <v>销售额×税（费）率</v>
      </c>
      <c r="F66" s="350">
        <f>IF(H66="情况1","免征",'数据-取费表'!B41)</f>
        <v>5.5000000000000007E-2</v>
      </c>
      <c r="G66" s="351" t="s">
        <v>387</v>
      </c>
      <c r="H66" s="191" t="s">
        <v>388</v>
      </c>
      <c r="I66" s="1283"/>
      <c r="J66" s="2017"/>
      <c r="K66" s="1286">
        <v>1</v>
      </c>
      <c r="L66" s="3358" t="s">
        <v>385</v>
      </c>
      <c r="M66" s="3359"/>
      <c r="N66" s="2420"/>
      <c r="O66" s="2421"/>
      <c r="P66" s="2422"/>
      <c r="Q66" s="2011"/>
      <c r="R66" s="2011"/>
      <c r="S66" s="2011"/>
      <c r="T66" s="2011"/>
      <c r="U66" s="2011"/>
      <c r="V66" s="2011"/>
    </row>
    <row r="67" spans="1:22" ht="25.5" customHeight="1">
      <c r="A67" s="352" t="s">
        <v>390</v>
      </c>
      <c r="B67" s="3291" t="s">
        <v>391</v>
      </c>
      <c r="C67" s="3291"/>
      <c r="D67" s="353">
        <v>0</v>
      </c>
      <c r="E67" s="41" t="s">
        <v>392</v>
      </c>
      <c r="F67" s="62" t="s">
        <v>21</v>
      </c>
      <c r="G67" s="3346"/>
      <c r="H67" s="311"/>
      <c r="I67" s="1287"/>
      <c r="J67" s="2018"/>
      <c r="K67" s="1959">
        <v>2</v>
      </c>
      <c r="L67" s="3357" t="s">
        <v>389</v>
      </c>
      <c r="M67" s="3357"/>
      <c r="N67" s="1320">
        <f>'数据-取费表'!B2</f>
        <v>43663</v>
      </c>
      <c r="O67" s="1320"/>
      <c r="P67" s="1320"/>
      <c r="Q67" s="2011"/>
      <c r="R67" s="2011"/>
      <c r="S67" s="2011"/>
      <c r="T67" s="2011"/>
      <c r="U67" s="2011"/>
      <c r="V67" s="2011"/>
    </row>
    <row r="68" spans="1:22" ht="25.5" customHeight="1">
      <c r="A68" s="354"/>
      <c r="B68" s="3291" t="s">
        <v>394</v>
      </c>
      <c r="C68" s="3291"/>
      <c r="D68" s="355"/>
      <c r="E68" s="77"/>
      <c r="F68" s="356"/>
      <c r="G68" s="3347"/>
      <c r="H68" s="311"/>
      <c r="I68" s="1287"/>
      <c r="J68" s="2018"/>
      <c r="K68" s="1959">
        <v>3</v>
      </c>
      <c r="L68" s="3357" t="s">
        <v>393</v>
      </c>
      <c r="M68" s="3357"/>
      <c r="N68" s="1288">
        <f ca="1">C42</f>
        <v>12682</v>
      </c>
      <c r="O68" s="1288"/>
      <c r="P68" s="1288"/>
      <c r="Q68" s="2011"/>
      <c r="R68" s="2011"/>
      <c r="S68" s="2011"/>
      <c r="T68" s="2011"/>
      <c r="U68" s="2011"/>
      <c r="V68" s="2011"/>
    </row>
    <row r="69" spans="1:22" ht="12" customHeight="1">
      <c r="A69" s="357"/>
      <c r="B69" s="3291" t="s">
        <v>395</v>
      </c>
      <c r="C69" s="3291"/>
      <c r="D69" s="358"/>
      <c r="E69" s="73"/>
      <c r="F69" s="356"/>
      <c r="G69" s="3348"/>
      <c r="H69" s="311"/>
      <c r="I69" s="1287"/>
      <c r="J69" s="2018"/>
      <c r="K69" s="1289">
        <v>4</v>
      </c>
      <c r="L69" s="3362" t="s">
        <v>2881</v>
      </c>
      <c r="M69" s="3363"/>
      <c r="N69" s="1290">
        <f ca="1">C44</f>
        <v>12682</v>
      </c>
      <c r="O69" s="1290"/>
      <c r="P69" s="1290"/>
      <c r="Q69" s="2011"/>
      <c r="R69" s="2011"/>
      <c r="S69" s="2011"/>
      <c r="T69" s="2011"/>
      <c r="U69" s="2011"/>
      <c r="V69" s="2011"/>
    </row>
    <row r="70" spans="1:22" ht="24" customHeight="1">
      <c r="A70" s="359" t="s">
        <v>396</v>
      </c>
      <c r="B70" s="3291" t="s">
        <v>397</v>
      </c>
      <c r="C70" s="3291"/>
      <c r="D70" s="358">
        <f ca="1">ROUND(D63*'数据-取费表'!B41/(1+'数据-取费表'!C42),0)</f>
        <v>399</v>
      </c>
      <c r="E70" s="17" t="s">
        <v>398</v>
      </c>
      <c r="F70" s="360">
        <f>'数据-取费表'!B41</f>
        <v>5.5000000000000007E-2</v>
      </c>
      <c r="G70" s="361"/>
      <c r="H70" s="311"/>
      <c r="I70" s="1287"/>
      <c r="J70" s="2018"/>
      <c r="K70" s="3011"/>
      <c r="L70" s="3012"/>
      <c r="M70" s="3012"/>
      <c r="N70" s="3013" t="s">
        <v>2886</v>
      </c>
      <c r="O70" s="3012"/>
      <c r="P70" s="3014"/>
      <c r="Q70" s="2011"/>
      <c r="R70" s="2011"/>
      <c r="S70" s="2011"/>
      <c r="T70" s="2011"/>
      <c r="U70" s="2011"/>
      <c r="V70" s="2011"/>
    </row>
    <row r="71" spans="1:22" ht="12" customHeight="1">
      <c r="A71" s="359" t="s">
        <v>404</v>
      </c>
      <c r="B71" s="3292" t="s">
        <v>405</v>
      </c>
      <c r="C71" s="3293"/>
      <c r="D71" s="358">
        <f ca="1">ROUND(D63*'数据-取费表'!B41/(1+'数据-取费表'!C42),0)</f>
        <v>399</v>
      </c>
      <c r="E71" s="17" t="s">
        <v>398</v>
      </c>
      <c r="F71" s="360">
        <f>'数据-取费表'!B41</f>
        <v>5.5000000000000007E-2</v>
      </c>
      <c r="G71" s="361"/>
      <c r="H71" s="311"/>
      <c r="I71" s="1287"/>
      <c r="J71" s="2018"/>
      <c r="K71" s="3010" t="s">
        <v>399</v>
      </c>
      <c r="L71" s="3364" t="s">
        <v>400</v>
      </c>
      <c r="M71" s="3364"/>
      <c r="N71" s="3010" t="s">
        <v>401</v>
      </c>
      <c r="O71" s="3010" t="s">
        <v>402</v>
      </c>
      <c r="P71" s="3010" t="s">
        <v>403</v>
      </c>
      <c r="Q71" s="2011"/>
      <c r="R71" s="2011"/>
      <c r="S71" s="2011"/>
      <c r="T71" s="2011"/>
      <c r="U71" s="2011"/>
      <c r="V71" s="2011"/>
    </row>
    <row r="72" spans="1:22" ht="12" customHeight="1">
      <c r="A72" s="359" t="s">
        <v>407</v>
      </c>
      <c r="B72" s="3292" t="s">
        <v>408</v>
      </c>
      <c r="C72" s="3293"/>
      <c r="D72" s="358">
        <f ca="1">C86</f>
        <v>289</v>
      </c>
      <c r="E72" s="73" t="s">
        <v>409</v>
      </c>
      <c r="F72" s="360">
        <f>'数据-取费表'!B41</f>
        <v>5.5000000000000007E-2</v>
      </c>
      <c r="G72" s="361"/>
      <c r="H72" s="1293"/>
      <c r="I72" s="1287"/>
      <c r="J72" s="2018"/>
      <c r="K72" s="1959">
        <v>1</v>
      </c>
      <c r="L72" s="3339" t="s">
        <v>406</v>
      </c>
      <c r="M72" s="3339"/>
      <c r="N72" s="1291">
        <f ca="1">D66</f>
        <v>399</v>
      </c>
      <c r="O72" s="1842" t="str">
        <f>E66</f>
        <v>销售额×税（费）率</v>
      </c>
      <c r="P72" s="1292">
        <f>F66</f>
        <v>5.5000000000000007E-2</v>
      </c>
      <c r="Q72" s="2011"/>
      <c r="R72" s="2011"/>
      <c r="S72" s="2011"/>
      <c r="T72" s="2011"/>
      <c r="U72" s="2011"/>
      <c r="V72" s="2011"/>
    </row>
    <row r="73" spans="1:22" ht="24" customHeight="1">
      <c r="A73" s="3333" t="s">
        <v>411</v>
      </c>
      <c r="B73" s="3301"/>
      <c r="C73" s="3301"/>
      <c r="D73" s="362">
        <f>IF(H73="个人住宅",0,ROUND(D63*I73,0))</f>
        <v>0</v>
      </c>
      <c r="E73" s="17" t="s">
        <v>412</v>
      </c>
      <c r="F73" s="360" t="str">
        <f>IF(H73="正常",I73,"免征")</f>
        <v>免征</v>
      </c>
      <c r="G73" s="361"/>
      <c r="H73" s="191" t="s">
        <v>2453</v>
      </c>
      <c r="I73" s="360">
        <f>'数据-取费表'!B49</f>
        <v>5.0000000000000001E-4</v>
      </c>
      <c r="J73" s="2018"/>
      <c r="K73" s="1959">
        <v>2</v>
      </c>
      <c r="L73" s="3339" t="s">
        <v>410</v>
      </c>
      <c r="M73" s="3339"/>
      <c r="N73" s="1291">
        <f t="shared" ref="N73:P74" si="1">D73</f>
        <v>0</v>
      </c>
      <c r="O73" s="1842" t="str">
        <f t="shared" si="1"/>
        <v>销售额×税（费）率</v>
      </c>
      <c r="P73" s="1292" t="str">
        <f t="shared" si="1"/>
        <v>免征</v>
      </c>
      <c r="Q73" s="2011"/>
      <c r="R73" s="2011"/>
      <c r="S73" s="2011"/>
      <c r="T73" s="2011"/>
      <c r="U73" s="2011"/>
      <c r="V73" s="2011"/>
    </row>
    <row r="74" spans="1:22" ht="24.75">
      <c r="A74" s="3333" t="s">
        <v>415</v>
      </c>
      <c r="B74" s="3301"/>
      <c r="C74" s="3301"/>
      <c r="D74" s="362">
        <f ca="1">IF(H74="个人住宅",D75,D76)</f>
        <v>3659</v>
      </c>
      <c r="E74" s="17" t="s">
        <v>416</v>
      </c>
      <c r="F74" s="360" t="str">
        <f>IF(H74="正常",F76,"免征")</f>
        <v>——</v>
      </c>
      <c r="G74" s="982" t="s">
        <v>417</v>
      </c>
      <c r="H74" s="363" t="s">
        <v>413</v>
      </c>
      <c r="I74" s="42"/>
      <c r="J74" s="2018"/>
      <c r="K74" s="1959">
        <v>3</v>
      </c>
      <c r="L74" s="3339" t="s">
        <v>414</v>
      </c>
      <c r="M74" s="3339"/>
      <c r="N74" s="1291">
        <f t="shared" ca="1" si="1"/>
        <v>3659</v>
      </c>
      <c r="O74" s="1842" t="str">
        <f t="shared" si="1"/>
        <v>增值额×税（费）率</v>
      </c>
      <c r="P74" s="1294" t="str">
        <f t="shared" si="1"/>
        <v>——</v>
      </c>
      <c r="Q74" s="2011"/>
      <c r="R74" s="2011"/>
      <c r="S74" s="2011"/>
      <c r="T74" s="2011"/>
      <c r="U74" s="2011"/>
      <c r="V74" s="2011"/>
    </row>
    <row r="75" spans="1:22" ht="24">
      <c r="A75" s="359" t="s">
        <v>418</v>
      </c>
      <c r="B75" s="3289" t="s">
        <v>419</v>
      </c>
      <c r="C75" s="3319"/>
      <c r="D75" s="364">
        <v>0</v>
      </c>
      <c r="E75" s="41" t="s">
        <v>420</v>
      </c>
      <c r="F75" s="365"/>
      <c r="G75" s="361"/>
      <c r="H75" s="42"/>
      <c r="I75" s="42"/>
      <c r="J75" s="2018"/>
      <c r="K75" s="3003">
        <f>IF(H77="非个人房产","",4)</f>
        <v>4</v>
      </c>
      <c r="L75" s="3339" t="str">
        <f>IF(H77="非个人房产","——","个人所得税")</f>
        <v>个人所得税</v>
      </c>
      <c r="M75" s="3339"/>
      <c r="N75" s="1295">
        <f ca="1">D77</f>
        <v>76</v>
      </c>
      <c r="O75" s="1855" t="str">
        <f>E77</f>
        <v>销售额×税（费）率</v>
      </c>
      <c r="P75" s="1296">
        <f>F77</f>
        <v>0.01</v>
      </c>
      <c r="Q75" s="2011"/>
      <c r="R75" s="2011"/>
      <c r="S75" s="2011"/>
      <c r="T75" s="2011"/>
      <c r="U75" s="2011"/>
      <c r="V75" s="2011"/>
    </row>
    <row r="76" spans="1:22" ht="24.75">
      <c r="A76" s="359" t="s">
        <v>396</v>
      </c>
      <c r="B76" s="3289" t="s">
        <v>422</v>
      </c>
      <c r="C76" s="3290"/>
      <c r="D76" s="362">
        <f ca="1">IF(H76="转让取得",C99,C115)</f>
        <v>3659</v>
      </c>
      <c r="E76" s="17" t="s">
        <v>423</v>
      </c>
      <c r="F76" s="53" t="s">
        <v>21</v>
      </c>
      <c r="G76" s="361"/>
      <c r="H76" s="363" t="s">
        <v>424</v>
      </c>
      <c r="I76" s="42"/>
      <c r="J76" s="2018"/>
      <c r="K76" s="3003" t="str">
        <f>IF(项目基本情况!K6="上海银行",IF(K75="",4,K75+1),"")</f>
        <v/>
      </c>
      <c r="L76" s="3350" t="str">
        <f>IF(项目基本情况!K6="上海银行","其他处置费用","")</f>
        <v/>
      </c>
      <c r="M76" s="3351"/>
      <c r="N76" s="1291" t="str">
        <f>IF(项目基本情况!K6="上海银行",N89,"")</f>
        <v/>
      </c>
      <c r="O76" s="3352" t="str">
        <f>IF(项目基本情况!K6="上海银行","包含处置中涉及的律师、诉讼、拍卖、评估等费用","")</f>
        <v/>
      </c>
      <c r="P76" s="3353"/>
      <c r="Q76" s="2011"/>
      <c r="R76" s="2011"/>
      <c r="S76" s="2011"/>
      <c r="T76" s="2011"/>
      <c r="U76" s="2011"/>
      <c r="V76" s="2011"/>
    </row>
    <row r="77" spans="1:22" ht="26.25" thickBot="1">
      <c r="A77" s="3341" t="s">
        <v>426</v>
      </c>
      <c r="B77" s="3342"/>
      <c r="C77" s="3342"/>
      <c r="D77" s="366">
        <f ca="1">IF(H77="非个人房产","——",IF(H77="个人住宅",0,ROUND(D63*I77,0)))</f>
        <v>76</v>
      </c>
      <c r="E77" s="367" t="str">
        <f>IF(H77="非个人房产","——","销售额×税（费）率")</f>
        <v>销售额×税（费）率</v>
      </c>
      <c r="F77" s="368">
        <f>IF(H77="非个人房产","——",IF(H77="个人住宅","免征",I77))</f>
        <v>0.01</v>
      </c>
      <c r="G77" s="983" t="s">
        <v>417</v>
      </c>
      <c r="H77" s="363" t="s">
        <v>2882</v>
      </c>
      <c r="I77" s="369">
        <v>0.01</v>
      </c>
      <c r="J77" s="2018"/>
      <c r="K77" s="3340">
        <f>IF(AND(K75="",K76=""),4,IF(项目基本情况!K6="上海银行",K76+1,K75+1))</f>
        <v>5</v>
      </c>
      <c r="L77" s="3339" t="s">
        <v>2883</v>
      </c>
      <c r="M77" s="3009" t="s">
        <v>421</v>
      </c>
      <c r="N77" s="1297"/>
      <c r="O77" s="1298">
        <f ca="1">SUMIF(N72:N76,"&lt;9e307")</f>
        <v>4134</v>
      </c>
      <c r="P77" s="1299"/>
      <c r="Q77" s="3007">
        <f ca="1">O77/N69</f>
        <v>0.32597382116385426</v>
      </c>
      <c r="R77" s="2011"/>
      <c r="S77" s="2011"/>
      <c r="T77" s="2011"/>
      <c r="U77" s="2011"/>
      <c r="V77" s="2011"/>
    </row>
    <row r="78" spans="1:22" ht="12" customHeight="1">
      <c r="A78" s="1300"/>
      <c r="B78" s="311"/>
      <c r="C78" s="311"/>
      <c r="D78" s="311"/>
      <c r="E78" s="42"/>
      <c r="F78" s="42"/>
      <c r="G78" s="42"/>
      <c r="H78" s="1002"/>
      <c r="I78" s="311"/>
      <c r="J78" s="2018"/>
      <c r="K78" s="3340"/>
      <c r="L78" s="3339"/>
      <c r="M78" s="3009" t="s">
        <v>425</v>
      </c>
      <c r="N78" s="1297"/>
      <c r="O78" s="1298" t="str">
        <f ca="1">NUMBERSTRING(INT(O77*10000),2)&amp;"元整"</f>
        <v>肆仟壹佰叁拾肆万元整</v>
      </c>
      <c r="P78" s="1299"/>
      <c r="Q78" s="2011"/>
      <c r="R78" s="2011"/>
      <c r="S78" s="2011"/>
      <c r="T78" s="2011"/>
      <c r="U78" s="2011"/>
      <c r="V78" s="2011"/>
    </row>
    <row r="79" spans="1:22" ht="13.5" thickBot="1">
      <c r="A79" s="3334" t="s">
        <v>427</v>
      </c>
      <c r="B79" s="3334"/>
      <c r="C79" s="3334"/>
      <c r="D79" s="3334"/>
      <c r="E79" s="3334"/>
      <c r="F79" s="42"/>
      <c r="G79" s="42"/>
      <c r="H79" s="1002"/>
      <c r="I79" s="311"/>
      <c r="J79" s="2018"/>
      <c r="K79" s="3360">
        <f>K77+1</f>
        <v>6</v>
      </c>
      <c r="L79" s="3339" t="s">
        <v>2884</v>
      </c>
      <c r="M79" s="3009" t="s">
        <v>421</v>
      </c>
      <c r="N79" s="1297"/>
      <c r="O79" s="1298">
        <f ca="1">N69-O77</f>
        <v>8548</v>
      </c>
      <c r="P79" s="1299"/>
      <c r="Q79" s="2011"/>
      <c r="R79" s="2011"/>
      <c r="S79" s="2011"/>
      <c r="T79" s="2011"/>
      <c r="U79" s="2011"/>
      <c r="V79" s="2011"/>
    </row>
    <row r="80" spans="1:22" ht="25.5">
      <c r="A80" s="3329" t="s">
        <v>428</v>
      </c>
      <c r="B80" s="3330"/>
      <c r="C80" s="993"/>
      <c r="D80" s="993" t="s">
        <v>429</v>
      </c>
      <c r="E80" s="370" t="s">
        <v>430</v>
      </c>
      <c r="F80" s="42"/>
      <c r="G80" s="42"/>
      <c r="H80" s="1002"/>
      <c r="I80" s="311"/>
      <c r="J80" s="2011"/>
      <c r="K80" s="3361"/>
      <c r="L80" s="3339"/>
      <c r="M80" s="3009" t="s">
        <v>425</v>
      </c>
      <c r="N80" s="1297"/>
      <c r="O80" s="1298" t="str">
        <f ca="1">NUMBERSTRING(INT(O79*10000),2)&amp;"元整"</f>
        <v>捌仟伍佰肆拾捌万元整</v>
      </c>
      <c r="P80" s="1299"/>
      <c r="Q80" s="2011"/>
      <c r="R80" s="2011"/>
      <c r="S80" s="2011"/>
      <c r="T80" s="2011"/>
      <c r="U80" s="2011"/>
      <c r="V80" s="2011"/>
    </row>
    <row r="81" spans="1:26" ht="13.5" thickBot="1">
      <c r="A81" s="381" t="s">
        <v>1822</v>
      </c>
      <c r="B81" s="371" t="s">
        <v>431</v>
      </c>
      <c r="C81" s="372">
        <f ca="1">ROUND((C82+C83)/(1+'数据-取费表'!C42),0)</f>
        <v>7247</v>
      </c>
      <c r="D81" s="373"/>
      <c r="E81" s="374"/>
      <c r="F81" s="42"/>
      <c r="G81" s="42"/>
      <c r="H81" s="1002"/>
      <c r="I81" s="311"/>
      <c r="J81" s="2011"/>
      <c r="K81" s="3003">
        <f>K79+1</f>
        <v>7</v>
      </c>
      <c r="L81" s="3337" t="s">
        <v>2885</v>
      </c>
      <c r="M81" s="3338"/>
      <c r="N81" s="1301"/>
      <c r="O81" s="1302">
        <f ca="1">ROUND(O79*10000/'数据-汇总表'!E3,0)</f>
        <v>707</v>
      </c>
      <c r="P81" s="1303"/>
      <c r="Q81" s="2011"/>
      <c r="R81" s="2011"/>
      <c r="S81" s="2011"/>
      <c r="T81" s="2011"/>
      <c r="U81" s="2011"/>
      <c r="V81" s="2011"/>
    </row>
    <row r="82" spans="1:26" ht="13.5" thickTop="1">
      <c r="A82" s="375" t="s">
        <v>1823</v>
      </c>
      <c r="B82" s="376" t="s">
        <v>432</v>
      </c>
      <c r="C82" s="377">
        <f ca="1">D63</f>
        <v>7609</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1824</v>
      </c>
      <c r="B83" s="376" t="s">
        <v>433</v>
      </c>
      <c r="C83" s="380">
        <v>0</v>
      </c>
      <c r="D83" s="378"/>
      <c r="E83" s="379"/>
      <c r="F83" s="42"/>
      <c r="G83" s="42"/>
      <c r="H83" s="1002"/>
      <c r="I83" s="311"/>
      <c r="J83" s="2011"/>
      <c r="K83" s="3349" t="s">
        <v>2872</v>
      </c>
      <c r="L83" s="3015" t="s">
        <v>2873</v>
      </c>
      <c r="M83" s="3005">
        <f ca="1">IF(N69&gt;10000,N69*0.5%,IF(AND(N69&gt;1000,N69&lt;=10000),N69*1%,IF(AND(N69&gt;100,N69&lt;=1000),N69*3%,IF(AND(N69&gt;10,N69&lt;=100),N69*5%,N69*8%))))</f>
        <v>63.410000000000004</v>
      </c>
      <c r="N83" s="53">
        <f ca="1">ROUND(M83,1)</f>
        <v>63.4</v>
      </c>
      <c r="O83" s="3008"/>
      <c r="P83" s="2011"/>
      <c r="Q83" s="2011"/>
      <c r="R83" s="2011"/>
      <c r="S83" s="2011"/>
      <c r="T83" s="2011"/>
      <c r="U83" s="2011"/>
      <c r="V83" s="2011"/>
    </row>
    <row r="84" spans="1:26" ht="12.75">
      <c r="A84" s="381" t="s">
        <v>1825</v>
      </c>
      <c r="B84" s="382" t="s">
        <v>434</v>
      </c>
      <c r="C84" s="383">
        <v>2000</v>
      </c>
      <c r="D84" s="384" t="s">
        <v>19</v>
      </c>
      <c r="E84" s="3047" t="s">
        <v>2931</v>
      </c>
      <c r="F84" s="42"/>
      <c r="G84" s="42"/>
      <c r="H84" s="1002"/>
      <c r="I84" s="311"/>
      <c r="J84" s="2011"/>
      <c r="K84" s="3349"/>
      <c r="L84" s="3015" t="s">
        <v>2874</v>
      </c>
      <c r="M84" s="3005">
        <f ca="1">IF(N69&gt;2000,N69*0.5%,IF(AND(N69&gt;1000,N69&lt;=2000),N69*0.6%,IF(AND(N69&gt;500,N69&lt;=1000),N69*0.7%,IF(AND(N69&gt;200,N69&lt;=500),N69*0.8%,IF(AND(N69&gt;100,N69&lt;=200),N69*0.9%,IF(AND(N69&gt;50,N69&lt;=100),N69*1%,IF(AND(N69&gt;20,N69&lt;=50),N69*1.5%,IF(AND(N69&gt;10,N69&lt;=20),N69*2%,IF(AND(N69&gt;1,N69&lt;=10),N69*2.5%)))))))))</f>
        <v>63.410000000000004</v>
      </c>
      <c r="N84" s="53">
        <f t="shared" ref="N84:N85" ca="1" si="2">ROUND(M84,1)</f>
        <v>63.4</v>
      </c>
      <c r="O84" s="2011" t="s">
        <v>2875</v>
      </c>
      <c r="P84" s="2011"/>
      <c r="Q84" s="2011"/>
      <c r="R84" s="2011"/>
      <c r="S84" s="2011"/>
      <c r="T84" s="2011"/>
      <c r="U84" s="2011"/>
      <c r="V84" s="2011"/>
    </row>
    <row r="85" spans="1:26" ht="12.75">
      <c r="A85" s="381" t="s">
        <v>1826</v>
      </c>
      <c r="B85" s="382" t="s">
        <v>435</v>
      </c>
      <c r="C85" s="385">
        <f ca="1">C81-C84</f>
        <v>5247</v>
      </c>
      <c r="D85" s="378" t="s">
        <v>19</v>
      </c>
      <c r="E85" s="379"/>
      <c r="F85" s="42"/>
      <c r="G85" s="42"/>
      <c r="H85" s="1002"/>
      <c r="I85" s="311"/>
      <c r="J85" s="2011"/>
      <c r="K85" s="3349"/>
      <c r="L85" s="3015" t="s">
        <v>2876</v>
      </c>
      <c r="M85" s="3005">
        <f ca="1">IF(N69&gt;1000,N69*0.1%,IF(AND(N69&gt;500,N69&lt;=1000),N69*0.5%,IF(AND(N69&gt;50,N69&lt;=500),N69*1%,IF(AND(N69&gt;1,N69&lt;=50),N69*1.5%))))</f>
        <v>12.682</v>
      </c>
      <c r="N85" s="53">
        <f t="shared" ca="1" si="2"/>
        <v>12.7</v>
      </c>
      <c r="O85" s="2011" t="s">
        <v>2875</v>
      </c>
      <c r="P85" s="2011"/>
      <c r="Q85" s="2011"/>
      <c r="R85" s="2011"/>
      <c r="S85" s="2011"/>
      <c r="T85" s="2011"/>
      <c r="U85" s="2011"/>
      <c r="V85" s="2011"/>
    </row>
    <row r="86" spans="1:26" ht="13.5" thickBot="1">
      <c r="A86" s="386" t="s">
        <v>1827</v>
      </c>
      <c r="B86" s="387" t="s">
        <v>436</v>
      </c>
      <c r="C86" s="388">
        <f ca="1">IF(C85&lt;=0,0,ROUND(C85*D86,0))</f>
        <v>289</v>
      </c>
      <c r="D86" s="389">
        <f>'数据-取费表'!B41</f>
        <v>5.5000000000000007E-2</v>
      </c>
      <c r="E86" s="390"/>
      <c r="F86" s="42"/>
      <c r="G86" s="42"/>
      <c r="H86" s="1002"/>
      <c r="I86" s="311"/>
      <c r="J86" s="2011"/>
      <c r="K86" s="3349"/>
      <c r="L86" s="3015" t="s">
        <v>2877</v>
      </c>
      <c r="M86" s="3005">
        <f ca="1">N69*0.5%</f>
        <v>63.410000000000004</v>
      </c>
      <c r="N86" s="53">
        <f ca="1">IF(M86&gt;0.5,0.5,ROUND(M86,0))</f>
        <v>0.5</v>
      </c>
      <c r="O86" s="2011" t="s">
        <v>2878</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49"/>
      <c r="L87" s="3015" t="s">
        <v>2879</v>
      </c>
      <c r="M87" s="3005">
        <f ca="1">IF(N69&gt;=10000,(8.25+(N69-10000)*0.01%),IF(AND(N69&gt;=8000,N69&lt;10000),(7.85+(N69-8000)*0.02%),IF(AND(N69&gt;=5000,N69&lt;8000),(6.65+(N69-5000)*0.04%),IF(AND(N69&gt;=2000,N69&lt;5000),(4.25+(PN69-2000)*0.08%),IF(AND(N69&gt;=1000,N69&lt;2000),(2.75+(N69-1000)*0.15%),IF(AND(N69&gt;=100,N69&lt;1000),(0.5+(N69-100)*0.25%),IF(AND(N69&gt;0,N69&lt;100),N69*0.5%)))))))</f>
        <v>8.5182000000000002</v>
      </c>
      <c r="N87" s="53">
        <f ca="1">ROUND(M87*0.9,1)</f>
        <v>7.7</v>
      </c>
      <c r="O87" s="3008"/>
      <c r="P87" s="311"/>
      <c r="Q87" s="2011"/>
      <c r="R87" s="2011"/>
      <c r="S87" s="2011"/>
      <c r="T87" s="2011"/>
      <c r="U87" s="2011"/>
      <c r="V87" s="2011"/>
      <c r="W87" s="292"/>
      <c r="X87" s="292"/>
      <c r="Y87" s="292"/>
      <c r="Z87" s="292"/>
    </row>
    <row r="88" spans="1:26" s="1309" customFormat="1" ht="15" thickBot="1">
      <c r="A88" s="3331" t="s">
        <v>437</v>
      </c>
      <c r="B88" s="3332"/>
      <c r="C88" s="3332"/>
      <c r="D88" s="3332"/>
      <c r="E88" s="3332"/>
      <c r="F88" s="3332"/>
      <c r="G88" s="3332"/>
      <c r="H88" s="3332"/>
      <c r="I88" s="1310"/>
      <c r="J88" s="2019"/>
      <c r="K88" s="3349"/>
      <c r="L88" s="3015" t="s">
        <v>2880</v>
      </c>
      <c r="M88" s="3005">
        <f ca="1">IF(N69&gt;10000,N69*0.5%,IF(AND(N69&gt;5000,N69&lt;=10000),N69*1%,IF(AND(N69&gt;1000,N69&lt;=5000),N69*2%,IF(AND(N69&gt;200,N69&lt;=1000),N69*3%,N69*5%))))</f>
        <v>63.410000000000004</v>
      </c>
      <c r="N88" s="53">
        <f ca="1">ROUND(M88,1)</f>
        <v>63.4</v>
      </c>
      <c r="O88" s="3008"/>
      <c r="P88" s="11"/>
      <c r="Q88" s="2016"/>
      <c r="R88" s="2016"/>
      <c r="S88" s="2016"/>
      <c r="T88" s="2016"/>
      <c r="U88" s="2016"/>
      <c r="V88" s="2016"/>
      <c r="W88" s="2020"/>
      <c r="X88" s="2020"/>
      <c r="Y88" s="2020"/>
      <c r="Z88" s="2020"/>
    </row>
    <row r="89" spans="1:26" s="1309" customFormat="1" ht="14.25">
      <c r="A89" s="3329" t="s">
        <v>428</v>
      </c>
      <c r="B89" s="3330"/>
      <c r="C89" s="993"/>
      <c r="D89" s="993" t="s">
        <v>429</v>
      </c>
      <c r="E89" s="391" t="s">
        <v>438</v>
      </c>
      <c r="F89" s="392"/>
      <c r="G89" s="392"/>
      <c r="H89" s="393"/>
      <c r="I89" s="1311"/>
      <c r="J89" s="2021"/>
      <c r="K89" s="3349"/>
      <c r="L89" s="3015" t="s">
        <v>27</v>
      </c>
      <c r="M89" s="3006"/>
      <c r="N89" s="53">
        <f ca="1">ROUND(SUM(N83:N88),0)</f>
        <v>211</v>
      </c>
      <c r="O89" s="3016">
        <f ca="1">N89/N69</f>
        <v>1.6637754297429426E-2</v>
      </c>
      <c r="P89" s="2016"/>
      <c r="Q89" s="2016"/>
      <c r="R89" s="2016"/>
      <c r="S89" s="2016"/>
      <c r="T89" s="2016"/>
      <c r="U89" s="2016"/>
      <c r="V89" s="2016"/>
      <c r="W89" s="2020"/>
      <c r="X89" s="2020"/>
      <c r="Y89" s="2020"/>
      <c r="Z89" s="2020"/>
    </row>
    <row r="90" spans="1:26" s="1309" customFormat="1" ht="14.25">
      <c r="A90" s="381" t="s">
        <v>1822</v>
      </c>
      <c r="B90" s="382" t="s">
        <v>439</v>
      </c>
      <c r="C90" s="385">
        <f ca="1">ROUND(D63/(1+'数据-取费表'!C42),0)</f>
        <v>7247</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1828</v>
      </c>
      <c r="B91" s="348" t="s">
        <v>440</v>
      </c>
      <c r="C91" s="385">
        <f ca="1">C92+C96</f>
        <v>2597</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1830</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1831</v>
      </c>
      <c r="B94" s="400" t="s">
        <v>446</v>
      </c>
      <c r="C94" s="378">
        <f>IF(F93="购房发票",ROUND(C93*H93*5%,0),0)</f>
        <v>500</v>
      </c>
      <c r="D94" s="401">
        <v>0.05</v>
      </c>
      <c r="E94" s="3292" t="s">
        <v>447</v>
      </c>
      <c r="F94" s="3291"/>
      <c r="G94" s="3291"/>
      <c r="H94" s="332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1833</v>
      </c>
      <c r="B96" s="376" t="s">
        <v>450</v>
      </c>
      <c r="C96" s="405">
        <f ca="1">ROUND(D63*D96/(1+'数据-取费表'!C42),0)</f>
        <v>36</v>
      </c>
      <c r="D96" s="406">
        <f>'数据-取费表'!B43</f>
        <v>5.000000000000001E-3</v>
      </c>
      <c r="E96" s="3320" t="s">
        <v>2426</v>
      </c>
      <c r="F96" s="3321"/>
      <c r="G96" s="3321"/>
      <c r="H96" s="3322"/>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1834</v>
      </c>
      <c r="B97" s="382" t="s">
        <v>451</v>
      </c>
      <c r="C97" s="385">
        <f ca="1">C90-C91</f>
        <v>4650</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1835</v>
      </c>
      <c r="B98" s="382" t="s">
        <v>452</v>
      </c>
      <c r="C98" s="407">
        <f ca="1">IF(C97&lt;=0,0,C97/C91)</f>
        <v>1.7905275317674239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1836</v>
      </c>
      <c r="B99" s="387" t="s">
        <v>453</v>
      </c>
      <c r="C99" s="408">
        <f ca="1">ROUND(IF(C97&lt;=0,0,IF(C98&gt;=200%,C97*60%-C91*35%,IF(C98&gt;=100%,C97*50%-C91*15%,IF(C98&gt;=50%,C97*40%-C91*5%,IF(C98&lt;50%,C97*30%,0))))),0)</f>
        <v>1935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1" t="s">
        <v>454</v>
      </c>
      <c r="B101" s="3332"/>
      <c r="C101" s="3332"/>
      <c r="D101" s="3332"/>
      <c r="E101" s="3332"/>
      <c r="F101" s="3332"/>
      <c r="G101" s="3332"/>
      <c r="H101" s="3332"/>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29" t="s">
        <v>428</v>
      </c>
      <c r="B102" s="3330"/>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1822</v>
      </c>
      <c r="B103" s="382" t="s">
        <v>439</v>
      </c>
      <c r="C103" s="385">
        <f ca="1">ROUND(D63/(1+'数据-取费表'!C42),0)</f>
        <v>7247</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1828</v>
      </c>
      <c r="B104" s="348" t="s">
        <v>440</v>
      </c>
      <c r="C104" s="385">
        <f ca="1">IF(H106="仅含出让金",C105+C108+C109+C110+C111+C112,C105+C109+C110+C111+C112)</f>
        <v>726</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1829</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1830</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1837</v>
      </c>
      <c r="B109" s="376" t="s">
        <v>461</v>
      </c>
      <c r="C109" s="405">
        <f>IF(H109="——",IF(F1="现房",'剩余法-现房'!C18,'剩余法-待开发'!C18),I109)</f>
        <v>55</v>
      </c>
      <c r="D109" s="406"/>
      <c r="E109" s="3323" t="s">
        <v>462</v>
      </c>
      <c r="F109" s="3321"/>
      <c r="G109" s="3321"/>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1838</v>
      </c>
      <c r="B110" s="376" t="s">
        <v>463</v>
      </c>
      <c r="C110" s="405">
        <f>ROUND((C105+C108+C109)*D110,0)</f>
        <v>63</v>
      </c>
      <c r="D110" s="406">
        <v>0.1</v>
      </c>
      <c r="E110" s="3323" t="s">
        <v>464</v>
      </c>
      <c r="F110" s="3321"/>
      <c r="G110" s="3321"/>
      <c r="H110" s="3322"/>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1839</v>
      </c>
      <c r="B111" s="376" t="s">
        <v>450</v>
      </c>
      <c r="C111" s="405">
        <f ca="1">ROUND(D63*D111/(1+'数据-取费表'!C42),0)</f>
        <v>36</v>
      </c>
      <c r="D111" s="406">
        <f>'数据-取费表'!B43</f>
        <v>5.000000000000001E-3</v>
      </c>
      <c r="E111" s="3320" t="s">
        <v>2426</v>
      </c>
      <c r="F111" s="3321"/>
      <c r="G111" s="3321"/>
      <c r="H111" s="3322"/>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1840</v>
      </c>
      <c r="B112" s="376" t="s">
        <v>465</v>
      </c>
      <c r="C112" s="405">
        <f>ROUND(C108*D112,0)</f>
        <v>0</v>
      </c>
      <c r="D112" s="406">
        <v>0.2</v>
      </c>
      <c r="E112" s="3323" t="s">
        <v>2451</v>
      </c>
      <c r="F112" s="3321"/>
      <c r="G112" s="3321"/>
      <c r="H112" s="3322"/>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1834</v>
      </c>
      <c r="B113" s="382" t="s">
        <v>451</v>
      </c>
      <c r="C113" s="385">
        <f ca="1">ROUND(C103-C104,0)</f>
        <v>6521</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1835</v>
      </c>
      <c r="B114" s="382" t="s">
        <v>452</v>
      </c>
      <c r="C114" s="407">
        <f ca="1">IF(C113&lt;=0,0,C113/C104)</f>
        <v>8.9820936639118454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1836</v>
      </c>
      <c r="B115" s="387" t="s">
        <v>453</v>
      </c>
      <c r="C115" s="408">
        <f ca="1">ROUND(IF(C113&lt;=0,0,IF(C114&gt;=200%,C113*60%-C104*35%,IF(C114&gt;=100%,C113*50%-C104*15%,IF(C114&gt;=50%,C113*40%-C104*5%,IF(C114&lt;50%,C113*30%,0))))),0)</f>
        <v>3659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K17" sqref="K1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12682</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1049</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2621</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175</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521</v>
      </c>
      <c r="B6" s="513"/>
      <c r="C6" s="3374" t="s">
        <v>522</v>
      </c>
      <c r="D6" s="3375"/>
      <c r="E6" s="3374" t="s">
        <v>523</v>
      </c>
      <c r="F6" s="3375"/>
      <c r="G6" s="3374" t="s">
        <v>524</v>
      </c>
      <c r="H6" s="3375"/>
      <c r="I6" s="3374" t="s">
        <v>525</v>
      </c>
      <c r="J6" s="3375"/>
      <c r="K6" s="514" t="s">
        <v>526</v>
      </c>
      <c r="L6" s="2116"/>
      <c r="M6" s="2115"/>
      <c r="N6" s="2115"/>
      <c r="O6" s="2117"/>
      <c r="P6" s="3376" t="s">
        <v>527</v>
      </c>
      <c r="Q6" s="3377"/>
      <c r="R6" s="3382" t="s">
        <v>523</v>
      </c>
      <c r="S6" s="3383"/>
      <c r="T6" s="3382" t="s">
        <v>524</v>
      </c>
      <c r="U6" s="3383"/>
      <c r="V6" s="3369" t="s">
        <v>525</v>
      </c>
      <c r="W6" s="3369"/>
      <c r="X6" s="1553"/>
      <c r="Y6" s="3382" t="s">
        <v>527</v>
      </c>
      <c r="Z6" s="3383"/>
      <c r="AA6" s="3371" t="s">
        <v>523</v>
      </c>
      <c r="AB6" s="3372" t="s">
        <v>524</v>
      </c>
      <c r="AC6" s="3371" t="s">
        <v>525</v>
      </c>
    </row>
    <row r="7" spans="1:30" ht="42.75" customHeight="1">
      <c r="A7" s="515"/>
      <c r="B7" s="516"/>
      <c r="C7" s="3390" t="s">
        <v>2920</v>
      </c>
      <c r="D7" s="3391"/>
      <c r="E7" s="3390" t="str">
        <f>土地案例!A17</f>
        <v>大冶湖核心区金城大道以东经四路以南园博路以北711、712、715地块</v>
      </c>
      <c r="F7" s="3391"/>
      <c r="G7" s="3390" t="str">
        <f>土地案例!A20</f>
        <v>大冶湖核心区金城大道以东经三路以北701、702、703地块</v>
      </c>
      <c r="H7" s="3391"/>
      <c r="I7" s="3390" t="str">
        <f>土地案例!A14</f>
        <v>镇南路以东王贵二棋还建点以北</v>
      </c>
      <c r="J7" s="3391"/>
      <c r="K7" s="514"/>
      <c r="L7" s="2116"/>
      <c r="M7" s="2115"/>
      <c r="N7" s="2115"/>
      <c r="O7" s="2117"/>
      <c r="P7" s="3378"/>
      <c r="Q7" s="3379"/>
      <c r="R7" s="3384"/>
      <c r="S7" s="3385"/>
      <c r="T7" s="3384"/>
      <c r="U7" s="3385"/>
      <c r="V7" s="3369"/>
      <c r="W7" s="3369"/>
      <c r="X7" s="1553"/>
      <c r="Y7" s="3384"/>
      <c r="Z7" s="3385"/>
      <c r="AA7" s="3372"/>
      <c r="AB7" s="3372"/>
      <c r="AC7" s="3372"/>
    </row>
    <row r="8" spans="1:30" ht="21" thickBot="1">
      <c r="A8" s="515"/>
      <c r="B8" s="516"/>
      <c r="C8" s="3392" t="s">
        <v>2924</v>
      </c>
      <c r="D8" s="3393"/>
      <c r="E8" s="3392" t="s">
        <v>2924</v>
      </c>
      <c r="F8" s="3393"/>
      <c r="G8" s="3388" t="s">
        <v>2924</v>
      </c>
      <c r="H8" s="3389"/>
      <c r="I8" s="3388" t="s">
        <v>2924</v>
      </c>
      <c r="J8" s="3389"/>
      <c r="K8" s="514" t="s">
        <v>528</v>
      </c>
      <c r="L8" s="2116"/>
      <c r="M8" s="2115"/>
      <c r="N8" s="2115"/>
      <c r="O8" s="2117"/>
      <c r="P8" s="3380"/>
      <c r="Q8" s="3381"/>
      <c r="R8" s="3384"/>
      <c r="S8" s="3385"/>
      <c r="T8" s="3386"/>
      <c r="U8" s="3387"/>
      <c r="V8" s="3369"/>
      <c r="W8" s="3369"/>
      <c r="X8" s="1553"/>
      <c r="Y8" s="3386"/>
      <c r="Z8" s="3387"/>
      <c r="AA8" s="3373"/>
      <c r="AB8" s="3373"/>
      <c r="AC8" s="3373"/>
    </row>
    <row r="9" spans="1:30" s="1215" customFormat="1" ht="21" thickBot="1">
      <c r="A9" s="2865"/>
      <c r="B9" s="2872" t="s">
        <v>529</v>
      </c>
      <c r="C9" s="2864">
        <f>'数据-取费表'!B2</f>
        <v>43663</v>
      </c>
      <c r="D9" s="520">
        <v>100</v>
      </c>
      <c r="E9" s="521" t="str">
        <f>土地案例!H17</f>
        <v>2018-12-18</v>
      </c>
      <c r="F9" s="522">
        <f>SUMIF(72:72,YEAR(E9)&amp;"-"&amp;INT((MONTH(E9)+2)/3),73:73)</f>
        <v>98.5</v>
      </c>
      <c r="G9" s="523" t="str">
        <f>土地案例!H20</f>
        <v>2018-12-18</v>
      </c>
      <c r="H9" s="520">
        <f>SUMIF(72:72,YEAR(G9)&amp;"-"&amp;INT((MONTH(G9)+2)/3),73:73)</f>
        <v>98.5</v>
      </c>
      <c r="I9" s="523" t="str">
        <f>土地案例!H14</f>
        <v>2018-12-30</v>
      </c>
      <c r="J9" s="520">
        <f>SUMIF(72:72,YEAR(I9)&amp;"-"&amp;INT((MONTH(I9)+2)/3),73:73)</f>
        <v>98.5</v>
      </c>
      <c r="K9" s="524"/>
      <c r="L9" s="2118"/>
      <c r="M9" s="2115"/>
      <c r="N9" s="2115"/>
      <c r="O9" s="2119"/>
      <c r="P9" s="3399" t="s">
        <v>530</v>
      </c>
      <c r="Q9" s="3401"/>
      <c r="R9" s="1554" t="s">
        <v>8</v>
      </c>
      <c r="S9" s="1555">
        <f t="shared" ref="S9:S17" si="0">F9</f>
        <v>98.5</v>
      </c>
      <c r="T9" s="1554" t="s">
        <v>8</v>
      </c>
      <c r="U9" s="1555">
        <f t="shared" ref="U9:U17" si="1">H9</f>
        <v>98.5</v>
      </c>
      <c r="V9" s="1554" t="s">
        <v>8</v>
      </c>
      <c r="W9" s="1555">
        <f t="shared" ref="W9:W17" si="2">J9</f>
        <v>98.5</v>
      </c>
      <c r="X9" s="1556"/>
      <c r="Y9" s="3399" t="s">
        <v>530</v>
      </c>
      <c r="Z9" s="3400"/>
      <c r="AA9" s="1557">
        <f>D9/F9</f>
        <v>1.015228426395939</v>
      </c>
      <c r="AB9" s="1557">
        <f>D9/H9</f>
        <v>1.015228426395939</v>
      </c>
      <c r="AC9" s="1557">
        <f>D9/J9</f>
        <v>1.015228426395939</v>
      </c>
    </row>
    <row r="10" spans="1:30" s="1215" customFormat="1" ht="21" thickBot="1">
      <c r="A10" s="2866"/>
      <c r="B10" s="2873" t="s">
        <v>531</v>
      </c>
      <c r="C10" s="856" t="s">
        <v>532</v>
      </c>
      <c r="D10" s="520">
        <v>100</v>
      </c>
      <c r="E10" s="525" t="s">
        <v>3189</v>
      </c>
      <c r="F10" s="522">
        <f>SUMIF(75:75,E10,76:76)-SUMIF(75:75,C10,76:76)+100</f>
        <v>100</v>
      </c>
      <c r="G10" s="525" t="s">
        <v>3189</v>
      </c>
      <c r="H10" s="520">
        <f>SUMIF(75:75,G10,76:76)-SUMIF(75:75,C10,76:76)+100</f>
        <v>100</v>
      </c>
      <c r="I10" s="525" t="s">
        <v>3189</v>
      </c>
      <c r="J10" s="520">
        <f>SUMIF(75:75,I10,76:76)-SUMIF(75:75,C10,76:76)+100</f>
        <v>100</v>
      </c>
      <c r="K10" s="524"/>
      <c r="L10" s="2118"/>
      <c r="M10" s="2115"/>
      <c r="N10" s="2115"/>
      <c r="O10" s="2119"/>
      <c r="P10" s="3399" t="s">
        <v>533</v>
      </c>
      <c r="Q10" s="3400"/>
      <c r="R10" s="1554" t="s">
        <v>8</v>
      </c>
      <c r="S10" s="1555">
        <f t="shared" si="0"/>
        <v>100</v>
      </c>
      <c r="T10" s="1554" t="s">
        <v>8</v>
      </c>
      <c r="U10" s="1555">
        <f t="shared" si="1"/>
        <v>100</v>
      </c>
      <c r="V10" s="1554" t="s">
        <v>8</v>
      </c>
      <c r="W10" s="1555">
        <f t="shared" si="2"/>
        <v>100</v>
      </c>
      <c r="X10" s="1556"/>
      <c r="Y10" s="3399" t="s">
        <v>533</v>
      </c>
      <c r="Z10" s="3400"/>
      <c r="AA10" s="1557">
        <f t="shared" ref="AA10:AA47" si="3">D10/F10</f>
        <v>1</v>
      </c>
      <c r="AB10" s="1557">
        <f t="shared" ref="AB10:AB47" si="4">D10/H10</f>
        <v>1</v>
      </c>
      <c r="AC10" s="1557">
        <f t="shared" ref="AC10:AC47" si="5">D10/J10</f>
        <v>1</v>
      </c>
    </row>
    <row r="11" spans="1:30" s="1215" customFormat="1" ht="20.25">
      <c r="A11" s="2867"/>
      <c r="B11" s="2874" t="s">
        <v>2754</v>
      </c>
      <c r="C11" s="2861" t="s">
        <v>3000</v>
      </c>
      <c r="D11" s="254">
        <v>100</v>
      </c>
      <c r="E11" s="526" t="s">
        <v>922</v>
      </c>
      <c r="F11" s="254">
        <f>SUMIF(77:77,E11,78:78)-SUMIF(77:77,C11,78:78)+100</f>
        <v>99</v>
      </c>
      <c r="G11" s="526" t="s">
        <v>922</v>
      </c>
      <c r="H11" s="254">
        <f>SUMIF(77:77,G11,78:78)-SUMIF(77:77,C11,78:78)+100</f>
        <v>99</v>
      </c>
      <c r="I11" s="526" t="s">
        <v>922</v>
      </c>
      <c r="J11" s="254">
        <f>SUMIF(77:77,I11,78:78)-SUMIF(77:77,C11,78:78)+100</f>
        <v>99</v>
      </c>
      <c r="K11" s="524"/>
      <c r="L11" s="2118"/>
      <c r="M11" s="2115"/>
      <c r="N11" s="2115"/>
      <c r="O11" s="2120"/>
      <c r="P11" s="3368" t="s">
        <v>535</v>
      </c>
      <c r="Q11" s="1146" t="str">
        <f t="shared" ref="Q11:Q17" si="6">B11</f>
        <v>用途</v>
      </c>
      <c r="R11" s="1554" t="s">
        <v>8</v>
      </c>
      <c r="S11" s="1555">
        <f t="shared" si="0"/>
        <v>99</v>
      </c>
      <c r="T11" s="1554" t="s">
        <v>8</v>
      </c>
      <c r="U11" s="1555">
        <f t="shared" si="1"/>
        <v>99</v>
      </c>
      <c r="V11" s="1554" t="s">
        <v>8</v>
      </c>
      <c r="W11" s="1555">
        <f t="shared" si="2"/>
        <v>99</v>
      </c>
      <c r="X11" s="1556"/>
      <c r="Y11" s="3314" t="s">
        <v>536</v>
      </c>
      <c r="Z11" s="1145" t="str">
        <f t="shared" ref="Z11:Z17" si="7">Q11</f>
        <v>用途</v>
      </c>
      <c r="AA11" s="1557">
        <f t="shared" si="3"/>
        <v>1.0101010101010102</v>
      </c>
      <c r="AB11" s="1557">
        <f t="shared" si="4"/>
        <v>1.0101010101010102</v>
      </c>
      <c r="AC11" s="1557">
        <f t="shared" si="5"/>
        <v>1.0101010101010102</v>
      </c>
    </row>
    <row r="12" spans="1:30" s="1333" customFormat="1" ht="28.5">
      <c r="A12" s="2868"/>
      <c r="B12" s="2873" t="s">
        <v>2755</v>
      </c>
      <c r="C12" s="910" t="str">
        <f>项目基本情况!D20</f>
        <v>住宅68.5年、商业38.5年</v>
      </c>
      <c r="D12" s="255">
        <v>100</v>
      </c>
      <c r="E12" s="529" t="s">
        <v>3190</v>
      </c>
      <c r="F12" s="255">
        <f>ROUND(100/'数据-取费表'!G16,0)</f>
        <v>100</v>
      </c>
      <c r="G12" s="530" t="s">
        <v>3190</v>
      </c>
      <c r="H12" s="255">
        <f>ROUND(100/'数据-取费表'!G16,0)</f>
        <v>100</v>
      </c>
      <c r="I12" s="530" t="s">
        <v>3190</v>
      </c>
      <c r="J12" s="255">
        <f>ROUND(100/'数据-取费表'!G16,0)</f>
        <v>100</v>
      </c>
      <c r="K12" s="531"/>
      <c r="L12" s="2121"/>
      <c r="M12" s="2115"/>
      <c r="N12" s="2115"/>
      <c r="O12" s="2122"/>
      <c r="P12" s="3368"/>
      <c r="Q12" s="1146" t="str">
        <f t="shared" si="6"/>
        <v>土地使用年限（年）</v>
      </c>
      <c r="R12" s="1554" t="s">
        <v>8</v>
      </c>
      <c r="S12" s="1555">
        <f t="shared" si="0"/>
        <v>100</v>
      </c>
      <c r="T12" s="1554" t="s">
        <v>8</v>
      </c>
      <c r="U12" s="1555">
        <f t="shared" si="1"/>
        <v>100</v>
      </c>
      <c r="V12" s="1554" t="s">
        <v>8</v>
      </c>
      <c r="W12" s="1555">
        <f t="shared" si="2"/>
        <v>100</v>
      </c>
      <c r="X12" s="1556"/>
      <c r="Y12" s="3314"/>
      <c r="Z12" s="1145" t="str">
        <f t="shared" si="7"/>
        <v>土地使用年限（年）</v>
      </c>
      <c r="AA12" s="1557">
        <f t="shared" si="3"/>
        <v>1</v>
      </c>
      <c r="AB12" s="1557">
        <f t="shared" si="4"/>
        <v>1</v>
      </c>
      <c r="AC12" s="1557">
        <f t="shared" si="5"/>
        <v>1</v>
      </c>
    </row>
    <row r="13" spans="1:30" ht="20.25">
      <c r="A13" s="2869"/>
      <c r="B13" s="2873" t="s">
        <v>2756</v>
      </c>
      <c r="C13" s="534">
        <f>'数据-汇总表'!I6</f>
        <v>2.5</v>
      </c>
      <c r="D13" s="255">
        <v>100</v>
      </c>
      <c r="E13" s="533">
        <v>2</v>
      </c>
      <c r="F13" s="255">
        <f>LOOKUP(E13,82:82,83:83)-LOOKUP(C13,82:82,83:83)+100</f>
        <v>100</v>
      </c>
      <c r="G13" s="534">
        <v>1.9</v>
      </c>
      <c r="H13" s="255">
        <f>LOOKUP(G13,82:82,83:83)-LOOKUP(C13,82:82,83:83)+100</f>
        <v>103</v>
      </c>
      <c r="I13" s="533">
        <v>2.5</v>
      </c>
      <c r="J13" s="255">
        <f>LOOKUP(I13,82:82,83:83)-LOOKUP(C13,82:82,83:83)+100</f>
        <v>100</v>
      </c>
      <c r="K13" s="535">
        <v>3</v>
      </c>
      <c r="L13" s="2123"/>
      <c r="M13" s="2115"/>
      <c r="N13" s="2115"/>
      <c r="O13" s="2124"/>
      <c r="P13" s="3368"/>
      <c r="Q13" s="1146" t="str">
        <f t="shared" si="6"/>
        <v>容积率</v>
      </c>
      <c r="R13" s="1554" t="s">
        <v>8</v>
      </c>
      <c r="S13" s="1555">
        <f t="shared" si="0"/>
        <v>100</v>
      </c>
      <c r="T13" s="1554" t="s">
        <v>8</v>
      </c>
      <c r="U13" s="1555">
        <f t="shared" si="1"/>
        <v>103</v>
      </c>
      <c r="V13" s="1554" t="s">
        <v>8</v>
      </c>
      <c r="W13" s="1555">
        <f t="shared" si="2"/>
        <v>100</v>
      </c>
      <c r="X13" s="1556"/>
      <c r="Y13" s="3314"/>
      <c r="Z13" s="1145" t="str">
        <f t="shared" si="7"/>
        <v>容积率</v>
      </c>
      <c r="AA13" s="1557">
        <f t="shared" si="3"/>
        <v>1</v>
      </c>
      <c r="AB13" s="1557">
        <f t="shared" si="4"/>
        <v>0.970873786407767</v>
      </c>
      <c r="AC13" s="1557">
        <f t="shared" si="5"/>
        <v>1</v>
      </c>
    </row>
    <row r="14" spans="1:30" s="1215" customFormat="1" ht="20.25">
      <c r="A14" s="2866"/>
      <c r="B14" s="2875" t="s">
        <v>2757</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68"/>
      <c r="Q14" s="1146" t="str">
        <f t="shared" si="6"/>
        <v>配建</v>
      </c>
      <c r="R14" s="1554" t="s">
        <v>8</v>
      </c>
      <c r="S14" s="1555">
        <f t="shared" si="0"/>
        <v>100</v>
      </c>
      <c r="T14" s="1554" t="s">
        <v>8</v>
      </c>
      <c r="U14" s="1555">
        <f t="shared" si="1"/>
        <v>100</v>
      </c>
      <c r="V14" s="1554" t="s">
        <v>8</v>
      </c>
      <c r="W14" s="1555">
        <f t="shared" si="2"/>
        <v>100</v>
      </c>
      <c r="X14" s="1556"/>
      <c r="Y14" s="3314"/>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68"/>
      <c r="Q15" s="1146">
        <f t="shared" si="6"/>
        <v>111</v>
      </c>
      <c r="R15" s="1554" t="s">
        <v>8</v>
      </c>
      <c r="S15" s="1555">
        <f t="shared" si="0"/>
        <v>100</v>
      </c>
      <c r="T15" s="1554" t="s">
        <v>8</v>
      </c>
      <c r="U15" s="1555">
        <f t="shared" si="1"/>
        <v>100</v>
      </c>
      <c r="V15" s="1554" t="s">
        <v>8</v>
      </c>
      <c r="W15" s="1555">
        <f t="shared" si="2"/>
        <v>100</v>
      </c>
      <c r="X15" s="1556"/>
      <c r="Y15" s="3314"/>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68"/>
      <c r="Q16" s="1146">
        <f t="shared" si="6"/>
        <v>111</v>
      </c>
      <c r="R16" s="1554" t="s">
        <v>8</v>
      </c>
      <c r="S16" s="1555">
        <f t="shared" si="0"/>
        <v>100</v>
      </c>
      <c r="T16" s="1554" t="s">
        <v>8</v>
      </c>
      <c r="U16" s="1555">
        <f t="shared" si="1"/>
        <v>100</v>
      </c>
      <c r="V16" s="1554" t="s">
        <v>8</v>
      </c>
      <c r="W16" s="1555">
        <f t="shared" si="2"/>
        <v>100</v>
      </c>
      <c r="X16" s="1556"/>
      <c r="Y16" s="3314"/>
      <c r="Z16" s="1145">
        <f t="shared" si="7"/>
        <v>111</v>
      </c>
      <c r="AA16" s="1557">
        <f>D16/F16</f>
        <v>1</v>
      </c>
      <c r="AB16" s="1557">
        <f>D16/H16</f>
        <v>1</v>
      </c>
      <c r="AC16" s="1557">
        <f>D16/J16</f>
        <v>1</v>
      </c>
    </row>
    <row r="17" spans="1:29" ht="85.5">
      <c r="A17" s="2863" t="s">
        <v>2752</v>
      </c>
      <c r="B17" s="578" t="s">
        <v>295</v>
      </c>
      <c r="C17" s="548" t="str">
        <f>估价对象房地状况!C15</f>
        <v>估价对象周边居住社区较少，规模一般，入住率较差，综合评价居住社区成熟度较差。</v>
      </c>
      <c r="D17" s="551">
        <v>100</v>
      </c>
      <c r="E17" s="3191" t="s">
        <v>3314</v>
      </c>
      <c r="F17" s="549">
        <f>SUMIF(90:90,E18,91:91)-SUMIF(90:90,C18,91:91)+100</f>
        <v>100</v>
      </c>
      <c r="G17" s="3191" t="s">
        <v>3201</v>
      </c>
      <c r="H17" s="549">
        <f>SUMIF(90:90,G18,91:91)-SUMIF(90:90,C18,91:91)+100</f>
        <v>100</v>
      </c>
      <c r="I17" s="3191"/>
      <c r="J17" s="549">
        <f>SUMIF(90:90,I18,91:91)-SUMIF(90:90,C18,91:91)+100</f>
        <v>102</v>
      </c>
      <c r="K17" s="535">
        <v>1</v>
      </c>
      <c r="L17" s="2125"/>
      <c r="M17" s="2115"/>
      <c r="N17" s="2115"/>
      <c r="O17" s="2124"/>
      <c r="P17" s="3402" t="s">
        <v>540</v>
      </c>
      <c r="Q17" s="1558" t="str">
        <f t="shared" si="6"/>
        <v>居住社区成熟度</v>
      </c>
      <c r="R17" s="1559" t="s">
        <v>8</v>
      </c>
      <c r="S17" s="1560">
        <f t="shared" si="0"/>
        <v>100</v>
      </c>
      <c r="T17" s="1559" t="s">
        <v>8</v>
      </c>
      <c r="U17" s="1560">
        <f t="shared" si="1"/>
        <v>100</v>
      </c>
      <c r="V17" s="1559" t="s">
        <v>8</v>
      </c>
      <c r="W17" s="1560">
        <f t="shared" si="2"/>
        <v>102</v>
      </c>
      <c r="X17" s="1553"/>
      <c r="Y17" s="3402" t="s">
        <v>540</v>
      </c>
      <c r="Z17" s="1561" t="str">
        <f t="shared" si="7"/>
        <v>居住社区成熟度</v>
      </c>
      <c r="AA17" s="1562">
        <f t="shared" si="3"/>
        <v>1</v>
      </c>
      <c r="AB17" s="1562">
        <f t="shared" si="4"/>
        <v>1</v>
      </c>
      <c r="AC17" s="1562">
        <f t="shared" si="5"/>
        <v>0.98039215686274506</v>
      </c>
    </row>
    <row r="18" spans="1:29" ht="20.25">
      <c r="A18" s="532"/>
      <c r="B18" s="553"/>
      <c r="C18" s="554" t="s">
        <v>3185</v>
      </c>
      <c r="D18" s="557"/>
      <c r="E18" s="558" t="s">
        <v>3185</v>
      </c>
      <c r="F18" s="555"/>
      <c r="G18" s="556" t="s">
        <v>3185</v>
      </c>
      <c r="H18" s="559"/>
      <c r="I18" s="558" t="s">
        <v>3181</v>
      </c>
      <c r="J18" s="555"/>
      <c r="K18" s="531"/>
      <c r="L18" s="2125"/>
      <c r="M18" s="2115"/>
      <c r="N18" s="2115"/>
      <c r="O18" s="2124"/>
      <c r="P18" s="3403"/>
      <c r="Q18" s="1558"/>
      <c r="R18" s="1559"/>
      <c r="S18" s="1560"/>
      <c r="T18" s="1559"/>
      <c r="U18" s="1560"/>
      <c r="V18" s="1559"/>
      <c r="W18" s="1560"/>
      <c r="X18" s="1553"/>
      <c r="Y18" s="3403"/>
      <c r="Z18" s="1561"/>
      <c r="AA18" s="1562">
        <v>1</v>
      </c>
      <c r="AB18" s="1562">
        <v>1</v>
      </c>
      <c r="AC18" s="1562">
        <v>1</v>
      </c>
    </row>
    <row r="19" spans="1:29" ht="71.25">
      <c r="A19" s="532"/>
      <c r="B19" s="560" t="s">
        <v>541</v>
      </c>
      <c r="C19" s="561" t="str">
        <f>估价对象房地状况!C16</f>
        <v>估价对象周边商业氛围成熟度较差，人流量一般，商业繁华度较差。</v>
      </c>
      <c r="D19" s="563">
        <v>100</v>
      </c>
      <c r="E19" s="3192" t="s">
        <v>3202</v>
      </c>
      <c r="F19" s="559">
        <f>SUMIF(92:92,E20,93:93)-SUMIF(92:92,C20,93:93)+100</f>
        <v>100</v>
      </c>
      <c r="G19" s="3192" t="s">
        <v>3202</v>
      </c>
      <c r="H19" s="565">
        <f>SUMIF(92:92,G20,93:93)-SUMIF(92:92,C20,93:93)+100</f>
        <v>100</v>
      </c>
      <c r="I19" s="3192"/>
      <c r="J19" s="565">
        <f>SUMIF(92:92,I20,93:93)-SUMIF(92:92,C20,93:93)+100</f>
        <v>102</v>
      </c>
      <c r="K19" s="535">
        <v>1</v>
      </c>
      <c r="L19" s="2125"/>
      <c r="M19" s="2115"/>
      <c r="N19" s="2115"/>
      <c r="O19" s="2124"/>
      <c r="P19" s="3403"/>
      <c r="Q19" s="1558" t="str">
        <f>B19</f>
        <v>商业繁华度</v>
      </c>
      <c r="R19" s="1559" t="s">
        <v>8</v>
      </c>
      <c r="S19" s="1560">
        <f>F19</f>
        <v>100</v>
      </c>
      <c r="T19" s="1559" t="s">
        <v>8</v>
      </c>
      <c r="U19" s="1560">
        <f>H19</f>
        <v>100</v>
      </c>
      <c r="V19" s="1559" t="s">
        <v>8</v>
      </c>
      <c r="W19" s="1560">
        <f>J19</f>
        <v>102</v>
      </c>
      <c r="X19" s="1553"/>
      <c r="Y19" s="3403"/>
      <c r="Z19" s="1561" t="str">
        <f>Q19</f>
        <v>商业繁华度</v>
      </c>
      <c r="AA19" s="1562">
        <f t="shared" si="3"/>
        <v>1</v>
      </c>
      <c r="AB19" s="1562">
        <f t="shared" si="4"/>
        <v>1</v>
      </c>
      <c r="AC19" s="1562">
        <f t="shared" si="5"/>
        <v>0.98039215686274506</v>
      </c>
    </row>
    <row r="20" spans="1:29" ht="20.25">
      <c r="A20" s="532"/>
      <c r="B20" s="566"/>
      <c r="C20" s="567" t="s">
        <v>3185</v>
      </c>
      <c r="D20" s="563"/>
      <c r="E20" s="569" t="s">
        <v>3185</v>
      </c>
      <c r="F20" s="559"/>
      <c r="G20" s="568" t="s">
        <v>3185</v>
      </c>
      <c r="H20" s="555"/>
      <c r="I20" s="569" t="s">
        <v>3181</v>
      </c>
      <c r="J20" s="555"/>
      <c r="K20" s="531"/>
      <c r="L20" s="2125"/>
      <c r="M20" s="2115"/>
      <c r="N20" s="2115"/>
      <c r="O20" s="2124"/>
      <c r="P20" s="3403"/>
      <c r="Q20" s="1558"/>
      <c r="R20" s="1559"/>
      <c r="S20" s="1560"/>
      <c r="T20" s="1559"/>
      <c r="U20" s="1560"/>
      <c r="V20" s="1559"/>
      <c r="W20" s="1560"/>
      <c r="X20" s="1553"/>
      <c r="Y20" s="3403"/>
      <c r="Z20" s="1561"/>
      <c r="AA20" s="1562">
        <v>1</v>
      </c>
      <c r="AB20" s="1562">
        <v>1</v>
      </c>
      <c r="AC20" s="1562">
        <v>1</v>
      </c>
    </row>
    <row r="21" spans="1:29" ht="20.25">
      <c r="A21" s="532"/>
      <c r="B21" s="560" t="s">
        <v>542</v>
      </c>
      <c r="C21" s="561" t="str">
        <f>估价对象房地状况!C17</f>
        <v>——</v>
      </c>
      <c r="D21" s="571">
        <v>100</v>
      </c>
      <c r="E21" s="572" t="s">
        <v>3203</v>
      </c>
      <c r="F21" s="565">
        <f>SUMIF(94:94,E22,95:95)-SUMIF(94:94,C22,95:95)+100</f>
        <v>100</v>
      </c>
      <c r="G21" s="570" t="s">
        <v>3203</v>
      </c>
      <c r="H21" s="559">
        <f>SUMIF(94:94,G22,95:95)-SUMIF(94:94,C22,95:95)+100</f>
        <v>100</v>
      </c>
      <c r="I21" s="572" t="s">
        <v>3204</v>
      </c>
      <c r="J21" s="559">
        <f>SUMIF(94:94,I22,95:95)-SUMIF(94:94,C22,95:95)+100</f>
        <v>100</v>
      </c>
      <c r="K21" s="535">
        <v>0</v>
      </c>
      <c r="L21" s="2125"/>
      <c r="M21" s="2115"/>
      <c r="N21" s="2115"/>
      <c r="O21" s="2124"/>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03"/>
      <c r="Q22" s="1558"/>
      <c r="R22" s="1559"/>
      <c r="S22" s="1560"/>
      <c r="T22" s="1559"/>
      <c r="U22" s="1560"/>
      <c r="V22" s="1559"/>
      <c r="W22" s="1560"/>
      <c r="X22" s="1553"/>
      <c r="Y22" s="3403"/>
      <c r="Z22" s="1561"/>
      <c r="AA22" s="1562">
        <v>1</v>
      </c>
      <c r="AB22" s="1562">
        <v>1</v>
      </c>
      <c r="AC22" s="1562">
        <v>1</v>
      </c>
    </row>
    <row r="23" spans="1:29" ht="114">
      <c r="A23" s="532"/>
      <c r="B23" s="560" t="s">
        <v>543</v>
      </c>
      <c r="C23" s="573" t="str">
        <f>估价对象房地状况!C18</f>
        <v>估价对象周边有32路、46路、309路等多条公交线路，路网密集度一般，停车便捷程度一般，综合评价交通便捷度一般。</v>
      </c>
      <c r="D23" s="563">
        <v>100</v>
      </c>
      <c r="E23" s="564" t="s">
        <v>3205</v>
      </c>
      <c r="F23" s="565">
        <f>SUMIF(96:96,E24,97:97)-SUMIF(96:96,C24,97:97)+100</f>
        <v>100</v>
      </c>
      <c r="G23" s="562" t="s">
        <v>3211</v>
      </c>
      <c r="H23" s="559">
        <f>SUMIF(96:96,G24,97:97)-SUMIF(96:96,C24,97:97)+100</f>
        <v>100</v>
      </c>
      <c r="I23" s="564"/>
      <c r="J23" s="559">
        <f>SUMIF(96:96,I24,97:97)-SUMIF(96:96,C24,97:97)+100</f>
        <v>102</v>
      </c>
      <c r="K23" s="535">
        <v>2</v>
      </c>
      <c r="L23" s="2125"/>
      <c r="M23" s="2115"/>
      <c r="N23" s="2115"/>
      <c r="O23" s="2124"/>
      <c r="P23" s="3403"/>
      <c r="Q23" s="1558" t="str">
        <f>B23</f>
        <v>交通便捷度</v>
      </c>
      <c r="R23" s="1559" t="s">
        <v>8</v>
      </c>
      <c r="S23" s="1560">
        <f>F23</f>
        <v>100</v>
      </c>
      <c r="T23" s="1559" t="s">
        <v>8</v>
      </c>
      <c r="U23" s="1560">
        <f>H23</f>
        <v>100</v>
      </c>
      <c r="V23" s="1559" t="s">
        <v>8</v>
      </c>
      <c r="W23" s="1560">
        <f>J23</f>
        <v>102</v>
      </c>
      <c r="X23" s="1553"/>
      <c r="Y23" s="3403"/>
      <c r="Z23" s="1561" t="str">
        <f>Q23</f>
        <v>交通便捷度</v>
      </c>
      <c r="AA23" s="1562">
        <f t="shared" si="3"/>
        <v>1</v>
      </c>
      <c r="AB23" s="1562">
        <f t="shared" si="4"/>
        <v>1</v>
      </c>
      <c r="AC23" s="1562">
        <f t="shared" si="5"/>
        <v>0.98039215686274506</v>
      </c>
    </row>
    <row r="24" spans="1:29" ht="20.25">
      <c r="A24" s="532"/>
      <c r="B24" s="578"/>
      <c r="C24" s="554" t="s">
        <v>3183</v>
      </c>
      <c r="D24" s="557"/>
      <c r="E24" s="558" t="s">
        <v>3183</v>
      </c>
      <c r="F24" s="555"/>
      <c r="G24" s="556" t="s">
        <v>3183</v>
      </c>
      <c r="H24" s="555"/>
      <c r="I24" s="558" t="s">
        <v>3181</v>
      </c>
      <c r="J24" s="555"/>
      <c r="K24" s="531"/>
      <c r="L24" s="2125"/>
      <c r="M24" s="2115"/>
      <c r="N24" s="2115"/>
      <c r="O24" s="2124"/>
      <c r="P24" s="3403"/>
      <c r="Q24" s="1558"/>
      <c r="R24" s="1559"/>
      <c r="S24" s="1560"/>
      <c r="T24" s="1559"/>
      <c r="U24" s="1560"/>
      <c r="V24" s="1559"/>
      <c r="W24" s="1560"/>
      <c r="X24" s="1553"/>
      <c r="Y24" s="3403"/>
      <c r="Z24" s="1561"/>
      <c r="AA24" s="1562">
        <v>1</v>
      </c>
      <c r="AB24" s="1562">
        <v>1</v>
      </c>
      <c r="AC24" s="1562">
        <v>1</v>
      </c>
    </row>
    <row r="25" spans="1:29" ht="42.75">
      <c r="A25" s="515"/>
      <c r="B25" s="259" t="s">
        <v>544</v>
      </c>
      <c r="C25" s="573" t="str">
        <f>估价对象房地状况!C19</f>
        <v>零星有其他用地，对本宗地无不利影响。</v>
      </c>
      <c r="D25" s="563">
        <v>100</v>
      </c>
      <c r="E25" s="564" t="s">
        <v>3197</v>
      </c>
      <c r="F25" s="565">
        <f>SUMIF(98:98,E26,99:99)-SUMIF(98:98,C26,99:99)+100</f>
        <v>100</v>
      </c>
      <c r="G25" s="562" t="s">
        <v>3197</v>
      </c>
      <c r="H25" s="559">
        <f>SUMIF(98:98,G26,99:99)-SUMIF(98:98,C26,99:99)+100</f>
        <v>100</v>
      </c>
      <c r="I25" s="564" t="s">
        <v>3197</v>
      </c>
      <c r="J25" s="559">
        <f>SUMIF(98:98,I26,99:99)-SUMIF(98:98,C26,99:99)+100</f>
        <v>100</v>
      </c>
      <c r="K25" s="535">
        <v>2</v>
      </c>
      <c r="L25" s="2125"/>
      <c r="M25" s="2115"/>
      <c r="N25" s="2115"/>
      <c r="O25" s="2124"/>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0.25">
      <c r="A26" s="515"/>
      <c r="B26" s="1006"/>
      <c r="C26" s="554" t="s">
        <v>3181</v>
      </c>
      <c r="D26" s="557"/>
      <c r="E26" s="558" t="s">
        <v>3181</v>
      </c>
      <c r="F26" s="555"/>
      <c r="G26" s="556" t="s">
        <v>3181</v>
      </c>
      <c r="H26" s="555"/>
      <c r="I26" s="558" t="s">
        <v>3181</v>
      </c>
      <c r="J26" s="555"/>
      <c r="K26" s="531"/>
      <c r="L26" s="2125"/>
      <c r="M26" s="2115"/>
      <c r="N26" s="2115"/>
      <c r="O26" s="2124"/>
      <c r="P26" s="3403"/>
      <c r="Q26" s="1558"/>
      <c r="R26" s="1559"/>
      <c r="S26" s="1560"/>
      <c r="T26" s="1559"/>
      <c r="U26" s="1560"/>
      <c r="V26" s="1559"/>
      <c r="W26" s="1560"/>
      <c r="X26" s="1553"/>
      <c r="Y26" s="3403"/>
      <c r="Z26" s="1561"/>
      <c r="AA26" s="1562"/>
      <c r="AB26" s="1562"/>
      <c r="AC26" s="1562"/>
    </row>
    <row r="27" spans="1:29" ht="163.5" customHeight="1">
      <c r="A27" s="515"/>
      <c r="B27" s="578" t="s">
        <v>545</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3315</v>
      </c>
      <c r="F27" s="559">
        <f>SUMIF(100:100,E28,101:101)-SUMIF(100:100,C28,101:101)+100</f>
        <v>102</v>
      </c>
      <c r="G27" s="3190" t="s">
        <v>3315</v>
      </c>
      <c r="H27" s="559">
        <f>SUMIF(100:100,G28,101:101)-SUMIF(100:100,C28,101:101)+100</f>
        <v>102</v>
      </c>
      <c r="I27" s="3192"/>
      <c r="J27" s="559">
        <f>SUMIF(100:100,I28,101:101)-SUMIF(100:100,C28,101:101)+100</f>
        <v>102</v>
      </c>
      <c r="K27" s="535">
        <v>2</v>
      </c>
      <c r="L27" s="2125"/>
      <c r="M27" s="2115"/>
      <c r="N27" s="2115"/>
      <c r="O27" s="2124"/>
      <c r="P27" s="3403"/>
      <c r="Q27" s="1558" t="str">
        <f t="shared" si="8"/>
        <v>自然及人文环境状况</v>
      </c>
      <c r="R27" s="1559" t="s">
        <v>8</v>
      </c>
      <c r="S27" s="1560">
        <f>F27</f>
        <v>102</v>
      </c>
      <c r="T27" s="1559" t="s">
        <v>8</v>
      </c>
      <c r="U27" s="1560">
        <f>H27</f>
        <v>102</v>
      </c>
      <c r="V27" s="1559" t="s">
        <v>8</v>
      </c>
      <c r="W27" s="1560">
        <f>J27</f>
        <v>102</v>
      </c>
      <c r="X27" s="1553"/>
      <c r="Y27" s="3403"/>
      <c r="Z27" s="1561" t="str">
        <f>Q27</f>
        <v>自然及人文环境状况</v>
      </c>
      <c r="AA27" s="1562">
        <f t="shared" si="3"/>
        <v>0.98039215686274506</v>
      </c>
      <c r="AB27" s="1562">
        <f t="shared" si="4"/>
        <v>0.98039215686274506</v>
      </c>
      <c r="AC27" s="1562">
        <f t="shared" si="5"/>
        <v>0.98039215686274506</v>
      </c>
    </row>
    <row r="28" spans="1:29" ht="20.25">
      <c r="A28" s="515"/>
      <c r="B28" s="566"/>
      <c r="C28" s="554" t="s">
        <v>3183</v>
      </c>
      <c r="D28" s="557"/>
      <c r="E28" s="576" t="s">
        <v>3181</v>
      </c>
      <c r="F28" s="555"/>
      <c r="G28" s="554" t="s">
        <v>3181</v>
      </c>
      <c r="H28" s="555"/>
      <c r="I28" s="576" t="s">
        <v>3181</v>
      </c>
      <c r="J28" s="555"/>
      <c r="K28" s="531"/>
      <c r="L28" s="2125"/>
      <c r="M28" s="2115"/>
      <c r="N28" s="2115"/>
      <c r="O28" s="2124"/>
      <c r="P28" s="3403"/>
      <c r="Q28" s="1558"/>
      <c r="R28" s="1559"/>
      <c r="S28" s="1560"/>
      <c r="T28" s="1559"/>
      <c r="U28" s="1560"/>
      <c r="V28" s="1559"/>
      <c r="W28" s="1560"/>
      <c r="X28" s="1553"/>
      <c r="Y28" s="3403"/>
      <c r="Z28" s="1561"/>
      <c r="AA28" s="1562">
        <v>1</v>
      </c>
      <c r="AB28" s="1562">
        <v>1</v>
      </c>
      <c r="AC28" s="1562">
        <v>1</v>
      </c>
    </row>
    <row r="29" spans="1:29" s="1215" customFormat="1" ht="256.5">
      <c r="A29" s="577"/>
      <c r="B29" s="2553" t="s">
        <v>2546</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3207</v>
      </c>
      <c r="F29" s="559">
        <f>SUMIF(102:102,E30,103:103)-SUMIF(102:102,C30,103:103)+100</f>
        <v>97</v>
      </c>
      <c r="G29" s="3192" t="s">
        <v>3207</v>
      </c>
      <c r="H29" s="559">
        <f>SUMIF(102:102,G30,103:103)-SUMIF(102:102,C30,103:103)+100</f>
        <v>97</v>
      </c>
      <c r="I29" s="564"/>
      <c r="J29" s="559">
        <f>SUMIF(102:102,I30,103:103)-SUMIF(102:102,C30,103:103)+100</f>
        <v>100</v>
      </c>
      <c r="K29" s="535">
        <v>1</v>
      </c>
      <c r="L29" s="2118"/>
      <c r="M29" s="2115"/>
      <c r="N29" s="2115"/>
      <c r="O29" s="2120"/>
      <c r="P29" s="3403"/>
      <c r="Q29" s="1146" t="str">
        <f t="shared" si="8"/>
        <v>公共配套设施</v>
      </c>
      <c r="R29" s="1554" t="s">
        <v>8</v>
      </c>
      <c r="S29" s="1555">
        <f>F29</f>
        <v>97</v>
      </c>
      <c r="T29" s="1554" t="s">
        <v>8</v>
      </c>
      <c r="U29" s="1555">
        <f>H29</f>
        <v>97</v>
      </c>
      <c r="V29" s="1554" t="s">
        <v>8</v>
      </c>
      <c r="W29" s="1555">
        <f>J29</f>
        <v>100</v>
      </c>
      <c r="X29" s="1556"/>
      <c r="Y29" s="3403"/>
      <c r="Z29" s="1145" t="str">
        <f>Q29</f>
        <v>公共配套设施</v>
      </c>
      <c r="AA29" s="1562">
        <f>D29/F29</f>
        <v>1.0309278350515463</v>
      </c>
      <c r="AB29" s="1562">
        <f>D29/H29</f>
        <v>1.0309278350515463</v>
      </c>
      <c r="AC29" s="1562">
        <f>D29/J29</f>
        <v>1</v>
      </c>
    </row>
    <row r="30" spans="1:29" s="1215" customFormat="1" ht="20.25">
      <c r="A30" s="577"/>
      <c r="B30" s="566"/>
      <c r="C30" s="579" t="s">
        <v>3181</v>
      </c>
      <c r="D30" s="557"/>
      <c r="E30" s="576" t="s">
        <v>3187</v>
      </c>
      <c r="F30" s="555"/>
      <c r="G30" s="554" t="s">
        <v>3187</v>
      </c>
      <c r="H30" s="555"/>
      <c r="I30" s="576" t="s">
        <v>3181</v>
      </c>
      <c r="J30" s="555"/>
      <c r="K30" s="531"/>
      <c r="L30" s="2118"/>
      <c r="M30" s="2115"/>
      <c r="N30" s="2115"/>
      <c r="O30" s="2120"/>
      <c r="P30" s="3403"/>
      <c r="Q30" s="1146"/>
      <c r="R30" s="1554"/>
      <c r="S30" s="1555"/>
      <c r="T30" s="1554"/>
      <c r="U30" s="1555"/>
      <c r="V30" s="1554"/>
      <c r="W30" s="1555"/>
      <c r="X30" s="1556"/>
      <c r="Y30" s="3403"/>
      <c r="Z30" s="1145"/>
      <c r="AA30" s="1562">
        <v>1</v>
      </c>
      <c r="AB30" s="1562">
        <v>1</v>
      </c>
      <c r="AC30" s="1562">
        <v>1</v>
      </c>
    </row>
    <row r="31" spans="1:29" s="1215" customFormat="1" ht="42.75">
      <c r="A31" s="577"/>
      <c r="B31" s="2553" t="s">
        <v>2547</v>
      </c>
      <c r="C31" s="573" t="str">
        <f>估价对象房地状况!C22</f>
        <v>估价对象所在区域基础设施水平达“六通”。</v>
      </c>
      <c r="D31" s="563">
        <v>100</v>
      </c>
      <c r="E31" s="564" t="s">
        <v>3210</v>
      </c>
      <c r="F31" s="559">
        <f>SUMIF(104:104,E32,105:105)-SUMIF(104:104,C32,105:105)+100</f>
        <v>100</v>
      </c>
      <c r="G31" s="564" t="s">
        <v>3210</v>
      </c>
      <c r="H31" s="559">
        <f>SUMIF(104:104,G32,105:105)-SUMIF(104:104,C32,105:105)+100</f>
        <v>100</v>
      </c>
      <c r="I31" s="564" t="s">
        <v>3210</v>
      </c>
      <c r="J31" s="559">
        <f>SUMIF(104:104,I32,105:105)-SUMIF(104:104,C32,105:105)+100</f>
        <v>100</v>
      </c>
      <c r="K31" s="535">
        <v>2</v>
      </c>
      <c r="L31" s="2118"/>
      <c r="M31" s="2115"/>
      <c r="N31" s="2115"/>
      <c r="O31" s="2120"/>
      <c r="P31" s="3403"/>
      <c r="Q31" s="2540" t="str">
        <f t="shared" ref="Q31" si="9">B31</f>
        <v>基础设施水平</v>
      </c>
      <c r="R31" s="1554" t="s">
        <v>8</v>
      </c>
      <c r="S31" s="1555">
        <f>F31</f>
        <v>100</v>
      </c>
      <c r="T31" s="1554" t="s">
        <v>8</v>
      </c>
      <c r="U31" s="1555">
        <f>H31</f>
        <v>100</v>
      </c>
      <c r="V31" s="1554" t="s">
        <v>8</v>
      </c>
      <c r="W31" s="1555">
        <f>J31</f>
        <v>100</v>
      </c>
      <c r="X31" s="1556"/>
      <c r="Y31" s="3403"/>
      <c r="Z31" s="2537" t="str">
        <f>Q31</f>
        <v>基础设施水平</v>
      </c>
      <c r="AA31" s="1562">
        <f>D31/F31</f>
        <v>1</v>
      </c>
      <c r="AB31" s="1562">
        <f>D31/H31</f>
        <v>1</v>
      </c>
      <c r="AC31" s="1562">
        <f>D31/J31</f>
        <v>1</v>
      </c>
    </row>
    <row r="32" spans="1:29" s="1215" customFormat="1" ht="20.25">
      <c r="A32" s="577"/>
      <c r="B32" s="566"/>
      <c r="C32" s="579" t="s">
        <v>3174</v>
      </c>
      <c r="D32" s="557"/>
      <c r="E32" s="2554" t="s">
        <v>3174</v>
      </c>
      <c r="F32" s="555"/>
      <c r="G32" s="579" t="s">
        <v>3174</v>
      </c>
      <c r="H32" s="555"/>
      <c r="I32" s="579" t="s">
        <v>3174</v>
      </c>
      <c r="J32" s="555"/>
      <c r="K32" s="531"/>
      <c r="L32" s="2118"/>
      <c r="M32" s="2115"/>
      <c r="N32" s="2115"/>
      <c r="O32" s="2120"/>
      <c r="P32" s="3403"/>
      <c r="Q32" s="2540"/>
      <c r="R32" s="1554"/>
      <c r="S32" s="1555"/>
      <c r="T32" s="1554"/>
      <c r="U32" s="1555"/>
      <c r="V32" s="1554"/>
      <c r="W32" s="1555"/>
      <c r="X32" s="1556"/>
      <c r="Y32" s="3403"/>
      <c r="Z32" s="2537"/>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0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3"/>
      <c r="Z33" s="1561" t="str">
        <f t="shared" ref="Z33:Z47" si="13">Q33</f>
        <v>临街状况</v>
      </c>
      <c r="AA33" s="1562">
        <f t="shared" si="3"/>
        <v>1</v>
      </c>
      <c r="AB33" s="1562">
        <f t="shared" si="4"/>
        <v>1</v>
      </c>
      <c r="AC33" s="1562">
        <f t="shared" si="5"/>
        <v>1</v>
      </c>
    </row>
    <row r="34" spans="1:29" ht="27">
      <c r="A34" s="532"/>
      <c r="B34" s="578" t="s">
        <v>548</v>
      </c>
      <c r="C34" s="3190" t="s">
        <v>3200</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03"/>
      <c r="Q34" s="1558" t="str">
        <f t="shared" si="8"/>
        <v>毗邻道路的类型与等级</v>
      </c>
      <c r="R34" s="1559" t="s">
        <v>8</v>
      </c>
      <c r="S34" s="1560">
        <f t="shared" si="10"/>
        <v>100</v>
      </c>
      <c r="T34" s="1559" t="s">
        <v>8</v>
      </c>
      <c r="U34" s="1560">
        <f t="shared" si="11"/>
        <v>100</v>
      </c>
      <c r="V34" s="1559" t="s">
        <v>8</v>
      </c>
      <c r="W34" s="1560">
        <f t="shared" si="12"/>
        <v>100</v>
      </c>
      <c r="X34" s="1553"/>
      <c r="Y34" s="3403"/>
      <c r="Z34" s="1561" t="str">
        <f t="shared" si="13"/>
        <v>毗邻道路的类型与等级</v>
      </c>
      <c r="AA34" s="1562">
        <f t="shared" si="3"/>
        <v>1</v>
      </c>
      <c r="AB34" s="1562">
        <f t="shared" si="4"/>
        <v>1</v>
      </c>
      <c r="AC34" s="1562">
        <f t="shared" si="5"/>
        <v>1</v>
      </c>
    </row>
    <row r="35" spans="1:29" ht="20.25">
      <c r="A35" s="532"/>
      <c r="B35" s="566"/>
      <c r="C35" s="554" t="s">
        <v>3161</v>
      </c>
      <c r="D35" s="557"/>
      <c r="E35" s="576" t="s">
        <v>3161</v>
      </c>
      <c r="F35" s="555"/>
      <c r="G35" s="554" t="s">
        <v>3161</v>
      </c>
      <c r="H35" s="555"/>
      <c r="I35" s="576" t="s">
        <v>3161</v>
      </c>
      <c r="J35" s="555"/>
      <c r="K35" s="581"/>
      <c r="L35" s="2125"/>
      <c r="M35" s="2115"/>
      <c r="N35" s="2115"/>
      <c r="O35" s="2124"/>
      <c r="P35" s="3403"/>
      <c r="Q35" s="1558"/>
      <c r="R35" s="1559"/>
      <c r="S35" s="1560"/>
      <c r="T35" s="1559"/>
      <c r="U35" s="1560"/>
      <c r="V35" s="1559"/>
      <c r="W35" s="1560"/>
      <c r="X35" s="1553"/>
      <c r="Y35" s="340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3"/>
      <c r="Q37" s="1558">
        <f t="shared" si="8"/>
        <v>111</v>
      </c>
      <c r="R37" s="1559" t="s">
        <v>8</v>
      </c>
      <c r="S37" s="1560">
        <f t="shared" si="10"/>
        <v>100</v>
      </c>
      <c r="T37" s="1559" t="s">
        <v>8</v>
      </c>
      <c r="U37" s="1560">
        <f t="shared" si="11"/>
        <v>100</v>
      </c>
      <c r="V37" s="1559" t="s">
        <v>8</v>
      </c>
      <c r="W37" s="1560">
        <f t="shared" si="12"/>
        <v>100</v>
      </c>
      <c r="X37" s="1553"/>
      <c r="Y37" s="340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04" t="s">
        <v>550</v>
      </c>
      <c r="Q38" s="1558">
        <f t="shared" si="8"/>
        <v>111</v>
      </c>
      <c r="R38" s="1559" t="s">
        <v>8</v>
      </c>
      <c r="S38" s="1560">
        <f t="shared" si="10"/>
        <v>100</v>
      </c>
      <c r="T38" s="1559" t="s">
        <v>8</v>
      </c>
      <c r="U38" s="1560">
        <f t="shared" si="11"/>
        <v>100</v>
      </c>
      <c r="V38" s="1559" t="s">
        <v>8</v>
      </c>
      <c r="W38" s="1560">
        <f t="shared" si="12"/>
        <v>100</v>
      </c>
      <c r="X38" s="1553"/>
      <c r="Y38" s="3405"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05"/>
      <c r="Q39" s="1558">
        <f t="shared" si="8"/>
        <v>111</v>
      </c>
      <c r="R39" s="1563" t="s">
        <v>8</v>
      </c>
      <c r="S39" s="1564">
        <f t="shared" si="10"/>
        <v>100</v>
      </c>
      <c r="T39" s="1563" t="s">
        <v>8</v>
      </c>
      <c r="U39" s="1564">
        <f t="shared" si="11"/>
        <v>100</v>
      </c>
      <c r="V39" s="1563" t="s">
        <v>8</v>
      </c>
      <c r="W39" s="1564">
        <f t="shared" si="12"/>
        <v>100</v>
      </c>
      <c r="X39" s="1565"/>
      <c r="Y39" s="3405"/>
      <c r="Z39" s="1566">
        <f t="shared" si="13"/>
        <v>111</v>
      </c>
      <c r="AA39" s="1562">
        <f t="shared" si="3"/>
        <v>1</v>
      </c>
      <c r="AB39" s="1562">
        <f t="shared" si="4"/>
        <v>1</v>
      </c>
      <c r="AC39" s="1562">
        <f t="shared" si="5"/>
        <v>1</v>
      </c>
    </row>
    <row r="40" spans="1:29" ht="20.25">
      <c r="A40" s="2860" t="s">
        <v>2753</v>
      </c>
      <c r="B40" s="595" t="s">
        <v>552</v>
      </c>
      <c r="C40" s="596">
        <f>'数据-基础表'!A3</f>
        <v>48381</v>
      </c>
      <c r="D40" s="597">
        <v>100</v>
      </c>
      <c r="E40" s="596">
        <f>土地案例!D17</f>
        <v>123952</v>
      </c>
      <c r="F40" s="597">
        <f>LOOKUP(E40,119:119,120:120)-LOOKUP(C40,119:119,120:120)+100</f>
        <v>106</v>
      </c>
      <c r="G40" s="596">
        <f>土地案例!D20</f>
        <v>116919</v>
      </c>
      <c r="H40" s="597">
        <f>LOOKUP(G40,119:119,120:120)-LOOKUP(C40,119:119,120:120)+100</f>
        <v>106</v>
      </c>
      <c r="I40" s="598">
        <f>土地案例!D14</f>
        <v>50497</v>
      </c>
      <c r="J40" s="597">
        <f>LOOKUP(I40,119:119,120:120)-LOOKUP(C40,119:119,120:120)+100</f>
        <v>100</v>
      </c>
      <c r="K40" s="581"/>
      <c r="L40" s="2125"/>
      <c r="M40" s="2115"/>
      <c r="N40" s="2115"/>
      <c r="O40" s="2124"/>
      <c r="P40" s="3405"/>
      <c r="Q40" s="1558" t="str">
        <f>B40</f>
        <v>宗地面积</v>
      </c>
      <c r="R40" s="1559" t="s">
        <v>8</v>
      </c>
      <c r="S40" s="1560">
        <f t="shared" si="10"/>
        <v>106</v>
      </c>
      <c r="T40" s="1559" t="s">
        <v>8</v>
      </c>
      <c r="U40" s="1560">
        <f t="shared" si="11"/>
        <v>106</v>
      </c>
      <c r="V40" s="1559" t="s">
        <v>8</v>
      </c>
      <c r="W40" s="1560">
        <f t="shared" si="12"/>
        <v>100</v>
      </c>
      <c r="X40" s="1553"/>
      <c r="Y40" s="3405"/>
      <c r="Z40" s="1561" t="str">
        <f t="shared" si="13"/>
        <v>宗地面积</v>
      </c>
      <c r="AA40" s="1562">
        <f t="shared" si="3"/>
        <v>0.94339622641509435</v>
      </c>
      <c r="AB40" s="1562">
        <f t="shared" si="4"/>
        <v>0.94339622641509435</v>
      </c>
      <c r="AC40" s="1562">
        <f t="shared" si="5"/>
        <v>1</v>
      </c>
    </row>
    <row r="41" spans="1:29" ht="20.25">
      <c r="A41" s="594"/>
      <c r="B41" s="527" t="s">
        <v>553</v>
      </c>
      <c r="C41" s="599" t="s">
        <v>3164</v>
      </c>
      <c r="D41" s="540">
        <v>100</v>
      </c>
      <c r="E41" s="599" t="s">
        <v>3164</v>
      </c>
      <c r="F41" s="540">
        <f>SUMIF(121:121,E41,122:122)-SUMIF(121:121,C41,122:122)+100</f>
        <v>100</v>
      </c>
      <c r="G41" s="599" t="s">
        <v>3164</v>
      </c>
      <c r="H41" s="540">
        <f>SUMIF(121:121,G41,122:122)-SUMIF(121:121,C41,122:122)+100</f>
        <v>100</v>
      </c>
      <c r="I41" s="599" t="s">
        <v>3164</v>
      </c>
      <c r="J41" s="540">
        <f>SUMIF(121:121,I41,122:122)-SUMIF(121:121,C41,122:122)+100</f>
        <v>100</v>
      </c>
      <c r="K41" s="584">
        <v>0</v>
      </c>
      <c r="L41" s="2125"/>
      <c r="M41" s="2115"/>
      <c r="N41" s="2115"/>
      <c r="O41" s="2124"/>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0.25">
      <c r="A42" s="594"/>
      <c r="B42" s="527" t="s">
        <v>554</v>
      </c>
      <c r="C42" s="599" t="s">
        <v>3169</v>
      </c>
      <c r="D42" s="540">
        <v>100</v>
      </c>
      <c r="E42" s="599" t="s">
        <v>3169</v>
      </c>
      <c r="F42" s="540">
        <f>SUMIF(123:123,E42,124:124)-SUMIF(123:123,C42,124:124)+100</f>
        <v>100</v>
      </c>
      <c r="G42" s="599" t="s">
        <v>3169</v>
      </c>
      <c r="H42" s="540">
        <f>SUMIF(123:123,G42,124:124)-SUMIF(123:123,C42,124:124)+100</f>
        <v>100</v>
      </c>
      <c r="I42" s="599" t="s">
        <v>3169</v>
      </c>
      <c r="J42" s="540">
        <f>SUMIF(123:123,I42,124:124)-SUMIF(123:123,C42,124:124)+100</f>
        <v>100</v>
      </c>
      <c r="K42" s="584">
        <v>2</v>
      </c>
      <c r="L42" s="2125"/>
      <c r="M42" s="2115"/>
      <c r="N42" s="2115"/>
      <c r="O42" s="2124"/>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5" customFormat="1" ht="20.25">
      <c r="A43" s="600"/>
      <c r="B43" s="1878" t="s">
        <v>2422</v>
      </c>
      <c r="C43" s="601" t="s">
        <v>3178</v>
      </c>
      <c r="D43" s="255">
        <v>100</v>
      </c>
      <c r="E43" s="601" t="s">
        <v>3178</v>
      </c>
      <c r="F43" s="540">
        <f>SUMIF(125:125,E43,126:126)-SUMIF(125:125,C43,126:126)+100</f>
        <v>100</v>
      </c>
      <c r="G43" s="601" t="s">
        <v>3178</v>
      </c>
      <c r="H43" s="540">
        <f>SUMIF(125:125,G43,126:126)-SUMIF(125:125,C43,126:126)+100</f>
        <v>100</v>
      </c>
      <c r="I43" s="601" t="s">
        <v>3178</v>
      </c>
      <c r="J43" s="540">
        <f>SUMIF(125:125,I43,126:126)-SUMIF(125:125,C43,126:126)+100</f>
        <v>100</v>
      </c>
      <c r="K43" s="584">
        <v>2</v>
      </c>
      <c r="L43" s="2118"/>
      <c r="M43" s="2115"/>
      <c r="N43" s="2115"/>
      <c r="O43" s="2120"/>
      <c r="P43" s="3405"/>
      <c r="Q43" s="1558" t="str">
        <f t="shared" si="14"/>
        <v>宗地开发程度</v>
      </c>
      <c r="R43" s="1554" t="s">
        <v>8</v>
      </c>
      <c r="S43" s="1555">
        <f t="shared" si="10"/>
        <v>100</v>
      </c>
      <c r="T43" s="1554" t="s">
        <v>8</v>
      </c>
      <c r="U43" s="1555">
        <f t="shared" si="11"/>
        <v>100</v>
      </c>
      <c r="V43" s="1554" t="s">
        <v>8</v>
      </c>
      <c r="W43" s="1555">
        <f t="shared" si="12"/>
        <v>100</v>
      </c>
      <c r="X43" s="1556"/>
      <c r="Y43" s="3405"/>
      <c r="Z43" s="1145" t="str">
        <f t="shared" si="13"/>
        <v>宗地开发程度</v>
      </c>
      <c r="AA43" s="1557">
        <f t="shared" si="3"/>
        <v>1</v>
      </c>
      <c r="AB43" s="1557">
        <f t="shared" si="4"/>
        <v>1</v>
      </c>
      <c r="AC43" s="1557">
        <f t="shared" si="5"/>
        <v>1</v>
      </c>
    </row>
    <row r="44" spans="1:29" ht="20.25">
      <c r="A44" s="594"/>
      <c r="B44" s="527" t="s">
        <v>555</v>
      </c>
      <c r="C44" s="599" t="s">
        <v>3181</v>
      </c>
      <c r="D44" s="540">
        <v>100</v>
      </c>
      <c r="E44" s="599" t="s">
        <v>3181</v>
      </c>
      <c r="F44" s="540">
        <f>SUMIF(127:127,E44,128:128)-SUMIF(127:127,C44,128:128)+100</f>
        <v>100</v>
      </c>
      <c r="G44" s="599" t="s">
        <v>3181</v>
      </c>
      <c r="H44" s="540">
        <f>SUMIF(127:127,G44,128:128)-SUMIF(127:127,C44,128:128)+100</f>
        <v>100</v>
      </c>
      <c r="I44" s="599" t="s">
        <v>3181</v>
      </c>
      <c r="J44" s="540">
        <f>SUMIF(127:127,I44,128:128)-SUMIF(127:127,C44,128:128)+100</f>
        <v>100</v>
      </c>
      <c r="K44" s="584">
        <v>2</v>
      </c>
      <c r="L44" s="2125"/>
      <c r="M44" s="2115"/>
      <c r="N44" s="2115"/>
      <c r="O44" s="2124"/>
      <c r="P44" s="3405" t="s">
        <v>550</v>
      </c>
      <c r="Q44" s="1558" t="str">
        <f t="shared" si="14"/>
        <v>工程地质条件</v>
      </c>
      <c r="R44" s="1559" t="s">
        <v>8</v>
      </c>
      <c r="S44" s="1560">
        <f t="shared" si="10"/>
        <v>100</v>
      </c>
      <c r="T44" s="1559" t="s">
        <v>8</v>
      </c>
      <c r="U44" s="1560">
        <f t="shared" si="11"/>
        <v>100</v>
      </c>
      <c r="V44" s="1559" t="s">
        <v>8</v>
      </c>
      <c r="W44" s="1560">
        <f t="shared" si="12"/>
        <v>100</v>
      </c>
      <c r="X44" s="1553"/>
      <c r="Y44" s="3405"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05"/>
      <c r="Q45" s="1558">
        <f t="shared" si="14"/>
        <v>111</v>
      </c>
      <c r="R45" s="1559" t="s">
        <v>8</v>
      </c>
      <c r="S45" s="1560">
        <f t="shared" si="10"/>
        <v>100</v>
      </c>
      <c r="T45" s="1559" t="s">
        <v>8</v>
      </c>
      <c r="U45" s="1560">
        <f t="shared" si="11"/>
        <v>100</v>
      </c>
      <c r="V45" s="1559" t="s">
        <v>8</v>
      </c>
      <c r="W45" s="1560">
        <f t="shared" si="12"/>
        <v>100</v>
      </c>
      <c r="X45" s="1553"/>
      <c r="Y45" s="340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05"/>
      <c r="Q46" s="1558">
        <f t="shared" si="14"/>
        <v>111</v>
      </c>
      <c r="R46" s="1559" t="s">
        <v>8</v>
      </c>
      <c r="S46" s="1560">
        <f t="shared" si="10"/>
        <v>100</v>
      </c>
      <c r="T46" s="1559" t="s">
        <v>8</v>
      </c>
      <c r="U46" s="1560">
        <f t="shared" si="11"/>
        <v>100</v>
      </c>
      <c r="V46" s="1559" t="s">
        <v>8</v>
      </c>
      <c r="W46" s="1560">
        <f t="shared" si="12"/>
        <v>100</v>
      </c>
      <c r="X46" s="1553"/>
      <c r="Y46" s="3405"/>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05"/>
      <c r="Q47" s="1558">
        <f t="shared" si="14"/>
        <v>111</v>
      </c>
      <c r="R47" s="1563" t="s">
        <v>8</v>
      </c>
      <c r="S47" s="1564">
        <f t="shared" si="10"/>
        <v>100</v>
      </c>
      <c r="T47" s="1563" t="s">
        <v>8</v>
      </c>
      <c r="U47" s="1564">
        <f t="shared" si="11"/>
        <v>100</v>
      </c>
      <c r="V47" s="1563" t="s">
        <v>8</v>
      </c>
      <c r="W47" s="1564">
        <f t="shared" si="12"/>
        <v>100</v>
      </c>
      <c r="X47" s="1565"/>
      <c r="Y47" s="3405"/>
      <c r="Z47" s="1566">
        <f t="shared" si="13"/>
        <v>111</v>
      </c>
      <c r="AA47" s="1562">
        <f t="shared" si="3"/>
        <v>1</v>
      </c>
      <c r="AB47" s="1562">
        <f t="shared" si="4"/>
        <v>1</v>
      </c>
      <c r="AC47" s="1562">
        <f t="shared" si="5"/>
        <v>1</v>
      </c>
    </row>
    <row r="48" spans="1:29" ht="20.25">
      <c r="A48" s="607" t="s">
        <v>556</v>
      </c>
      <c r="B48" s="608" t="s">
        <v>3208</v>
      </c>
      <c r="C48" s="609" t="s">
        <v>1</v>
      </c>
      <c r="D48" s="610"/>
      <c r="E48" s="611">
        <f>ROUND(土地案例!K17,0)</f>
        <v>1186</v>
      </c>
      <c r="F48" s="612"/>
      <c r="G48" s="613">
        <f>ROUND(土地案例!K20,0)</f>
        <v>1071</v>
      </c>
      <c r="H48" s="614"/>
      <c r="I48" s="611">
        <f>ROUND(土地案例!K14,0)</f>
        <v>1023</v>
      </c>
      <c r="J48" s="614"/>
      <c r="K48" s="1335"/>
      <c r="L48" s="2127"/>
      <c r="M48" s="2115"/>
      <c r="N48" s="2115"/>
      <c r="O48" s="2128"/>
      <c r="P48" s="3368" t="str">
        <f>A48</f>
        <v>成交单价</v>
      </c>
      <c r="Q48" s="3368"/>
      <c r="R48" s="3369">
        <f>E48</f>
        <v>1186</v>
      </c>
      <c r="S48" s="3369"/>
      <c r="T48" s="3369">
        <f>G48</f>
        <v>1071</v>
      </c>
      <c r="U48" s="3369"/>
      <c r="V48" s="3369">
        <f>I48</f>
        <v>1023</v>
      </c>
      <c r="W48" s="3369"/>
      <c r="X48" s="1545"/>
      <c r="Y48" s="1567"/>
      <c r="Z48" s="1545"/>
      <c r="AA48" s="1545"/>
      <c r="AB48" s="1545"/>
      <c r="AC48" s="1545"/>
    </row>
    <row r="49" spans="1:29" ht="21" thickBot="1">
      <c r="A49" s="615" t="s">
        <v>2691</v>
      </c>
      <c r="B49" s="616"/>
      <c r="C49" s="617">
        <f>R50</f>
        <v>1049</v>
      </c>
      <c r="D49" s="618"/>
      <c r="E49" s="617">
        <f>R49</f>
        <v>1160</v>
      </c>
      <c r="F49" s="619"/>
      <c r="G49" s="620">
        <f>T49</f>
        <v>1017</v>
      </c>
      <c r="H49" s="618"/>
      <c r="I49" s="617">
        <f>V49</f>
        <v>969</v>
      </c>
      <c r="J49" s="618"/>
      <c r="K49" s="1336"/>
      <c r="L49" s="2127"/>
      <c r="M49" s="2115"/>
      <c r="N49" s="2115"/>
      <c r="O49" s="2128"/>
      <c r="P49" s="3368" t="str">
        <f>A49</f>
        <v>比较价格（元/平方米）</v>
      </c>
      <c r="Q49" s="3368"/>
      <c r="R49" s="3370">
        <f>ROUND(PRODUCT(R48,AA9:AA47),0)</f>
        <v>1160</v>
      </c>
      <c r="S49" s="3370"/>
      <c r="T49" s="3370">
        <f>ROUND(PRODUCT(T48,AB9:AB47),0)</f>
        <v>1017</v>
      </c>
      <c r="U49" s="3370"/>
      <c r="V49" s="3370">
        <f>ROUND(PRODUCT(V48,AC9:AC47),0)</f>
        <v>969</v>
      </c>
      <c r="W49" s="3370"/>
      <c r="X49" s="1545"/>
      <c r="Y49" s="1545"/>
      <c r="Z49" s="1545"/>
      <c r="AA49" s="1545"/>
      <c r="AB49" s="1545"/>
      <c r="AC49" s="1545"/>
    </row>
    <row r="50" spans="1:29" ht="21" thickBot="1">
      <c r="A50" s="621" t="s">
        <v>2926</v>
      </c>
      <c r="B50" s="622"/>
      <c r="C50" s="623">
        <f>R50</f>
        <v>1049</v>
      </c>
      <c r="D50" s="623"/>
      <c r="E50" s="623"/>
      <c r="F50" s="623"/>
      <c r="G50" s="623"/>
      <c r="H50" s="623"/>
      <c r="I50" s="623"/>
      <c r="J50" s="623"/>
      <c r="K50" s="1337"/>
      <c r="L50" s="2127"/>
      <c r="M50" s="2115"/>
      <c r="N50" s="2115"/>
      <c r="O50" s="2128"/>
      <c r="P50" s="3365" t="str">
        <f>A50</f>
        <v>估价对象XX用房的比较价格（楼面单价，元/平方米）</v>
      </c>
      <c r="Q50" s="3366"/>
      <c r="R50" s="3367">
        <f>ROUND(AVERAGE(R49:V49),0)</f>
        <v>1049</v>
      </c>
      <c r="S50" s="3367"/>
      <c r="T50" s="3367"/>
      <c r="U50" s="3367"/>
      <c r="V50" s="3367"/>
      <c r="W50" s="3367"/>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2.2413793103448265E-2</v>
      </c>
      <c r="F53" s="627" t="str">
        <f>IF(OR(E53&gt;=0.3,E53&lt;=-0.3),"超过30%","")</f>
        <v/>
      </c>
      <c r="G53" s="626">
        <f>IF(G48&lt;G49,G49/G48-1,G48/G49-1)</f>
        <v>5.3097345132743445E-2</v>
      </c>
      <c r="H53" s="627" t="str">
        <f>IF(OR(G53&gt;=0.3,G53&lt;=-0.3),"超过30%","")</f>
        <v/>
      </c>
      <c r="I53" s="626">
        <f>IF(I48&lt;I49,I49/I48-1,I48/I49-1)</f>
        <v>5.5727554179566541E-2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0.14060963618485744</v>
      </c>
      <c r="F54" s="627" t="str">
        <f>IF(OR(E54&gt;=0.2,E54&lt;=-0.2),"超过20%","")</f>
        <v/>
      </c>
      <c r="G54" s="626">
        <f>IF(G49&lt;I49,I49/G49-1,G49/I49-1)</f>
        <v>4.9535603715170184E-2</v>
      </c>
      <c r="H54" s="627" t="str">
        <f>IF(OR(G54&gt;=0.2,G54&lt;=-0.2),"超过20%","")</f>
        <v/>
      </c>
      <c r="I54" s="626">
        <f>IF(I49&lt;E49,E49/I49-1,I49/E49-1)</f>
        <v>0.19711042311661497</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0.10737628384687214</v>
      </c>
      <c r="F55" s="627" t="str">
        <f>IF(OR(E55&gt;=0.3,E55&lt;=-0.3),"超过30%","")</f>
        <v/>
      </c>
      <c r="G55" s="626">
        <f>IF(G48&lt;I48,I48/G48-1,G48/I48-1)</f>
        <v>4.692082111436946E-2</v>
      </c>
      <c r="H55" s="627" t="str">
        <f>IF(OR(G55&gt;=0.3,G55&lt;=-0.3),"超过30%","")</f>
        <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560</v>
      </c>
      <c r="B57" s="630" t="s">
        <v>561</v>
      </c>
      <c r="C57" s="1546" t="s">
        <v>1723</v>
      </c>
      <c r="D57" s="2210" t="s">
        <v>2291</v>
      </c>
      <c r="E57" s="631" t="s">
        <v>562</v>
      </c>
      <c r="F57" s="632" t="s">
        <v>563</v>
      </c>
      <c r="G57" s="3394" t="s">
        <v>2279</v>
      </c>
      <c r="H57" s="3395"/>
      <c r="I57" s="1541" t="s">
        <v>1721</v>
      </c>
      <c r="J57" s="1541" t="str">
        <f>项目基本情况!F41</f>
        <v>湖北省黄石市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1049</v>
      </c>
      <c r="C58" s="635">
        <v>1</v>
      </c>
      <c r="D58" s="2211">
        <v>1</v>
      </c>
      <c r="E58" s="635">
        <f>'数据-汇总表'!E8+'数据-汇总表'!E9</f>
        <v>120900</v>
      </c>
      <c r="F58" s="636">
        <f t="shared" ref="F58:F67" si="15">ROUND(B58*E58/10000,0)</f>
        <v>12682</v>
      </c>
      <c r="G58" s="3396"/>
      <c r="H58" s="3397"/>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398" t="s">
        <v>2280</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398"/>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398"/>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398"/>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2326</v>
      </c>
      <c r="B63" s="638">
        <f t="shared" si="17"/>
        <v>0</v>
      </c>
      <c r="C63" s="378">
        <f t="shared" si="16"/>
        <v>0</v>
      </c>
      <c r="D63" s="2212">
        <v>0.25</v>
      </c>
      <c r="E63" s="641">
        <f>'数据-汇总表'!E11</f>
        <v>0</v>
      </c>
      <c r="F63" s="636">
        <f t="shared" si="15"/>
        <v>0</v>
      </c>
      <c r="G63" s="1928" t="s">
        <v>2281</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1676</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922</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2280</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2281</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2292</v>
      </c>
      <c r="E68" s="643">
        <f>IF(B48="楼面地价",SUM(E58:E67),'数据-汇总表'!D3)</f>
        <v>120900</v>
      </c>
      <c r="F68" s="644">
        <f>IF(B48="楼面地价",SUM(F58:F67),ROUND(C50*E68/10000,0))</f>
        <v>12682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574</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2530</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2645</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2644</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82" t="s">
        <v>3155</v>
      </c>
      <c r="D77" s="3182" t="s">
        <v>3156</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99</v>
      </c>
      <c r="E91" s="679">
        <f>D91-$K17</f>
        <v>98</v>
      </c>
      <c r="F91" s="679">
        <f>E91-$K17</f>
        <v>97</v>
      </c>
      <c r="G91" s="679">
        <f>F91-$K17</f>
        <v>96</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3183" t="s">
        <v>3157</v>
      </c>
      <c r="D108" s="3183" t="s">
        <v>3158</v>
      </c>
      <c r="E108" s="3183" t="s">
        <v>3159</v>
      </c>
      <c r="F108" s="3183" t="s">
        <v>3160</v>
      </c>
      <c r="G108" s="3183" t="s">
        <v>3162</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102</v>
      </c>
      <c r="E120" s="700">
        <v>104</v>
      </c>
      <c r="F120" s="726">
        <v>106</v>
      </c>
      <c r="G120" s="700">
        <v>108</v>
      </c>
      <c r="H120" s="726">
        <v>110</v>
      </c>
      <c r="I120" s="700">
        <v>112</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84" t="s">
        <v>3163</v>
      </c>
      <c r="D121" s="3184" t="s">
        <v>3165</v>
      </c>
      <c r="E121" s="3184" t="s">
        <v>3166</v>
      </c>
      <c r="F121" s="3184" t="s">
        <v>3167</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83" t="s">
        <v>3168</v>
      </c>
      <c r="D123" s="3183" t="s">
        <v>3170</v>
      </c>
      <c r="E123" s="3183" t="s">
        <v>3171</v>
      </c>
      <c r="F123" s="3184" t="s">
        <v>3172</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71" t="s">
        <v>3173</v>
      </c>
      <c r="D125" s="1371" t="s">
        <v>3175</v>
      </c>
      <c r="E125" s="1371" t="s">
        <v>3176</v>
      </c>
      <c r="F125" s="1371" t="s">
        <v>3177</v>
      </c>
      <c r="G125" s="1371" t="s">
        <v>3179</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83" t="s">
        <v>3180</v>
      </c>
      <c r="D127" s="3183" t="s">
        <v>3182</v>
      </c>
      <c r="E127" s="3184" t="s">
        <v>3184</v>
      </c>
      <c r="F127" s="3184" t="s">
        <v>3186</v>
      </c>
      <c r="G127" s="3184" t="s">
        <v>3188</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7" sqref="D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8</v>
      </c>
    </row>
    <row r="2" spans="1:31" s="2024" customFormat="1" ht="18" customHeight="1">
      <c r="A2" s="2084" t="s">
        <v>467</v>
      </c>
      <c r="B2" s="2088">
        <f ca="1">C36</f>
        <v>12682</v>
      </c>
      <c r="C2" s="2087"/>
      <c r="D2" s="2087"/>
      <c r="E2" s="2087"/>
      <c r="F2" s="2087"/>
      <c r="G2" s="2087"/>
      <c r="H2" s="2087"/>
      <c r="I2" s="2087"/>
      <c r="J2" s="2087"/>
      <c r="K2" s="2087"/>
    </row>
    <row r="3" spans="1:31" s="2024" customFormat="1" ht="18" customHeight="1">
      <c r="A3" s="2089" t="s">
        <v>1683</v>
      </c>
      <c r="B3" s="2090">
        <f ca="1">ROUND(B2*10000/IF(B1="",'数据-汇总表'!E3,INDIRECT("'数据-取费表'!K"&amp;$K$1)),0)</f>
        <v>1049</v>
      </c>
      <c r="C3" s="2087"/>
      <c r="D3" s="2087"/>
      <c r="E3" s="2087"/>
      <c r="F3" s="2087"/>
      <c r="G3" s="2087"/>
      <c r="H3" s="2087"/>
      <c r="I3" s="2087"/>
      <c r="J3" s="2087"/>
      <c r="K3" s="2087"/>
    </row>
    <row r="4" spans="1:31" s="2024" customFormat="1" ht="18" customHeight="1">
      <c r="A4" s="426" t="s">
        <v>468</v>
      </c>
      <c r="B4" s="427">
        <f ca="1">ROUND(B2*10000/IF(B1="",'数据-汇总表'!D3,INDIRECT("'数据-取费表'!R"&amp;$K$1)),0)</f>
        <v>2621</v>
      </c>
      <c r="C4" s="428"/>
      <c r="D4" s="422"/>
      <c r="E4" s="422"/>
      <c r="F4" s="422"/>
      <c r="G4" s="422"/>
      <c r="H4" s="422"/>
      <c r="I4" s="422"/>
      <c r="J4" s="422"/>
      <c r="K4" s="422"/>
    </row>
    <row r="5" spans="1:31" s="2024" customFormat="1" ht="18" customHeight="1" thickBot="1">
      <c r="A5" s="429"/>
      <c r="B5" s="430">
        <f ca="1">ROUND(B2/(IF(B1="",'数据-汇总表'!D3,INDIRECT("'数据-取费表'!R"&amp;$K$1))/666.67),0)</f>
        <v>175</v>
      </c>
      <c r="C5" s="431" t="s">
        <v>469</v>
      </c>
      <c r="D5" s="422"/>
      <c r="E5" s="422"/>
      <c r="F5" s="422"/>
      <c r="G5" s="422"/>
      <c r="H5" s="422"/>
      <c r="I5" s="422"/>
      <c r="J5" s="422"/>
      <c r="K5" s="422"/>
    </row>
    <row r="6" spans="1:31" s="2094" customFormat="1" ht="16.5" customHeight="1">
      <c r="A6" s="2781" t="s">
        <v>1841</v>
      </c>
      <c r="B6" s="2782"/>
      <c r="C6" s="2783">
        <f>SUM(C10:K10)</f>
        <v>75114</v>
      </c>
      <c r="D6" s="2782"/>
      <c r="E6" s="2782"/>
      <c r="F6" s="2782"/>
      <c r="G6" s="2782"/>
      <c r="H6" s="2782"/>
      <c r="I6" s="2782"/>
      <c r="J6" s="2782"/>
      <c r="K6" s="2784"/>
    </row>
    <row r="7" spans="1:31" s="2096" customFormat="1" ht="15">
      <c r="A7" s="2785" t="s">
        <v>470</v>
      </c>
      <c r="B7" s="2786" t="s">
        <v>471</v>
      </c>
      <c r="C7" s="436" t="s">
        <v>922</v>
      </c>
      <c r="D7" s="436" t="s">
        <v>3005</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1844</v>
      </c>
      <c r="B8" s="261" t="s">
        <v>472</v>
      </c>
      <c r="C8" s="2787">
        <f>'不动产比较法-住宅'!B3</f>
        <v>4999</v>
      </c>
      <c r="D8" s="2787">
        <f>'不动产比较法-商业'!B3</f>
        <v>17138</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1845</v>
      </c>
      <c r="B9" s="261" t="s">
        <v>473</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'不动产比较法-住宅'!B2</f>
        <v>54394</v>
      </c>
      <c r="D10" s="2979">
        <f>'不动产比较法-商业'!B2</f>
        <v>20720</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50">
        <f ca="1">IF(B1="",'数据-取费表'!P16,INDIRECT("'数据-取费表'!p"&amp;$K$1)+INDIRECT("'数据-取费表'!t"&amp;$K$1))</f>
        <v>30830</v>
      </c>
      <c r="D13" s="2797"/>
      <c r="E13" s="2798"/>
      <c r="F13" s="2799"/>
      <c r="G13" s="2765"/>
      <c r="H13" s="2766"/>
      <c r="I13" s="2766"/>
      <c r="J13" s="2766"/>
      <c r="K13" s="2767"/>
    </row>
    <row r="14" spans="1:31" s="2099" customFormat="1" ht="13.5" customHeight="1">
      <c r="A14" s="2795" t="s">
        <v>1848</v>
      </c>
      <c r="B14" s="2796" t="s">
        <v>480</v>
      </c>
      <c r="C14" s="53">
        <f ca="1">ROUND(C13*F14,0)</f>
        <v>1542</v>
      </c>
      <c r="D14" s="2797"/>
      <c r="E14" s="2798"/>
      <c r="F14" s="2800">
        <f>'数据-取费表'!B33</f>
        <v>0.05</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2176</v>
      </c>
      <c r="D15" s="2797"/>
      <c r="E15" s="2798"/>
      <c r="F15" s="2800">
        <f>'数据-取费表'!B34</f>
        <v>0.08</v>
      </c>
      <c r="G15" s="2765" t="s">
        <v>483</v>
      </c>
      <c r="H15" s="2766"/>
      <c r="I15" s="2766"/>
      <c r="J15" s="2766"/>
      <c r="K15" s="2767"/>
    </row>
    <row r="16" spans="1:31" s="2100" customFormat="1" ht="13.5" customHeight="1">
      <c r="A16" s="2795" t="s">
        <v>1850</v>
      </c>
      <c r="B16" s="2796" t="s">
        <v>484</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462</v>
      </c>
      <c r="D17" s="475"/>
      <c r="E17" s="2801"/>
      <c r="F17" s="2802">
        <f>'数据-取费表'!B36</f>
        <v>1.4999999999999999E-2</v>
      </c>
      <c r="G17" s="261" t="s">
        <v>486</v>
      </c>
      <c r="H17" s="2768"/>
      <c r="I17" s="2768"/>
      <c r="J17" s="2768"/>
      <c r="K17" s="279"/>
    </row>
    <row r="18" spans="1:14" s="2099" customFormat="1" ht="13.5" customHeight="1">
      <c r="A18" s="2803" t="s">
        <v>1852</v>
      </c>
      <c r="B18" s="2804" t="s">
        <v>487</v>
      </c>
      <c r="C18" s="2805">
        <f ca="1">SUM(C13:C17)</f>
        <v>37428</v>
      </c>
      <c r="D18" s="2806"/>
      <c r="E18" s="468"/>
      <c r="F18" s="468"/>
      <c r="G18" s="2769" t="s">
        <v>2428</v>
      </c>
      <c r="H18" s="2770"/>
      <c r="I18" s="2770"/>
      <c r="J18" s="2770"/>
      <c r="K18" s="2771"/>
    </row>
    <row r="19" spans="1:14" s="2099" customFormat="1" ht="13.5" customHeight="1">
      <c r="A19" s="2803" t="s">
        <v>1853</v>
      </c>
      <c r="B19" s="2804" t="s">
        <v>488</v>
      </c>
      <c r="C19" s="2761">
        <f ca="1">ROUND(D19*E19/10000,0)</f>
        <v>1330</v>
      </c>
      <c r="D19" s="2807">
        <f ca="1">D16</f>
        <v>120900</v>
      </c>
      <c r="E19" s="2761">
        <f>'数据-取费表'!B32</f>
        <v>110</v>
      </c>
      <c r="F19" s="468"/>
      <c r="G19" s="2765" t="s">
        <v>489</v>
      </c>
      <c r="H19" s="2766"/>
      <c r="I19" s="2770"/>
      <c r="J19" s="2770"/>
      <c r="K19" s="2771"/>
    </row>
    <row r="20" spans="1:14" s="2099" customFormat="1" ht="13.5" customHeight="1">
      <c r="A20" s="2803" t="s">
        <v>1854</v>
      </c>
      <c r="B20" s="2804" t="s">
        <v>490</v>
      </c>
      <c r="C20" s="2761">
        <f ca="1">C21+C22-IF(B1="",'数据-取费表'!B29,IF(G20="已全部缴纳",C21+C22,H20))</f>
        <v>483</v>
      </c>
      <c r="D20" s="2807"/>
      <c r="E20" s="2761"/>
      <c r="F20" s="2808"/>
      <c r="G20" s="3035"/>
      <c r="H20" s="2763"/>
      <c r="I20" s="2764" t="s">
        <v>2649</v>
      </c>
      <c r="J20" s="2770"/>
      <c r="K20" s="2771"/>
    </row>
    <row r="21" spans="1:14" s="2099" customFormat="1" ht="13.5" customHeight="1">
      <c r="A21" s="2795" t="s">
        <v>1855</v>
      </c>
      <c r="B21" s="2796" t="s">
        <v>491</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1856</v>
      </c>
      <c r="B22" s="2796" t="s">
        <v>492</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1857</v>
      </c>
      <c r="B23" s="2985" t="s">
        <v>2832</v>
      </c>
      <c r="C23" s="2805">
        <f ca="1">ROUND((C18+C19+C20)*F23,0)</f>
        <v>785</v>
      </c>
      <c r="D23" s="468"/>
      <c r="E23" s="468"/>
      <c r="F23" s="2809">
        <f>'数据-取费表'!B37</f>
        <v>0.02</v>
      </c>
      <c r="G23" s="2765" t="s">
        <v>2429</v>
      </c>
      <c r="H23" s="2766"/>
      <c r="I23" s="2766"/>
      <c r="J23" s="2766"/>
      <c r="K23" s="2767"/>
      <c r="L23" s="2101"/>
      <c r="M23" s="2101"/>
      <c r="N23" s="2101"/>
    </row>
    <row r="24" spans="1:14" s="2099" customFormat="1" ht="13.5" customHeight="1">
      <c r="A24" s="2803" t="s">
        <v>1858</v>
      </c>
      <c r="B24" s="2985" t="s">
        <v>2835</v>
      </c>
      <c r="C24" s="2805">
        <f>ROUND(C6*F24,0)</f>
        <v>1502</v>
      </c>
      <c r="D24" s="475"/>
      <c r="E24" s="473"/>
      <c r="F24" s="2809">
        <f>'数据-取费表'!B38</f>
        <v>0.02</v>
      </c>
      <c r="G24" s="2774" t="s">
        <v>499</v>
      </c>
      <c r="H24" s="2768"/>
      <c r="I24" s="2768"/>
      <c r="J24" s="2768"/>
      <c r="K24" s="279"/>
      <c r="L24" s="2101"/>
      <c r="M24" s="2101"/>
      <c r="N24" s="2101"/>
    </row>
    <row r="25" spans="1:14" s="2102" customFormat="1" ht="13.5" customHeight="1">
      <c r="A25" s="2803" t="s">
        <v>1859</v>
      </c>
      <c r="B25" s="2985" t="s">
        <v>2833</v>
      </c>
      <c r="C25" s="467">
        <f>ROUND(F25/(1+'数据-取费表'!C42),4)</f>
        <v>2.9000000000000001E-2</v>
      </c>
      <c r="D25" s="462" t="s">
        <v>2827</v>
      </c>
      <c r="E25" s="469"/>
      <c r="F25" s="2809">
        <f>IF(项目基本情况!B8="出让",0,'数据-取费表'!B48+'数据-取费表'!B49)</f>
        <v>3.0499999999999999E-2</v>
      </c>
      <c r="G25" s="2773" t="s">
        <v>2287</v>
      </c>
      <c r="H25" s="2766"/>
      <c r="I25" s="2766"/>
      <c r="J25" s="2766"/>
      <c r="K25" s="2767"/>
    </row>
    <row r="26" spans="1:14" s="2101" customFormat="1" ht="13.5" customHeight="1">
      <c r="A26" s="2803" t="s">
        <v>1860</v>
      </c>
      <c r="B26" s="2986" t="s">
        <v>2834</v>
      </c>
      <c r="C26" s="2810">
        <f ca="1">C28</f>
        <v>1471</v>
      </c>
      <c r="D26" s="467">
        <f ca="1">C27</f>
        <v>7.4200000000000002E-2</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1855</v>
      </c>
      <c r="B27" s="2811" t="s">
        <v>496</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1856</v>
      </c>
      <c r="B28" s="2811" t="s">
        <v>2836</v>
      </c>
      <c r="C28" s="2813">
        <f ca="1">ROUND(IF('数据-取费表'!B22&lt;=1,(C18+C19+C20+C23+C24)*F26*'数据-取费表'!B24/2,(C18+C19+C20+C23+C24)*(POWER((1+F26),'数据-取费表'!B24/2)-1)),0)</f>
        <v>1471</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1861</v>
      </c>
      <c r="B29" s="2804" t="s">
        <v>497</v>
      </c>
      <c r="C29" s="2805">
        <f>ROUND(C6*F29/(1+'数据-取费表'!C42),0)</f>
        <v>3935</v>
      </c>
      <c r="D29" s="468"/>
      <c r="E29" s="468"/>
      <c r="F29" s="2987">
        <f>'数据-取费表'!B41</f>
        <v>5.5000000000000007E-2</v>
      </c>
      <c r="G29" s="2774" t="s">
        <v>498</v>
      </c>
      <c r="H29" s="2766"/>
      <c r="I29" s="2766"/>
      <c r="J29" s="2766"/>
      <c r="K29" s="2767"/>
    </row>
    <row r="30" spans="1:14" s="2104" customFormat="1" ht="13.5" customHeight="1">
      <c r="A30" s="1620" t="s">
        <v>1862</v>
      </c>
      <c r="B30" s="2815" t="s">
        <v>500</v>
      </c>
      <c r="C30" s="2810">
        <f ca="1">C31</f>
        <v>46934</v>
      </c>
      <c r="D30" s="477">
        <f ca="1">C32</f>
        <v>0.1032</v>
      </c>
      <c r="E30" s="469" t="s">
        <v>495</v>
      </c>
      <c r="F30" s="471"/>
      <c r="G30" s="2773" t="s">
        <v>2962</v>
      </c>
      <c r="H30" s="2766"/>
      <c r="I30" s="2766"/>
      <c r="J30" s="2766"/>
      <c r="K30" s="2767"/>
    </row>
    <row r="31" spans="1:14" s="2103" customFormat="1" ht="13.5" customHeight="1">
      <c r="A31" s="803" t="s">
        <v>1855</v>
      </c>
      <c r="B31" s="2811"/>
      <c r="C31" s="450">
        <f ca="1">C18+C19+C20+C23+C24+C26+C29</f>
        <v>46934</v>
      </c>
      <c r="D31" s="472"/>
      <c r="E31" s="473"/>
      <c r="F31" s="474"/>
      <c r="G31" s="261"/>
      <c r="H31" s="2768"/>
      <c r="I31" s="2768"/>
      <c r="J31" s="2768"/>
      <c r="K31" s="279"/>
    </row>
    <row r="32" spans="1:14" s="2103" customFormat="1" ht="13.5" customHeight="1">
      <c r="A32" s="803" t="s">
        <v>1856</v>
      </c>
      <c r="B32" s="2811"/>
      <c r="C32" s="53">
        <f ca="1">ROUND(C25+D26,4)</f>
        <v>0.1032</v>
      </c>
      <c r="D32" s="472"/>
      <c r="E32" s="473"/>
      <c r="F32" s="474"/>
      <c r="G32" s="261"/>
      <c r="H32" s="2768"/>
      <c r="I32" s="2768"/>
      <c r="J32" s="2768"/>
      <c r="K32" s="279"/>
    </row>
    <row r="33" spans="1:11" s="2105" customFormat="1" ht="13.5" customHeight="1">
      <c r="A33" s="2984" t="s">
        <v>2831</v>
      </c>
      <c r="B33" s="2982" t="s">
        <v>2829</v>
      </c>
      <c r="C33" s="478">
        <f ca="1">C35</f>
        <v>10797</v>
      </c>
      <c r="D33" s="467">
        <f ca="1">C34</f>
        <v>0.26750000000000002</v>
      </c>
      <c r="E33" s="469" t="s">
        <v>495</v>
      </c>
      <c r="F33" s="479">
        <f ca="1">IF(B1="",'数据-取费表'!Q16,INDIRECT("'数据-取费表'!q"&amp;$K$1))</f>
        <v>0.26</v>
      </c>
      <c r="G33" s="2769"/>
      <c r="H33" s="2770"/>
      <c r="I33" s="2770"/>
      <c r="J33" s="2770"/>
      <c r="K33" s="2771"/>
    </row>
    <row r="34" spans="1:11" s="2106" customFormat="1" ht="13.5" customHeight="1">
      <c r="A34" s="375" t="s">
        <v>1855</v>
      </c>
      <c r="B34" s="2816" t="s">
        <v>501</v>
      </c>
      <c r="C34" s="472">
        <f ca="1">ROUND((1+C25)*F33,4)</f>
        <v>0.26750000000000002</v>
      </c>
      <c r="D34" s="472"/>
      <c r="E34" s="473"/>
      <c r="F34" s="480"/>
      <c r="G34" s="261" t="s">
        <v>2288</v>
      </c>
      <c r="H34" s="2768"/>
      <c r="I34" s="2768"/>
      <c r="J34" s="2768"/>
      <c r="K34" s="279"/>
    </row>
    <row r="35" spans="1:11" s="2106" customFormat="1" ht="13.5" customHeight="1" thickBot="1">
      <c r="A35" s="1621" t="s">
        <v>1856</v>
      </c>
      <c r="B35" s="2983" t="s">
        <v>2837</v>
      </c>
      <c r="C35" s="1613">
        <f ca="1">ROUND((C18+C19+C20+C23+C24)*F33,0)</f>
        <v>10797</v>
      </c>
      <c r="D35" s="1614"/>
      <c r="E35" s="2817"/>
      <c r="F35" s="1615"/>
      <c r="G35" s="2775"/>
      <c r="H35" s="2776"/>
      <c r="I35" s="2776"/>
      <c r="J35" s="2776"/>
      <c r="K35" s="2777"/>
    </row>
    <row r="36" spans="1:11" s="2068" customFormat="1" ht="13.5" customHeight="1" thickBot="1">
      <c r="A36" s="284" t="s">
        <v>1843</v>
      </c>
      <c r="B36" s="2779"/>
      <c r="C36" s="2818">
        <f ca="1">ROUND((C6-C30-C33)/(1+D30+D33),0)</f>
        <v>12682</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0" t="str">
        <f>项目基本情况!B1</f>
        <v>湖北省黄石市黄金山开发区金城大道以东百花南路以西经二路以北01420281006011GB00013W00000000号等四宗住宅、商业用地出让国有建设用地使用权抵押价格预评估</v>
      </c>
      <c r="C37" s="3200"/>
      <c r="D37" s="3200"/>
      <c r="E37" s="3200"/>
      <c r="F37" s="3200"/>
      <c r="G37" s="3200"/>
      <c r="H37" s="3200"/>
      <c r="I37" s="3200"/>
    </row>
    <row r="38" spans="1:9">
      <c r="A38" s="1641"/>
      <c r="B38" s="1641"/>
    </row>
    <row r="39" spans="1:9">
      <c r="A39" s="1639" t="s">
        <v>1900</v>
      </c>
      <c r="B39" s="1639" t="s">
        <v>2044</v>
      </c>
    </row>
    <row r="40" spans="1:9">
      <c r="A40" s="1639"/>
      <c r="B40" s="1639" t="str">
        <f>项目基本情况!B5</f>
        <v>中信信托有限责任公司</v>
      </c>
    </row>
    <row r="41" spans="1:9">
      <c r="A41" s="1639"/>
      <c r="B41" s="1639"/>
    </row>
    <row r="42" spans="1:9">
      <c r="A42" s="1639" t="s">
        <v>1900</v>
      </c>
      <c r="B42" s="1639" t="s">
        <v>2045</v>
      </c>
    </row>
    <row r="43" spans="1:9">
      <c r="A43" s="1639"/>
      <c r="B43" s="1639" t="s">
        <v>1902</v>
      </c>
    </row>
    <row r="44" spans="1:9">
      <c r="A44" s="1639"/>
      <c r="B44" s="1639"/>
    </row>
    <row r="45" spans="1:9">
      <c r="A45" s="1639" t="s">
        <v>1900</v>
      </c>
      <c r="B45" s="1639" t="s">
        <v>2043</v>
      </c>
    </row>
    <row r="46" spans="1:9" s="1639" customFormat="1" ht="12.75">
      <c r="B46" s="1639" t="str">
        <f>项目基本情况!K4</f>
        <v>王鹏、郑燚</v>
      </c>
    </row>
    <row r="47" spans="1:9">
      <c r="A47" s="1639"/>
      <c r="B47" s="1639"/>
    </row>
    <row r="48" spans="1:9">
      <c r="A48" s="1639" t="s">
        <v>1900</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8</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5" t="s">
        <v>1683</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2650</v>
      </c>
      <c r="B6" s="433"/>
      <c r="C6" s="1608">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1844</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1846</v>
      </c>
      <c r="B10" s="1609" t="s">
        <v>474</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1863</v>
      </c>
      <c r="B11" s="1606"/>
      <c r="C11" s="1606"/>
      <c r="D11" s="1606"/>
      <c r="E11" s="1606"/>
      <c r="F11" s="1606"/>
      <c r="G11" s="1606"/>
      <c r="H11" s="1606"/>
      <c r="I11" s="1606"/>
      <c r="J11" s="1606"/>
      <c r="K11" s="1607"/>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8" t="s">
        <v>1847</v>
      </c>
      <c r="B13" s="449" t="s">
        <v>479</v>
      </c>
      <c r="C13" s="450">
        <f ca="1">IF(B1="",'数据-取费表'!M16,INDIRECT("'数据-取费表'!M"&amp;$K$1)+INDIRECT("'数据-取费表'!t"&amp;$K$1))</f>
        <v>30830</v>
      </c>
      <c r="D13" s="451"/>
      <c r="E13" s="365"/>
      <c r="F13" s="452"/>
      <c r="G13" s="444"/>
      <c r="H13" s="447"/>
      <c r="I13" s="447"/>
      <c r="J13" s="447"/>
      <c r="K13" s="448"/>
    </row>
    <row r="14" spans="1:41" s="2099" customFormat="1" ht="13.5" customHeight="1">
      <c r="A14" s="1618" t="s">
        <v>1848</v>
      </c>
      <c r="B14" s="449" t="s">
        <v>480</v>
      </c>
      <c r="C14" s="53">
        <f ca="1">ROUND(C13*F14,0)</f>
        <v>1542</v>
      </c>
      <c r="D14" s="451"/>
      <c r="E14" s="365"/>
      <c r="F14" s="453">
        <f>'数据-取费表'!B33</f>
        <v>0.05</v>
      </c>
      <c r="G14" s="444" t="s">
        <v>502</v>
      </c>
      <c r="H14" s="447"/>
      <c r="I14" s="447"/>
      <c r="J14" s="447"/>
      <c r="K14" s="448"/>
    </row>
    <row r="15" spans="1:41" s="2099" customFormat="1" ht="13.5" customHeight="1">
      <c r="A15" s="1618" t="s">
        <v>1849</v>
      </c>
      <c r="B15" s="449" t="s">
        <v>482</v>
      </c>
      <c r="C15" s="53">
        <f ca="1">ROUND(IF(B1="",SUMIF('数据-取费表'!C:C,"住宅",'数据-取费表'!M:M)*F15,IF(INDIRECT("'数据-取费表'!c"&amp;$K$1)="住宅",INDIRECT("'数据-取费表'!M"&amp;$K$1)*F15,0)),0)</f>
        <v>2176</v>
      </c>
      <c r="D15" s="451"/>
      <c r="E15" s="365"/>
      <c r="F15" s="453">
        <f>'数据-取费表'!B34</f>
        <v>0.08</v>
      </c>
      <c r="G15" s="444" t="s">
        <v>502</v>
      </c>
      <c r="H15" s="447"/>
      <c r="I15" s="447"/>
      <c r="J15" s="447"/>
      <c r="K15" s="448"/>
    </row>
    <row r="16" spans="1:41" s="2100" customFormat="1" ht="13.5" customHeight="1">
      <c r="A16" s="1618" t="s">
        <v>1850</v>
      </c>
      <c r="B16" s="449" t="s">
        <v>484</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1851</v>
      </c>
      <c r="B17" s="449" t="s">
        <v>485</v>
      </c>
      <c r="C17" s="454">
        <f ca="1">ROUND(C13*F17,0)</f>
        <v>462</v>
      </c>
      <c r="D17" s="455"/>
      <c r="E17" s="454"/>
      <c r="F17" s="456">
        <f>'数据-取费表'!B36</f>
        <v>1.4999999999999999E-2</v>
      </c>
      <c r="G17" s="444" t="s">
        <v>502</v>
      </c>
      <c r="H17" s="457"/>
      <c r="I17" s="457"/>
      <c r="J17" s="457"/>
      <c r="K17" s="458"/>
    </row>
    <row r="18" spans="1:14" s="2102" customFormat="1" ht="13.5" customHeight="1">
      <c r="A18" s="1619" t="s">
        <v>1852</v>
      </c>
      <c r="B18" s="459" t="s">
        <v>487</v>
      </c>
      <c r="C18" s="460">
        <f ca="1">SUM(C13:C17)</f>
        <v>37428</v>
      </c>
      <c r="D18" s="461"/>
      <c r="E18" s="462"/>
      <c r="F18" s="462"/>
      <c r="G18" s="1322" t="s">
        <v>2430</v>
      </c>
      <c r="H18" s="447"/>
      <c r="I18" s="447"/>
      <c r="J18" s="447"/>
      <c r="K18" s="448"/>
    </row>
    <row r="19" spans="1:14" s="2102" customFormat="1" ht="13.5" customHeight="1">
      <c r="A19" s="1619" t="s">
        <v>1853</v>
      </c>
      <c r="B19" s="459" t="s">
        <v>493</v>
      </c>
      <c r="C19" s="460">
        <f ca="1">ROUND(C18*F19,0)</f>
        <v>749</v>
      </c>
      <c r="D19" s="462"/>
      <c r="E19" s="462"/>
      <c r="F19" s="466">
        <f>'数据-取费表'!B37</f>
        <v>0.02</v>
      </c>
      <c r="G19" s="444" t="s">
        <v>503</v>
      </c>
      <c r="H19" s="447"/>
      <c r="I19" s="447"/>
      <c r="J19" s="447"/>
      <c r="K19" s="448"/>
      <c r="L19" s="2104"/>
      <c r="M19" s="2104"/>
      <c r="N19" s="2104"/>
    </row>
    <row r="20" spans="1:14" s="2102" customFormat="1" ht="13.5" customHeight="1">
      <c r="A20" s="1619" t="s">
        <v>1854</v>
      </c>
      <c r="B20" s="459" t="s">
        <v>504</v>
      </c>
      <c r="C20" s="2980">
        <f>F20</f>
        <v>0.02</v>
      </c>
      <c r="D20" s="469" t="s">
        <v>505</v>
      </c>
      <c r="E20" s="469"/>
      <c r="F20" s="486">
        <f>'数据-取费表'!B38</f>
        <v>0.02</v>
      </c>
      <c r="G20" s="1322" t="s">
        <v>506</v>
      </c>
      <c r="H20" s="447"/>
      <c r="I20" s="447"/>
      <c r="J20" s="447"/>
      <c r="K20" s="448"/>
      <c r="L20" s="2104"/>
      <c r="M20" s="2104"/>
      <c r="N20" s="2104"/>
    </row>
    <row r="21" spans="1:14" s="2104" customFormat="1" ht="13.5" customHeight="1">
      <c r="A21" s="1619" t="s">
        <v>1857</v>
      </c>
      <c r="B21" s="461" t="s">
        <v>494</v>
      </c>
      <c r="C21" s="470">
        <f ca="1">C22</f>
        <v>1352</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8" t="s">
        <v>1847</v>
      </c>
      <c r="B22" s="1323" t="s">
        <v>2433</v>
      </c>
      <c r="C22" s="487">
        <f ca="1">ROUND(IF('数据-取费表'!B22&lt;=1,(C18+C19)*F21*'数据-取费表'!B20/2,(C18+C19)*(POWER((1+F21),'数据-取费表'!B20/2)-1)),0)</f>
        <v>1352</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1848</v>
      </c>
      <c r="B23" s="1323" t="s">
        <v>508</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1858</v>
      </c>
      <c r="B24" s="2982" t="s">
        <v>2830</v>
      </c>
      <c r="C24" s="478">
        <f ca="1">C25</f>
        <v>9926</v>
      </c>
      <c r="D24" s="489">
        <f ca="1">C26</f>
        <v>5.1999999999999998E-3</v>
      </c>
      <c r="E24" s="469" t="s">
        <v>507</v>
      </c>
      <c r="F24" s="479">
        <f ca="1">IF(B1="",'数据-取费表'!Q16,INDIRECT("'数据-取费表'!q"&amp;$K$1))</f>
        <v>0.26</v>
      </c>
      <c r="G24" s="444"/>
      <c r="H24" s="447"/>
      <c r="I24" s="447"/>
      <c r="J24" s="447"/>
      <c r="K24" s="448"/>
    </row>
    <row r="25" spans="1:14" s="2103" customFormat="1" ht="13.5" customHeight="1">
      <c r="A25" s="1618" t="s">
        <v>1847</v>
      </c>
      <c r="B25" s="1323" t="s">
        <v>2434</v>
      </c>
      <c r="C25" s="490">
        <f ca="1">ROUND((C18+C19)*F24,0)</f>
        <v>9926</v>
      </c>
      <c r="D25" s="472"/>
      <c r="E25" s="473"/>
      <c r="F25" s="480"/>
      <c r="G25" s="1321" t="s">
        <v>2431</v>
      </c>
      <c r="H25" s="457"/>
      <c r="I25" s="457"/>
      <c r="J25" s="457"/>
      <c r="K25" s="458"/>
    </row>
    <row r="26" spans="1:14" s="2103" customFormat="1" ht="13.5" customHeight="1">
      <c r="A26" s="1618" t="s">
        <v>1848</v>
      </c>
      <c r="B26" s="1323" t="s">
        <v>509</v>
      </c>
      <c r="C26" s="491">
        <f ca="1">ROUND(F20*F24,4)</f>
        <v>5.1999999999999998E-3</v>
      </c>
      <c r="D26" s="472"/>
      <c r="E26" s="481"/>
      <c r="F26" s="480"/>
      <c r="G26" s="1321" t="s">
        <v>510</v>
      </c>
      <c r="H26" s="457"/>
      <c r="I26" s="457"/>
      <c r="J26" s="457"/>
      <c r="K26" s="458"/>
    </row>
    <row r="27" spans="1:14" s="2103" customFormat="1" ht="13.5" customHeight="1">
      <c r="A27" s="1622" t="s">
        <v>1866</v>
      </c>
      <c r="B27" s="459" t="s">
        <v>511</v>
      </c>
      <c r="C27" s="2981">
        <f>ROUND(F27/(1+'数据-取费表'!C42),4)</f>
        <v>5.2400000000000002E-2</v>
      </c>
      <c r="D27" s="462" t="s">
        <v>2828</v>
      </c>
      <c r="E27" s="462"/>
      <c r="F27" s="466">
        <f>'数据-取费表'!B41</f>
        <v>5.5000000000000007E-2</v>
      </c>
      <c r="G27" s="1943" t="s">
        <v>2289</v>
      </c>
      <c r="H27" s="447"/>
      <c r="I27" s="447"/>
      <c r="J27" s="447"/>
      <c r="K27" s="448"/>
    </row>
    <row r="28" spans="1:14" s="2104" customFormat="1" ht="13.5" customHeight="1">
      <c r="A28" s="1622" t="s">
        <v>1867</v>
      </c>
      <c r="B28" s="476" t="s">
        <v>512</v>
      </c>
      <c r="C28" s="470">
        <f ca="1">ROUND((C18+C19+C21+C24)/(1-C20-D21-D24-C27),0)</f>
        <v>53656</v>
      </c>
      <c r="D28" s="477"/>
      <c r="E28" s="469"/>
      <c r="F28" s="471"/>
      <c r="G28" s="1322" t="s">
        <v>2432</v>
      </c>
      <c r="H28" s="447"/>
      <c r="I28" s="447"/>
      <c r="J28" s="447"/>
      <c r="K28" s="448"/>
    </row>
    <row r="29" spans="1:14" s="2104"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1864</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5"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521</v>
      </c>
      <c r="B6" s="513"/>
      <c r="C6" s="3374" t="s">
        <v>522</v>
      </c>
      <c r="D6" s="3375"/>
      <c r="E6" s="3408" t="s">
        <v>523</v>
      </c>
      <c r="F6" s="3409"/>
      <c r="G6" s="3374" t="s">
        <v>524</v>
      </c>
      <c r="H6" s="3375"/>
      <c r="I6" s="3374" t="s">
        <v>525</v>
      </c>
      <c r="J6" s="3375"/>
      <c r="K6" s="514" t="s">
        <v>526</v>
      </c>
      <c r="L6" s="2116"/>
      <c r="M6" s="2117"/>
      <c r="N6" s="2117"/>
      <c r="O6" s="2117"/>
      <c r="P6" s="3376" t="s">
        <v>527</v>
      </c>
      <c r="Q6" s="3377"/>
      <c r="R6" s="3382" t="s">
        <v>523</v>
      </c>
      <c r="S6" s="3383"/>
      <c r="T6" s="3382" t="s">
        <v>524</v>
      </c>
      <c r="U6" s="3383"/>
      <c r="V6" s="3369" t="s">
        <v>525</v>
      </c>
      <c r="W6" s="3369"/>
      <c r="X6" s="1553"/>
      <c r="Y6" s="3382" t="s">
        <v>527</v>
      </c>
      <c r="Z6" s="3383"/>
      <c r="AA6" s="3371" t="s">
        <v>523</v>
      </c>
      <c r="AB6" s="3372" t="s">
        <v>524</v>
      </c>
      <c r="AC6" s="3371" t="s">
        <v>525</v>
      </c>
    </row>
    <row r="7" spans="1:29" ht="15">
      <c r="A7" s="515"/>
      <c r="B7" s="516"/>
      <c r="C7" s="3390" t="s">
        <v>2920</v>
      </c>
      <c r="D7" s="3391"/>
      <c r="E7" s="3410" t="s">
        <v>2921</v>
      </c>
      <c r="F7" s="3411"/>
      <c r="G7" s="3390" t="s">
        <v>2922</v>
      </c>
      <c r="H7" s="3391"/>
      <c r="I7" s="3390" t="s">
        <v>2923</v>
      </c>
      <c r="J7" s="3391"/>
      <c r="K7" s="514"/>
      <c r="L7" s="2116"/>
      <c r="M7" s="2117"/>
      <c r="N7" s="2117"/>
      <c r="O7" s="2117"/>
      <c r="P7" s="3378"/>
      <c r="Q7" s="3379"/>
      <c r="R7" s="3384"/>
      <c r="S7" s="3385"/>
      <c r="T7" s="3384"/>
      <c r="U7" s="3385"/>
      <c r="V7" s="3369"/>
      <c r="W7" s="3369"/>
      <c r="X7" s="1553"/>
      <c r="Y7" s="3384"/>
      <c r="Z7" s="3385"/>
      <c r="AA7" s="3372"/>
      <c r="AB7" s="3372"/>
      <c r="AC7" s="3372"/>
    </row>
    <row r="8" spans="1:29" ht="15.75" thickBot="1">
      <c r="A8" s="517"/>
      <c r="B8" s="518"/>
      <c r="C8" s="3388" t="s">
        <v>2924</v>
      </c>
      <c r="D8" s="3389"/>
      <c r="E8" s="3406" t="s">
        <v>2924</v>
      </c>
      <c r="F8" s="3407"/>
      <c r="G8" s="3388" t="s">
        <v>2924</v>
      </c>
      <c r="H8" s="3389"/>
      <c r="I8" s="3388" t="s">
        <v>2924</v>
      </c>
      <c r="J8" s="3389"/>
      <c r="K8" s="514" t="s">
        <v>528</v>
      </c>
      <c r="L8" s="2116"/>
      <c r="M8" s="2117"/>
      <c r="N8" s="2117"/>
      <c r="O8" s="2117"/>
      <c r="P8" s="3380"/>
      <c r="Q8" s="3381"/>
      <c r="R8" s="3384"/>
      <c r="S8" s="3385"/>
      <c r="T8" s="3386"/>
      <c r="U8" s="3387"/>
      <c r="V8" s="3369"/>
      <c r="W8" s="3369"/>
      <c r="X8" s="1553"/>
      <c r="Y8" s="3386"/>
      <c r="Z8" s="3387"/>
      <c r="AA8" s="3373"/>
      <c r="AB8" s="3373"/>
      <c r="AC8" s="3373"/>
    </row>
    <row r="9" spans="1:29" s="1215" customFormat="1" ht="15.75" thickBot="1">
      <c r="A9" s="2865"/>
      <c r="B9" s="2872" t="s">
        <v>529</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99" t="s">
        <v>530</v>
      </c>
      <c r="Q9" s="3401"/>
      <c r="R9" s="1554" t="s">
        <v>8</v>
      </c>
      <c r="S9" s="1555">
        <f t="shared" ref="S9:S17" si="0">F9</f>
        <v>0</v>
      </c>
      <c r="T9" s="1554" t="s">
        <v>8</v>
      </c>
      <c r="U9" s="1555">
        <f t="shared" ref="U9:U17" si="1">H9</f>
        <v>0</v>
      </c>
      <c r="V9" s="1554" t="s">
        <v>8</v>
      </c>
      <c r="W9" s="1555">
        <f t="shared" ref="W9:W17" si="2">J9</f>
        <v>0</v>
      </c>
      <c r="X9" s="1556"/>
      <c r="Y9" s="3399" t="s">
        <v>530</v>
      </c>
      <c r="Z9" s="3400"/>
      <c r="AA9" s="1557" t="e">
        <f>D9/F9</f>
        <v>#DIV/0!</v>
      </c>
      <c r="AB9" s="1557" t="e">
        <f>D9/H9</f>
        <v>#DIV/0!</v>
      </c>
      <c r="AC9" s="1557" t="e">
        <f>D9/J9</f>
        <v>#DIV/0!</v>
      </c>
    </row>
    <row r="10" spans="1:29" s="1215"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99" t="s">
        <v>533</v>
      </c>
      <c r="Q10" s="3400"/>
      <c r="R10" s="1554" t="s">
        <v>8</v>
      </c>
      <c r="S10" s="1555">
        <f t="shared" si="0"/>
        <v>0</v>
      </c>
      <c r="T10" s="1554" t="s">
        <v>8</v>
      </c>
      <c r="U10" s="1555">
        <f t="shared" si="1"/>
        <v>0</v>
      </c>
      <c r="V10" s="1554" t="s">
        <v>8</v>
      </c>
      <c r="W10" s="1555">
        <f t="shared" si="2"/>
        <v>0</v>
      </c>
      <c r="X10" s="1556"/>
      <c r="Y10" s="3399" t="s">
        <v>533</v>
      </c>
      <c r="Z10" s="3400"/>
      <c r="AA10" s="1557" t="e">
        <f t="shared" ref="AA10:AA42" si="3">D10/F10</f>
        <v>#DIV/0!</v>
      </c>
      <c r="AB10" s="1557" t="e">
        <f t="shared" ref="AB10:AB42" si="4">D10/H10</f>
        <v>#DIV/0!</v>
      </c>
      <c r="AC10" s="1557" t="e">
        <f t="shared" ref="AC10:AC42" si="5">D10/J10</f>
        <v>#DIV/0!</v>
      </c>
    </row>
    <row r="11" spans="1:29" s="1215" customFormat="1" ht="15">
      <c r="A11" s="2867"/>
      <c r="B11" s="2874" t="s">
        <v>2754</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68" t="s">
        <v>535</v>
      </c>
      <c r="Q11" s="1146" t="str">
        <f t="shared" ref="Q11:Q17" si="6">B11</f>
        <v>用途</v>
      </c>
      <c r="R11" s="1554" t="s">
        <v>8</v>
      </c>
      <c r="S11" s="1555">
        <f t="shared" si="0"/>
        <v>100</v>
      </c>
      <c r="T11" s="1554" t="s">
        <v>8</v>
      </c>
      <c r="U11" s="1555">
        <f t="shared" si="1"/>
        <v>100</v>
      </c>
      <c r="V11" s="1554" t="s">
        <v>8</v>
      </c>
      <c r="W11" s="1555">
        <f t="shared" si="2"/>
        <v>100</v>
      </c>
      <c r="X11" s="1556"/>
      <c r="Y11" s="3314" t="s">
        <v>536</v>
      </c>
      <c r="Z11" s="1145" t="str">
        <f t="shared" ref="Z11:Z17" si="7">Q11</f>
        <v>用途</v>
      </c>
      <c r="AA11" s="1557">
        <f t="shared" si="3"/>
        <v>1</v>
      </c>
      <c r="AB11" s="1557">
        <f t="shared" si="4"/>
        <v>1</v>
      </c>
      <c r="AC11" s="1557">
        <f t="shared" si="5"/>
        <v>1</v>
      </c>
    </row>
    <row r="12" spans="1:29" s="1333" customFormat="1" ht="27">
      <c r="A12" s="2868"/>
      <c r="B12" s="2873" t="s">
        <v>2755</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68"/>
      <c r="Q12" s="1146" t="str">
        <f t="shared" si="6"/>
        <v>土地使用年限（年）</v>
      </c>
      <c r="R12" s="1554" t="s">
        <v>8</v>
      </c>
      <c r="S12" s="1555">
        <f t="shared" si="0"/>
        <v>100</v>
      </c>
      <c r="T12" s="1554" t="s">
        <v>8</v>
      </c>
      <c r="U12" s="1555">
        <f t="shared" si="1"/>
        <v>100</v>
      </c>
      <c r="V12" s="1554" t="s">
        <v>8</v>
      </c>
      <c r="W12" s="1555">
        <f t="shared" si="2"/>
        <v>100</v>
      </c>
      <c r="X12" s="1556"/>
      <c r="Y12" s="3314"/>
      <c r="Z12" s="1145" t="str">
        <f t="shared" si="7"/>
        <v>土地使用年限（年）</v>
      </c>
      <c r="AA12" s="1557">
        <f t="shared" si="3"/>
        <v>1</v>
      </c>
      <c r="AB12" s="1557">
        <f t="shared" si="4"/>
        <v>1</v>
      </c>
      <c r="AC12" s="1557">
        <f t="shared" si="5"/>
        <v>1</v>
      </c>
    </row>
    <row r="13" spans="1:29" ht="15">
      <c r="A13" s="2869"/>
      <c r="B13" s="2873"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68"/>
      <c r="Q13" s="1146" t="str">
        <f t="shared" si="6"/>
        <v>容积率</v>
      </c>
      <c r="R13" s="1554" t="s">
        <v>8</v>
      </c>
      <c r="S13" s="1555" t="e">
        <f t="shared" si="0"/>
        <v>#N/A</v>
      </c>
      <c r="T13" s="1554" t="s">
        <v>8</v>
      </c>
      <c r="U13" s="1555" t="e">
        <f t="shared" si="1"/>
        <v>#N/A</v>
      </c>
      <c r="V13" s="1554" t="s">
        <v>8</v>
      </c>
      <c r="W13" s="1555" t="e">
        <f t="shared" si="2"/>
        <v>#N/A</v>
      </c>
      <c r="X13" s="1556"/>
      <c r="Y13" s="3314"/>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68"/>
      <c r="Q15" s="1146">
        <f t="shared" si="6"/>
        <v>111</v>
      </c>
      <c r="R15" s="1554" t="s">
        <v>8</v>
      </c>
      <c r="S15" s="1555">
        <f t="shared" si="0"/>
        <v>100</v>
      </c>
      <c r="T15" s="1554" t="s">
        <v>8</v>
      </c>
      <c r="U15" s="1555">
        <f t="shared" si="1"/>
        <v>100</v>
      </c>
      <c r="V15" s="1554" t="s">
        <v>8</v>
      </c>
      <c r="W15" s="1555">
        <f t="shared" si="2"/>
        <v>100</v>
      </c>
      <c r="X15" s="1556"/>
      <c r="Y15" s="3314"/>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68"/>
      <c r="Q16" s="1146">
        <f t="shared" si="6"/>
        <v>111</v>
      </c>
      <c r="R16" s="1554" t="s">
        <v>8</v>
      </c>
      <c r="S16" s="1555">
        <f t="shared" si="0"/>
        <v>100</v>
      </c>
      <c r="T16" s="1554" t="s">
        <v>8</v>
      </c>
      <c r="U16" s="1555">
        <f t="shared" si="1"/>
        <v>100</v>
      </c>
      <c r="V16" s="1554" t="s">
        <v>8</v>
      </c>
      <c r="W16" s="1555">
        <f t="shared" si="2"/>
        <v>100</v>
      </c>
      <c r="X16" s="1556"/>
      <c r="Y16" s="3314"/>
      <c r="Z16" s="1145">
        <f t="shared" si="7"/>
        <v>111</v>
      </c>
      <c r="AA16" s="1557">
        <f t="shared" si="3"/>
        <v>1</v>
      </c>
      <c r="AB16" s="1557">
        <f t="shared" si="4"/>
        <v>1</v>
      </c>
      <c r="AC16" s="1557">
        <f t="shared" si="5"/>
        <v>1</v>
      </c>
    </row>
    <row r="17" spans="1:29" ht="57">
      <c r="A17" s="2863"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2" t="s">
        <v>540</v>
      </c>
      <c r="Q17" s="1558" t="str">
        <f t="shared" si="6"/>
        <v>产业集聚程度</v>
      </c>
      <c r="R17" s="1559" t="s">
        <v>8</v>
      </c>
      <c r="S17" s="1560">
        <f t="shared" si="0"/>
        <v>100</v>
      </c>
      <c r="T17" s="1559" t="s">
        <v>8</v>
      </c>
      <c r="U17" s="1560">
        <f t="shared" si="1"/>
        <v>100</v>
      </c>
      <c r="V17" s="1559" t="s">
        <v>8</v>
      </c>
      <c r="W17" s="1560">
        <f t="shared" si="2"/>
        <v>100</v>
      </c>
      <c r="X17" s="1553"/>
      <c r="Y17" s="340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03"/>
      <c r="Q18" s="1558"/>
      <c r="R18" s="1559"/>
      <c r="S18" s="1560"/>
      <c r="T18" s="1559"/>
      <c r="U18" s="1560"/>
      <c r="V18" s="1559"/>
      <c r="W18" s="1560"/>
      <c r="X18" s="1553"/>
      <c r="Y18" s="340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03"/>
      <c r="Q20" s="1558"/>
      <c r="R20" s="1559"/>
      <c r="S20" s="1560"/>
      <c r="T20" s="1559"/>
      <c r="U20" s="1560"/>
      <c r="V20" s="1559"/>
      <c r="W20" s="1560"/>
      <c r="X20" s="1553"/>
      <c r="Y20" s="340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03"/>
      <c r="Q22" s="1558"/>
      <c r="R22" s="1559"/>
      <c r="S22" s="1560"/>
      <c r="T22" s="1559"/>
      <c r="U22" s="1560"/>
      <c r="V22" s="1559"/>
      <c r="W22" s="1560"/>
      <c r="X22" s="1553"/>
      <c r="Y22" s="3403"/>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03"/>
      <c r="Q24" s="1558"/>
      <c r="R24" s="1559"/>
      <c r="S24" s="1560"/>
      <c r="T24" s="1559"/>
      <c r="U24" s="1560"/>
      <c r="V24" s="1559"/>
      <c r="W24" s="1560"/>
      <c r="X24" s="1553"/>
      <c r="Y24" s="3403"/>
      <c r="Z24" s="1561"/>
      <c r="AA24" s="1562">
        <v>1</v>
      </c>
      <c r="AB24" s="1562">
        <v>1</v>
      </c>
      <c r="AC24" s="1562">
        <v>1</v>
      </c>
    </row>
    <row r="25" spans="1:29" s="1215" customFormat="1" ht="42.75">
      <c r="A25" s="577"/>
      <c r="B25" s="255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3"/>
      <c r="Q25" s="1146" t="str">
        <f t="shared" si="8"/>
        <v>公共配套设施</v>
      </c>
      <c r="R25" s="1554" t="s">
        <v>8</v>
      </c>
      <c r="S25" s="1555">
        <f>F25</f>
        <v>100</v>
      </c>
      <c r="T25" s="1554" t="s">
        <v>8</v>
      </c>
      <c r="U25" s="1555">
        <f>H25</f>
        <v>100</v>
      </c>
      <c r="V25" s="1554" t="s">
        <v>8</v>
      </c>
      <c r="W25" s="1555">
        <f>J25</f>
        <v>100</v>
      </c>
      <c r="X25" s="1556"/>
      <c r="Y25" s="3403"/>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03"/>
      <c r="Q26" s="1146"/>
      <c r="R26" s="1554"/>
      <c r="S26" s="1555"/>
      <c r="T26" s="1554"/>
      <c r="U26" s="1555"/>
      <c r="V26" s="1554"/>
      <c r="W26" s="1555"/>
      <c r="X26" s="1556"/>
      <c r="Y26" s="3403"/>
      <c r="Z26" s="1145"/>
      <c r="AA26" s="1557">
        <v>1</v>
      </c>
      <c r="AB26" s="1557">
        <v>1</v>
      </c>
      <c r="AC26" s="1557">
        <v>1</v>
      </c>
    </row>
    <row r="27" spans="1:29" s="1215" customFormat="1" ht="28.5">
      <c r="A27" s="577"/>
      <c r="B27" s="255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3"/>
      <c r="Q27" s="2540" t="str">
        <f t="shared" ref="Q27" si="9">B27</f>
        <v>基础设施水平</v>
      </c>
      <c r="R27" s="1554" t="s">
        <v>8</v>
      </c>
      <c r="S27" s="1555">
        <f>F27</f>
        <v>100</v>
      </c>
      <c r="T27" s="1554" t="s">
        <v>8</v>
      </c>
      <c r="U27" s="1555">
        <f>H27</f>
        <v>100</v>
      </c>
      <c r="V27" s="1554" t="s">
        <v>8</v>
      </c>
      <c r="W27" s="1555">
        <f>J27</f>
        <v>100</v>
      </c>
      <c r="X27" s="1556"/>
      <c r="Y27" s="3403"/>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03"/>
      <c r="Q28" s="2540"/>
      <c r="R28" s="1554"/>
      <c r="S28" s="1555"/>
      <c r="T28" s="1554"/>
      <c r="U28" s="1555"/>
      <c r="V28" s="1554"/>
      <c r="W28" s="1555"/>
      <c r="X28" s="1556"/>
      <c r="Y28" s="3403"/>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03"/>
      <c r="Q31" s="1558"/>
      <c r="R31" s="1559"/>
      <c r="S31" s="1560"/>
      <c r="T31" s="1559"/>
      <c r="U31" s="1560"/>
      <c r="V31" s="1559"/>
      <c r="W31" s="1560"/>
      <c r="X31" s="1553"/>
      <c r="Y31" s="3403"/>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04" t="s">
        <v>550</v>
      </c>
      <c r="Q34" s="1558">
        <f t="shared" si="8"/>
        <v>111</v>
      </c>
      <c r="R34" s="1559" t="s">
        <v>8</v>
      </c>
      <c r="S34" s="1560">
        <f t="shared" si="10"/>
        <v>100</v>
      </c>
      <c r="T34" s="1559" t="s">
        <v>8</v>
      </c>
      <c r="U34" s="1560">
        <f t="shared" si="11"/>
        <v>100</v>
      </c>
      <c r="V34" s="1559" t="s">
        <v>8</v>
      </c>
      <c r="W34" s="1560">
        <f t="shared" si="12"/>
        <v>100</v>
      </c>
      <c r="X34" s="1553"/>
      <c r="Y34" s="3405" t="s">
        <v>550</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60"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5" t="s">
        <v>601</v>
      </c>
      <c r="Q39" s="1558" t="str">
        <f t="shared" si="14"/>
        <v>工程地质条件</v>
      </c>
      <c r="R39" s="1559" t="s">
        <v>8</v>
      </c>
      <c r="S39" s="1560">
        <f t="shared" si="10"/>
        <v>100</v>
      </c>
      <c r="T39" s="1559" t="s">
        <v>8</v>
      </c>
      <c r="U39" s="1560">
        <f t="shared" si="11"/>
        <v>100</v>
      </c>
      <c r="V39" s="1559" t="s">
        <v>8</v>
      </c>
      <c r="W39" s="1560">
        <f t="shared" si="12"/>
        <v>100</v>
      </c>
      <c r="X39" s="1553"/>
      <c r="Y39" s="340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7"/>
      <c r="M43" s="2117"/>
      <c r="N43" s="2117"/>
      <c r="O43" s="2128"/>
      <c r="P43" s="3368" t="str">
        <f>A43</f>
        <v>成交单价</v>
      </c>
      <c r="Q43" s="3368"/>
      <c r="R43" s="3369">
        <f>E43</f>
        <v>0</v>
      </c>
      <c r="S43" s="3369"/>
      <c r="T43" s="3369">
        <f>G43</f>
        <v>0</v>
      </c>
      <c r="U43" s="3369"/>
      <c r="V43" s="3369">
        <f>I43</f>
        <v>0</v>
      </c>
      <c r="W43" s="3369"/>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6"/>
      <c r="L44" s="2127"/>
      <c r="M44" s="2117"/>
      <c r="N44" s="2117"/>
      <c r="O44" s="2128"/>
      <c r="P44" s="3368" t="str">
        <f>A44</f>
        <v>比较价格（元/平方米）</v>
      </c>
      <c r="Q44" s="3368"/>
      <c r="R44" s="3370" t="e">
        <f>ROUND(PRODUCT(R43,AA9:AA42),0)</f>
        <v>#DIV/0!</v>
      </c>
      <c r="S44" s="3370"/>
      <c r="T44" s="3370" t="e">
        <f>ROUND(PRODUCT(T43,AB9:AB42),0)</f>
        <v>#DIV/0!</v>
      </c>
      <c r="U44" s="3370"/>
      <c r="V44" s="3370" t="e">
        <f>ROUND(PRODUCT(V43,AC9:AC42),0)</f>
        <v>#DIV/0!</v>
      </c>
      <c r="W44" s="3370"/>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7"/>
      <c r="M45" s="2117"/>
      <c r="N45" s="2117"/>
      <c r="O45" s="2128"/>
      <c r="P45" s="3365" t="str">
        <f>A45</f>
        <v>估价对象XX用房的比较价格（楼面单价，元/平方米）</v>
      </c>
      <c r="Q45" s="3366"/>
      <c r="R45" s="3367" t="e">
        <f>ROUND(AVERAGE(R44:V44),0)</f>
        <v>#DIV/0!</v>
      </c>
      <c r="S45" s="3367"/>
      <c r="T45" s="3367"/>
      <c r="U45" s="3367"/>
      <c r="V45" s="3367"/>
      <c r="W45" s="3367"/>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6" t="s">
        <v>1723</v>
      </c>
      <c r="D52" s="2210" t="s">
        <v>2291</v>
      </c>
      <c r="E52" s="631" t="s">
        <v>562</v>
      </c>
      <c r="F52" s="1934" t="s">
        <v>563</v>
      </c>
      <c r="G52" s="3412" t="s">
        <v>2282</v>
      </c>
      <c r="H52" s="3413"/>
      <c r="I52" s="1935" t="s">
        <v>1944</v>
      </c>
      <c r="J52" s="1541" t="str">
        <f>项目基本情况!F41</f>
        <v>湖北省黄石市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120900</v>
      </c>
      <c r="F53" s="1933" t="e">
        <f t="shared" ref="F53:F62" si="15">ROUND(B53*E53/10000,0)</f>
        <v>#DIV/0!</v>
      </c>
      <c r="G53" s="3414"/>
      <c r="H53" s="3415"/>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16" t="s">
        <v>2283</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16"/>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16"/>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16"/>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2292</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574</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2531</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2647</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2424</v>
      </c>
      <c r="D1" s="1508">
        <f>SUM(D29:D30,D33:D39)</f>
        <v>0</v>
      </c>
      <c r="E1" s="1402" t="s">
        <v>2425</v>
      </c>
      <c r="F1" s="2414"/>
      <c r="G1" s="1397"/>
      <c r="H1" s="1397"/>
      <c r="I1" s="1397"/>
      <c r="J1" s="1397"/>
      <c r="K1" s="1397"/>
      <c r="L1" s="1865" t="s">
        <v>2236</v>
      </c>
      <c r="M1" s="1866">
        <f>SUMPRODUCT((区片价!B5:B9=I2)*(区片价!C3:F3=E2)*(区片价!C5:F9))</f>
        <v>0</v>
      </c>
      <c r="N1" s="1867">
        <f>SUMPRODUCT((因素修正幅度!B5:B9=I2)*(因素修正幅度!C3:F3=E2)*(因素修正幅度!C5:F9))</f>
        <v>0</v>
      </c>
      <c r="O1" s="1397"/>
      <c r="P1" s="1397"/>
      <c r="Q1" s="2172"/>
      <c r="R1" s="2889" t="s">
        <v>2760</v>
      </c>
      <c r="S1" s="2889" t="s">
        <v>2761</v>
      </c>
      <c r="T1" s="2889" t="s">
        <v>2782</v>
      </c>
      <c r="U1" s="2889" t="s">
        <v>2783</v>
      </c>
      <c r="V1" s="2889" t="s">
        <v>2784</v>
      </c>
      <c r="W1" s="2172"/>
      <c r="X1" s="2172"/>
      <c r="Y1" s="2172"/>
      <c r="Z1" s="2172"/>
      <c r="AA1" s="2172"/>
      <c r="AB1" s="2172"/>
      <c r="AC1" s="2173"/>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8" t="s">
        <v>2237</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1686</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8" t="s">
        <v>2238</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3"/>
      <c r="L4" s="1868" t="s">
        <v>2239</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1822</v>
      </c>
      <c r="B5" s="1411" t="s">
        <v>930</v>
      </c>
      <c r="C5" s="1040" t="e">
        <f>ROUND(IF(E2="商业",C6*C7+C16,(IF(E2="住宅",C6*C12+C16,C6+C16))),0)</f>
        <v>#DIV/0!</v>
      </c>
      <c r="D5" s="3067" t="e">
        <f>ROUND(C6+C16,0)</f>
        <v>#DIV/0!</v>
      </c>
      <c r="E5" s="3067"/>
      <c r="F5" s="1412"/>
      <c r="G5" s="1413"/>
      <c r="H5" s="1413"/>
      <c r="I5" s="1413"/>
      <c r="J5" s="1414"/>
      <c r="K5" s="3144"/>
      <c r="L5" s="1868" t="s">
        <v>2240</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68" t="s">
        <v>2241</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28" t="str">
        <f>IF(E2="商业",IF(C8="不临58条商业街","",2),"")</f>
        <v/>
      </c>
      <c r="B7" s="1423" t="s">
        <v>931</v>
      </c>
      <c r="C7" s="1042" t="e">
        <f>IF(C8="不临58条商业街",1,ROUND(1+(1.6*E8+1.2*E9+0.8*E10+0.4*E11)*C9,4))</f>
        <v>#DIV/0!</v>
      </c>
      <c r="D7" s="1424" t="s">
        <v>932</v>
      </c>
      <c r="E7" s="1043"/>
      <c r="F7" s="1425"/>
      <c r="G7" s="1426"/>
      <c r="H7" s="1426"/>
      <c r="I7" s="1426"/>
      <c r="J7" s="1427"/>
      <c r="K7" s="1452"/>
      <c r="L7" s="1868" t="s">
        <v>2242</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2763</v>
      </c>
      <c r="X7" s="2880">
        <f>G2</f>
        <v>0</v>
      </c>
      <c r="Y7" s="2880" t="s">
        <v>2764</v>
      </c>
      <c r="Z7" s="2881">
        <f>G3</f>
        <v>0</v>
      </c>
      <c r="AA7" s="2175"/>
      <c r="AB7" s="2175"/>
      <c r="AC7" s="2176"/>
      <c r="AD7" s="2882"/>
      <c r="AE7" s="2882"/>
      <c r="AF7" s="2882"/>
      <c r="AG7" s="2882"/>
      <c r="AH7" s="2882"/>
      <c r="AI7" s="2882"/>
      <c r="AJ7" s="2883"/>
    </row>
    <row r="8" spans="1:39" ht="15">
      <c r="A8" s="3429"/>
      <c r="B8" s="1410" t="s">
        <v>933</v>
      </c>
      <c r="C8" s="1516"/>
      <c r="D8" s="1044" t="s">
        <v>934</v>
      </c>
      <c r="E8" s="1045" t="e">
        <f>ROUND(C11/E7,4)</f>
        <v>#DIV/0!</v>
      </c>
      <c r="F8" s="1428" t="s">
        <v>935</v>
      </c>
      <c r="G8" s="1429"/>
      <c r="H8" s="1429"/>
      <c r="I8" s="1429"/>
      <c r="J8" s="1430"/>
      <c r="K8" s="1452"/>
      <c r="L8" s="1868" t="s">
        <v>2243</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18" t="s">
        <v>2781</v>
      </c>
      <c r="X8" s="3419"/>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29"/>
      <c r="B9" s="1410" t="s">
        <v>936</v>
      </c>
      <c r="C9" s="1046">
        <f>SUMIF(修正!C59:C119,C8,修正!E59:E119)</f>
        <v>0</v>
      </c>
      <c r="D9" s="1047" t="s">
        <v>937</v>
      </c>
      <c r="E9" s="1047" t="e">
        <f>ROUND(C11/E7,4)</f>
        <v>#DIV/0!</v>
      </c>
      <c r="F9" s="1428" t="s">
        <v>938</v>
      </c>
      <c r="G9" s="1429"/>
      <c r="H9" s="1429"/>
      <c r="I9" s="1429"/>
      <c r="J9" s="1430"/>
      <c r="K9" s="1452"/>
      <c r="L9" s="1868" t="s">
        <v>2244</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17" t="s">
        <v>2777</v>
      </c>
      <c r="X9" s="2884" t="s">
        <v>2778</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9"/>
      <c r="B10" s="1410" t="s">
        <v>939</v>
      </c>
      <c r="C10" s="1047">
        <f>SUMIF(修正!C59:C119,C8,修正!F59:F119)</f>
        <v>0</v>
      </c>
      <c r="D10" s="1047" t="s">
        <v>940</v>
      </c>
      <c r="E10" s="1047" t="e">
        <f>ROUND(C11/E7,4)</f>
        <v>#DIV/0!</v>
      </c>
      <c r="F10" s="1428" t="s">
        <v>941</v>
      </c>
      <c r="G10" s="1429"/>
      <c r="H10" s="1429"/>
      <c r="I10" s="1429"/>
      <c r="J10" s="1430"/>
      <c r="K10" s="1452"/>
      <c r="L10" s="1868" t="s">
        <v>2245</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1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9"/>
      <c r="B11" s="1431" t="s">
        <v>942</v>
      </c>
      <c r="C11" s="1048">
        <f>C10/4</f>
        <v>0</v>
      </c>
      <c r="D11" s="1048" t="s">
        <v>943</v>
      </c>
      <c r="E11" s="1048" t="e">
        <f>ROUND(C11/E7,4)</f>
        <v>#DIV/0!</v>
      </c>
      <c r="F11" s="1432" t="s">
        <v>944</v>
      </c>
      <c r="G11" s="1433"/>
      <c r="H11" s="1433"/>
      <c r="I11" s="1433"/>
      <c r="J11" s="1434"/>
      <c r="K11" s="1452"/>
      <c r="L11" s="1868" t="s">
        <v>2246</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17" t="s">
        <v>2779</v>
      </c>
      <c r="X11" s="1047" t="s">
        <v>2764</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8" t="s">
        <v>1870</v>
      </c>
      <c r="B12" s="1435" t="s">
        <v>945</v>
      </c>
      <c r="C12" s="1042">
        <f>ROUND(C15*D15*E15*F15*G15*H15*I15*J15,4)</f>
        <v>1</v>
      </c>
      <c r="D12" s="1436" t="s">
        <v>946</v>
      </c>
      <c r="E12" s="1437"/>
      <c r="F12" s="1437"/>
      <c r="G12" s="1438"/>
      <c r="H12" s="1438"/>
      <c r="I12" s="1438"/>
      <c r="J12" s="1439"/>
      <c r="K12" s="1452"/>
      <c r="L12" s="1871" t="s">
        <v>2247</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17"/>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0"/>
      <c r="B13" s="1440" t="s">
        <v>1695</v>
      </c>
      <c r="C13" s="1441" t="s">
        <v>1696</v>
      </c>
      <c r="D13" s="1084" t="s">
        <v>1697</v>
      </c>
      <c r="E13" s="1084" t="s">
        <v>1698</v>
      </c>
      <c r="F13" s="1442" t="s">
        <v>947</v>
      </c>
      <c r="G13" s="1443" t="s">
        <v>1641</v>
      </c>
      <c r="H13" s="1444" t="s">
        <v>1641</v>
      </c>
      <c r="I13" s="1445" t="s">
        <v>1641</v>
      </c>
      <c r="J13" s="1446" t="s">
        <v>1641</v>
      </c>
      <c r="K13" s="3159"/>
      <c r="L13" s="3159"/>
      <c r="M13" s="3159"/>
      <c r="N13" s="3159"/>
      <c r="O13" s="3159"/>
      <c r="P13" s="1397"/>
      <c r="Q13" s="2172"/>
      <c r="R13" s="2890">
        <v>12</v>
      </c>
      <c r="S13" s="2879"/>
      <c r="T13" s="2890" t="e">
        <f t="shared" si="0"/>
        <v>#DIV/0!</v>
      </c>
      <c r="U13" s="2879"/>
      <c r="V13" s="2890" t="e">
        <f t="shared" si="1"/>
        <v>#DIV/0!</v>
      </c>
      <c r="W13" s="3417"/>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0"/>
      <c r="B14" s="1447"/>
      <c r="C14" s="1448"/>
      <c r="D14" s="1449"/>
      <c r="E14" s="1449"/>
      <c r="F14" s="1450"/>
      <c r="G14" s="1451" t="s">
        <v>948</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1"/>
      <c r="B15" s="3164" t="s">
        <v>1699</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8" t="s">
        <v>1837</v>
      </c>
      <c r="B16" s="1423" t="s">
        <v>949</v>
      </c>
      <c r="C16" s="1051" t="e">
        <f>ROUND(IF(F17="与级别开发程度一致",0,(G17-E17)/C17),0)</f>
        <v>#DIV/0!</v>
      </c>
      <c r="D16" s="3425" t="s">
        <v>953</v>
      </c>
      <c r="E16" s="3426"/>
      <c r="F16" s="3425" t="s">
        <v>950</v>
      </c>
      <c r="G16" s="3426"/>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2"/>
      <c r="B17" s="3170" t="s">
        <v>952</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1828</v>
      </c>
      <c r="B18" s="3165" t="s">
        <v>954</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43663</v>
      </c>
      <c r="H19" s="1463" t="s">
        <v>2986</v>
      </c>
      <c r="I19" s="2738" t="str">
        <f>IF(H19="季度增幅（自定义）",SUMIF(N21:N24,E2,O21:O24),"")</f>
        <v/>
      </c>
      <c r="J19" s="1459"/>
      <c r="K19" s="3144"/>
      <c r="L19" s="2990" t="s">
        <v>2839</v>
      </c>
      <c r="M19" s="2991">
        <f>ROUND(SUMIF(地价!B2:F2,E2,地价!B27:F27),0)</f>
        <v>0</v>
      </c>
      <c r="N19" s="2740" t="s">
        <v>1675</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1835</v>
      </c>
      <c r="B20" s="2733" t="s">
        <v>970</v>
      </c>
      <c r="C20" s="2734" t="e">
        <f>ROUND(POWER(1+G20,J20-I20)*(POWER(1+G20,I20)-1)/(POWER(1+G20,J20)-1),4)</f>
        <v>#DIV/0!</v>
      </c>
      <c r="D20" s="2735" t="s">
        <v>971</v>
      </c>
      <c r="E20" s="3042">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6"/>
      <c r="L20" s="2992" t="s">
        <v>2840</v>
      </c>
      <c r="M20" s="3153">
        <f>ROUND(SUMPRODUCT((地价!A4:A27=YEAR(G19)&amp;"-"&amp;ROUNDUP(MONTH(G19)/3,0))*(地价!B2:F2=E2)*(地价!B4:F27)),0)</f>
        <v>0</v>
      </c>
      <c r="N20" s="2743" t="s">
        <v>2643</v>
      </c>
      <c r="O20" s="2741" t="s">
        <v>2642</v>
      </c>
      <c r="P20" s="2742" t="s">
        <v>2648</v>
      </c>
      <c r="Q20" s="2878"/>
      <c r="R20" s="2178"/>
      <c r="S20" s="2178"/>
      <c r="T20" s="2178"/>
      <c r="U20" s="2178"/>
      <c r="V20" s="2178"/>
      <c r="W20" s="2178"/>
      <c r="X20" s="2178"/>
      <c r="Y20" s="1460"/>
      <c r="Z20" s="1460"/>
      <c r="AA20" s="1460"/>
      <c r="AB20" s="1460"/>
      <c r="AC20" s="1460"/>
      <c r="AD20" s="1460"/>
    </row>
    <row r="21" spans="1:40" s="1417" customFormat="1" ht="14.25">
      <c r="A21" s="1627" t="s">
        <v>1836</v>
      </c>
      <c r="B21" s="1468" t="s">
        <v>2759</v>
      </c>
      <c r="C21" s="1153">
        <f>IF(B21="容积率修正",IF(G3&lt;=10,D22,J22),C23)</f>
        <v>0</v>
      </c>
      <c r="D21" s="1469"/>
      <c r="E21" s="1469"/>
      <c r="F21" s="1469"/>
      <c r="G21" s="1469"/>
      <c r="H21" s="1469"/>
      <c r="I21" s="1469"/>
      <c r="J21" s="1470"/>
      <c r="K21" s="3144"/>
      <c r="L21" s="1469"/>
      <c r="M21" s="1469"/>
      <c r="N21" s="1466" t="s">
        <v>974</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47"/>
      <c r="L22" s="1469"/>
      <c r="M22" s="1469"/>
      <c r="N22" s="1466" t="s">
        <v>977</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922</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48"/>
      <c r="L24" s="1469"/>
      <c r="M24" s="1469"/>
      <c r="N24" s="1466" t="s">
        <v>980</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8"/>
      <c r="M25" s="2178"/>
      <c r="N25" s="3154" t="s">
        <v>2646</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992</v>
      </c>
      <c r="C29" s="1058" t="e">
        <f>ROUND(C5*C18*C19*C20*C21*C24,0)</f>
        <v>#DIV/0!</v>
      </c>
      <c r="D29" s="1491"/>
      <c r="E29" s="1832" t="e">
        <f>ROUND(C29*D29/10000,0)</f>
        <v>#DIV/0!</v>
      </c>
      <c r="F29" s="1492" t="s">
        <v>1700</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993</v>
      </c>
      <c r="C30" s="1050" t="e">
        <f>ROUND(IF(E2="工业",C29*M39,C29*M38),0)</f>
        <v>#DIV/0!</v>
      </c>
      <c r="D30" s="1497"/>
      <c r="E30" s="1832" t="e">
        <f>ROUND(C30*D30/10000,0)</f>
        <v>#DIV/0!</v>
      </c>
      <c r="F30" s="1498" t="s">
        <v>994</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35"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36"/>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36"/>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37"/>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2978</v>
      </c>
      <c r="C41" s="839" t="e">
        <f>ROUND(POWER(1+E41,H41-G41)*(POWER(1+E41,G41)-1)/(POWER(1+E41,H41)-1),4)</f>
        <v>#DIV/0!</v>
      </c>
      <c r="D41" s="378" t="s">
        <v>2976</v>
      </c>
      <c r="E41" s="3141">
        <f>G20</f>
        <v>0</v>
      </c>
      <c r="F41" s="378" t="s">
        <v>2977</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1005</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1006</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1007</v>
      </c>
      <c r="B46" s="2370" t="s">
        <v>1008</v>
      </c>
      <c r="C46" s="2392" t="s">
        <v>1009</v>
      </c>
      <c r="D46" s="2393" t="s">
        <v>1010</v>
      </c>
      <c r="E46" s="2394" t="s">
        <v>1012</v>
      </c>
      <c r="F46" s="2395" t="s">
        <v>2248</v>
      </c>
      <c r="G46" s="2393" t="s">
        <v>1013</v>
      </c>
      <c r="H46" s="2376" t="s">
        <v>2416</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1019</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1020</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1021</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1022</v>
      </c>
      <c r="B50" s="3044" t="s">
        <v>2928</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1023</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1024</v>
      </c>
      <c r="B52" s="3043" t="s">
        <v>2927</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1025</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1026</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1027</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1028</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1007</v>
      </c>
      <c r="B57" s="2370"/>
      <c r="C57" s="2392" t="s">
        <v>1009</v>
      </c>
      <c r="D57" s="2393" t="s">
        <v>1010</v>
      </c>
      <c r="E57" s="2394" t="s">
        <v>1012</v>
      </c>
      <c r="F57" s="2395" t="s">
        <v>2249</v>
      </c>
      <c r="G57" s="2393" t="s">
        <v>1013</v>
      </c>
      <c r="H57" s="2376" t="s">
        <v>2416</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1029</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1020</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1021</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1022</v>
      </c>
      <c r="B61" s="3044" t="s">
        <v>2929</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1023</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1024</v>
      </c>
      <c r="B63" s="3043" t="s">
        <v>2927</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1025</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1026</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1027</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1030</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1007</v>
      </c>
      <c r="B68" s="2370"/>
      <c r="C68" s="2392" t="s">
        <v>1009</v>
      </c>
      <c r="D68" s="2393" t="s">
        <v>1010</v>
      </c>
      <c r="E68" s="2394" t="s">
        <v>1012</v>
      </c>
      <c r="F68" s="2395" t="s">
        <v>2250</v>
      </c>
      <c r="G68" s="2393" t="s">
        <v>1013</v>
      </c>
      <c r="H68" s="2376" t="s">
        <v>2416</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1031</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1032</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1021</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1033</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1025</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1026</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1024</v>
      </c>
      <c r="B75" s="3043" t="s">
        <v>2927</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1027</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1034</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1035</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1007</v>
      </c>
      <c r="B79" s="2370"/>
      <c r="C79" s="2392" t="s">
        <v>1009</v>
      </c>
      <c r="D79" s="2393" t="s">
        <v>1010</v>
      </c>
      <c r="E79" s="2394" t="s">
        <v>1012</v>
      </c>
      <c r="F79" s="2395" t="s">
        <v>2251</v>
      </c>
      <c r="G79" s="2393" t="s">
        <v>1013</v>
      </c>
      <c r="H79" s="2376" t="s">
        <v>2416</v>
      </c>
      <c r="I79" s="2393" t="s">
        <v>1011</v>
      </c>
      <c r="J79" s="2396" t="s">
        <v>1014</v>
      </c>
      <c r="K79" s="2396" t="s">
        <v>1015</v>
      </c>
      <c r="L79" s="2396" t="s">
        <v>1016</v>
      </c>
      <c r="M79" s="2396" t="s">
        <v>1017</v>
      </c>
      <c r="N79" s="2396" t="s">
        <v>1018</v>
      </c>
      <c r="AC79" s="1401"/>
      <c r="AD79" s="1400"/>
      <c r="AJ79" s="1399"/>
      <c r="AN79" s="1400"/>
    </row>
    <row r="80" spans="1:40" ht="36">
      <c r="A80" s="1062" t="s">
        <v>1036</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1032</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1021</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1033</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1025</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1026</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1024</v>
      </c>
      <c r="B86" s="3043" t="s">
        <v>2927</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1037</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33" t="s">
        <v>1632</v>
      </c>
      <c r="B90" s="3433"/>
      <c r="C90" s="3433"/>
      <c r="D90" s="3433"/>
      <c r="E90" s="3433"/>
      <c r="F90" s="3433"/>
      <c r="G90" s="3433"/>
      <c r="H90" s="3433"/>
      <c r="I90" s="3433"/>
      <c r="J90" s="3433"/>
      <c r="K90" s="2412"/>
      <c r="L90" s="2412"/>
      <c r="M90" s="2412"/>
      <c r="N90" s="2412"/>
    </row>
    <row r="91" spans="1:40">
      <c r="A91" s="3434" t="s">
        <v>1442</v>
      </c>
      <c r="B91" s="3434" t="s">
        <v>1633</v>
      </c>
      <c r="C91" s="1135" t="s">
        <v>1634</v>
      </c>
      <c r="D91" s="1136"/>
      <c r="E91" s="1136"/>
      <c r="F91" s="1136"/>
      <c r="G91" s="1136"/>
      <c r="H91" s="1136"/>
      <c r="I91" s="1136"/>
      <c r="J91" s="1137"/>
      <c r="K91" s="1129"/>
      <c r="L91" s="1129"/>
      <c r="M91" s="1129"/>
      <c r="N91" s="1129"/>
    </row>
    <row r="92" spans="1:40">
      <c r="A92" s="3434"/>
      <c r="B92" s="3434"/>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20"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0"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1"/>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1"/>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1"/>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1"/>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1"/>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1"/>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1"/>
      <c r="B108" s="342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2"/>
      <c r="B109" s="3424"/>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7" t="s">
        <v>1638</v>
      </c>
      <c r="B110" s="3427"/>
      <c r="C110" s="3427"/>
      <c r="D110" s="3427"/>
      <c r="E110" s="3427"/>
      <c r="F110" s="3427"/>
      <c r="G110" s="3427"/>
      <c r="H110" s="3427"/>
      <c r="I110" s="3427"/>
      <c r="J110" s="3427"/>
      <c r="K110" s="2410"/>
      <c r="L110" s="2410"/>
      <c r="M110" s="2410"/>
      <c r="N110" s="2410"/>
    </row>
    <row r="112" spans="1:14" ht="12.75" thickBot="1"/>
    <row r="113" spans="1:13" ht="25.5" thickBot="1">
      <c r="A113" s="1015" t="s">
        <v>895</v>
      </c>
      <c r="B113" s="2413">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2981</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4" t="s">
        <v>1006</v>
      </c>
      <c r="B18" s="1149" t="s">
        <v>1445</v>
      </c>
      <c r="C18" s="1126" t="s">
        <v>1446</v>
      </c>
      <c r="D18" s="1127"/>
      <c r="E18" s="1149">
        <v>1</v>
      </c>
      <c r="F18" s="1128" t="s">
        <v>1447</v>
      </c>
      <c r="G18" s="1129"/>
      <c r="H18" s="1100"/>
      <c r="I18" s="1100"/>
    </row>
    <row r="19" spans="1:9" s="1584" customFormat="1" ht="19.5" customHeight="1">
      <c r="A19" s="3434"/>
      <c r="B19" s="3434" t="s">
        <v>1448</v>
      </c>
      <c r="C19" s="1126" t="s">
        <v>1449</v>
      </c>
      <c r="D19" s="1127"/>
      <c r="E19" s="1149">
        <v>0.9</v>
      </c>
      <c r="F19" s="1128" t="s">
        <v>1450</v>
      </c>
      <c r="G19" s="1129"/>
      <c r="H19" s="1100"/>
      <c r="I19" s="1100"/>
    </row>
    <row r="20" spans="1:9" s="1584" customFormat="1" ht="19.5" customHeight="1">
      <c r="A20" s="3434"/>
      <c r="B20" s="3434"/>
      <c r="C20" s="1126" t="s">
        <v>1451</v>
      </c>
      <c r="D20" s="1127"/>
      <c r="E20" s="1149">
        <v>1.1000000000000001</v>
      </c>
      <c r="F20" s="1128" t="s">
        <v>1452</v>
      </c>
      <c r="G20" s="1129"/>
      <c r="H20" s="1100"/>
      <c r="I20" s="1100"/>
    </row>
    <row r="21" spans="1:9" s="1584" customFormat="1" ht="19.5" customHeight="1">
      <c r="A21" s="3434"/>
      <c r="B21" s="3434"/>
      <c r="C21" s="1126" t="s">
        <v>1453</v>
      </c>
      <c r="D21" s="1127"/>
      <c r="E21" s="1149">
        <v>0.8</v>
      </c>
      <c r="F21" s="1128" t="s">
        <v>1454</v>
      </c>
      <c r="G21" s="1129"/>
      <c r="H21" s="1100"/>
      <c r="I21" s="1100"/>
    </row>
    <row r="22" spans="1:9" s="1584" customFormat="1" ht="19.5" customHeight="1">
      <c r="A22" s="3434"/>
      <c r="B22" s="3434"/>
      <c r="C22" s="1126" t="s">
        <v>1455</v>
      </c>
      <c r="D22" s="1127"/>
      <c r="E22" s="1149">
        <v>0.5</v>
      </c>
      <c r="F22" s="1128"/>
      <c r="G22" s="1129"/>
      <c r="H22" s="1100"/>
      <c r="I22" s="1100"/>
    </row>
    <row r="23" spans="1:9" s="1584" customFormat="1" ht="19.5" customHeight="1">
      <c r="A23" s="3434" t="s">
        <v>1028</v>
      </c>
      <c r="B23" s="1149" t="s">
        <v>1445</v>
      </c>
      <c r="C23" s="1126" t="s">
        <v>1456</v>
      </c>
      <c r="D23" s="1127"/>
      <c r="E23" s="1149">
        <v>1</v>
      </c>
      <c r="F23" s="1128" t="s">
        <v>1457</v>
      </c>
      <c r="G23" s="1129"/>
      <c r="H23" s="1100"/>
      <c r="I23" s="1100"/>
    </row>
    <row r="24" spans="1:9" s="1584" customFormat="1" ht="19.5" customHeight="1">
      <c r="A24" s="3434"/>
      <c r="B24" s="3434" t="s">
        <v>1448</v>
      </c>
      <c r="C24" s="1126" t="s">
        <v>1458</v>
      </c>
      <c r="D24" s="1127"/>
      <c r="E24" s="1149">
        <v>0.5</v>
      </c>
      <c r="F24" s="1128"/>
      <c r="G24" s="1129"/>
      <c r="H24" s="1100"/>
      <c r="I24" s="1100"/>
    </row>
    <row r="25" spans="1:9" s="1584" customFormat="1" ht="19.5" customHeight="1">
      <c r="A25" s="3434"/>
      <c r="B25" s="3434"/>
      <c r="C25" s="1126" t="s">
        <v>1459</v>
      </c>
      <c r="D25" s="1127"/>
      <c r="E25" s="1149">
        <v>1.1000000000000001</v>
      </c>
      <c r="F25" s="1128"/>
      <c r="G25" s="1129"/>
      <c r="H25" s="1100"/>
      <c r="I25" s="1100"/>
    </row>
    <row r="26" spans="1:9" s="1584" customFormat="1" ht="19.5" customHeight="1">
      <c r="A26" s="3434"/>
      <c r="B26" s="3434"/>
      <c r="C26" s="1126" t="s">
        <v>1460</v>
      </c>
      <c r="D26" s="1127"/>
      <c r="E26" s="1149">
        <v>1.1000000000000001</v>
      </c>
      <c r="F26" s="1128"/>
      <c r="G26" s="1129"/>
      <c r="H26" s="1100"/>
      <c r="I26" s="1100"/>
    </row>
    <row r="27" spans="1:9" s="1584" customFormat="1" ht="19.5" customHeight="1">
      <c r="A27" s="3434"/>
      <c r="B27" s="3434"/>
      <c r="C27" s="1126" t="s">
        <v>1461</v>
      </c>
      <c r="D27" s="1127"/>
      <c r="E27" s="1149">
        <v>0.9</v>
      </c>
      <c r="F27" s="1128" t="s">
        <v>1462</v>
      </c>
      <c r="G27" s="1129"/>
      <c r="H27" s="1100"/>
      <c r="I27" s="1100"/>
    </row>
    <row r="28" spans="1:9" s="1584" customFormat="1" ht="19.5" customHeight="1">
      <c r="A28" s="3434"/>
      <c r="B28" s="3434"/>
      <c r="C28" s="1126" t="s">
        <v>1463</v>
      </c>
      <c r="D28" s="1127"/>
      <c r="E28" s="1149">
        <v>0.9</v>
      </c>
      <c r="F28" s="1128" t="s">
        <v>1464</v>
      </c>
      <c r="G28" s="1129"/>
      <c r="H28" s="1100"/>
      <c r="I28" s="1100"/>
    </row>
    <row r="29" spans="1:9" s="1584" customFormat="1" ht="19.5" customHeight="1">
      <c r="A29" s="3434"/>
      <c r="B29" s="3434"/>
      <c r="C29" s="1126" t="s">
        <v>1465</v>
      </c>
      <c r="D29" s="1127"/>
      <c r="E29" s="1149">
        <v>0.9</v>
      </c>
      <c r="F29" s="1128" t="s">
        <v>1466</v>
      </c>
      <c r="G29" s="1129"/>
      <c r="H29" s="1100"/>
      <c r="I29" s="1100"/>
    </row>
    <row r="30" spans="1:9" s="1584" customFormat="1" ht="19.5" customHeight="1">
      <c r="A30" s="3434"/>
      <c r="B30" s="3434"/>
      <c r="C30" s="1126" t="s">
        <v>1467</v>
      </c>
      <c r="D30" s="1127"/>
      <c r="E30" s="1149">
        <v>0.9</v>
      </c>
      <c r="F30" s="1128" t="s">
        <v>1468</v>
      </c>
      <c r="G30" s="1129"/>
      <c r="H30" s="1100"/>
      <c r="I30" s="1100"/>
    </row>
    <row r="31" spans="1:9" s="1584" customFormat="1" ht="19.5" customHeight="1">
      <c r="A31" s="3434"/>
      <c r="B31" s="3434"/>
      <c r="C31" s="1126" t="s">
        <v>1469</v>
      </c>
      <c r="D31" s="1127"/>
      <c r="E31" s="1149">
        <v>0.8</v>
      </c>
      <c r="F31" s="1128" t="s">
        <v>1470</v>
      </c>
      <c r="G31" s="1129"/>
      <c r="H31" s="1100"/>
      <c r="I31" s="1100"/>
    </row>
    <row r="32" spans="1:9" s="1584" customFormat="1" ht="19.5" customHeight="1">
      <c r="A32" s="3434"/>
      <c r="B32" s="3434"/>
      <c r="C32" s="1126" t="s">
        <v>1471</v>
      </c>
      <c r="D32" s="1127"/>
      <c r="E32" s="1149">
        <v>0.8</v>
      </c>
      <c r="F32" s="1128" t="s">
        <v>1472</v>
      </c>
      <c r="G32" s="1129"/>
      <c r="H32" s="1100"/>
      <c r="I32" s="1100"/>
    </row>
    <row r="33" spans="1:9" s="1584" customFormat="1" ht="19.5" customHeight="1">
      <c r="A33" s="3434" t="s">
        <v>1473</v>
      </c>
      <c r="B33" s="1149" t="s">
        <v>1445</v>
      </c>
      <c r="C33" s="1126" t="s">
        <v>1474</v>
      </c>
      <c r="D33" s="1127"/>
      <c r="E33" s="1149">
        <v>1</v>
      </c>
      <c r="F33" s="1128" t="s">
        <v>1475</v>
      </c>
      <c r="G33" s="1129"/>
      <c r="H33" s="1100"/>
      <c r="I33" s="1100"/>
    </row>
    <row r="34" spans="1:9" s="1584" customFormat="1" ht="19.5" customHeight="1">
      <c r="A34" s="3434"/>
      <c r="B34" s="1149" t="s">
        <v>1448</v>
      </c>
      <c r="C34" s="1126" t="s">
        <v>1476</v>
      </c>
      <c r="D34" s="1127"/>
      <c r="E34" s="1149">
        <v>1.5</v>
      </c>
      <c r="F34" s="1128" t="s">
        <v>1477</v>
      </c>
      <c r="G34" s="1129"/>
      <c r="H34" s="1100"/>
      <c r="I34" s="1100"/>
    </row>
    <row r="35" spans="1:9" s="1584" customFormat="1" ht="19.5" customHeight="1">
      <c r="A35" s="3434" t="s">
        <v>1431</v>
      </c>
      <c r="B35" s="1149" t="s">
        <v>1445</v>
      </c>
      <c r="C35" s="1126" t="s">
        <v>1478</v>
      </c>
      <c r="D35" s="1127"/>
      <c r="E35" s="1149">
        <v>1</v>
      </c>
      <c r="F35" s="1128" t="s">
        <v>1479</v>
      </c>
      <c r="G35" s="1129"/>
      <c r="H35" s="1100"/>
      <c r="I35" s="1100"/>
    </row>
    <row r="36" spans="1:9" s="1584" customFormat="1" ht="19.5" customHeight="1">
      <c r="A36" s="3434"/>
      <c r="B36" s="3434" t="s">
        <v>1448</v>
      </c>
      <c r="C36" s="1126" t="s">
        <v>1480</v>
      </c>
      <c r="D36" s="1127"/>
      <c r="E36" s="1149">
        <v>1</v>
      </c>
      <c r="F36" s="1128" t="s">
        <v>1481</v>
      </c>
      <c r="G36" s="1129"/>
      <c r="H36" s="1100"/>
      <c r="I36" s="1100"/>
    </row>
    <row r="37" spans="1:9" s="1584" customFormat="1" ht="19.5" customHeight="1">
      <c r="A37" s="3434"/>
      <c r="B37" s="3434"/>
      <c r="C37" s="1126" t="s">
        <v>1482</v>
      </c>
      <c r="D37" s="1127"/>
      <c r="E37" s="1149">
        <v>1.5</v>
      </c>
      <c r="F37" s="1128" t="s">
        <v>1483</v>
      </c>
      <c r="G37" s="1129"/>
      <c r="H37" s="1100"/>
      <c r="I37" s="1100"/>
    </row>
    <row r="38" spans="1:9" s="1584" customFormat="1" ht="19.5" customHeight="1">
      <c r="A38" s="3434"/>
      <c r="B38" s="3434"/>
      <c r="C38" s="1126" t="s">
        <v>1484</v>
      </c>
      <c r="D38" s="1127"/>
      <c r="E38" s="1149">
        <v>1</v>
      </c>
      <c r="F38" s="1128" t="s">
        <v>1485</v>
      </c>
      <c r="G38" s="1129"/>
      <c r="H38" s="1100"/>
      <c r="I38" s="1100"/>
    </row>
    <row r="39" spans="1:9" s="1584" customFormat="1" ht="19.5" customHeight="1">
      <c r="A39" s="3434"/>
      <c r="B39" s="3434"/>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4" t="s">
        <v>1500</v>
      </c>
      <c r="C61" s="1063" t="s">
        <v>1501</v>
      </c>
      <c r="D61" s="1063" t="s">
        <v>1502</v>
      </c>
      <c r="E61" s="1134">
        <v>0.5</v>
      </c>
      <c r="F61" s="1149">
        <v>80</v>
      </c>
      <c r="H61" s="1100">
        <f>SUMIF(C59:C119,基准地价!C8,E59:E119)</f>
        <v>0</v>
      </c>
    </row>
    <row r="62" spans="1:8" s="1100" customFormat="1" ht="24">
      <c r="A62" s="1149">
        <v>2</v>
      </c>
      <c r="B62" s="3434"/>
      <c r="C62" s="1063" t="s">
        <v>1503</v>
      </c>
      <c r="D62" s="1063" t="s">
        <v>1504</v>
      </c>
      <c r="E62" s="1134">
        <v>0.5</v>
      </c>
      <c r="F62" s="1149">
        <v>80</v>
      </c>
    </row>
    <row r="63" spans="1:8" s="1100" customFormat="1" ht="36">
      <c r="A63" s="1149">
        <v>3</v>
      </c>
      <c r="B63" s="3434"/>
      <c r="C63" s="1063" t="s">
        <v>1505</v>
      </c>
      <c r="D63" s="1063" t="s">
        <v>1506</v>
      </c>
      <c r="E63" s="1134">
        <v>0.5</v>
      </c>
      <c r="F63" s="1149">
        <v>80</v>
      </c>
    </row>
    <row r="64" spans="1:8" s="1100" customFormat="1" ht="36">
      <c r="A64" s="1149">
        <v>4</v>
      </c>
      <c r="B64" s="3434"/>
      <c r="C64" s="1063" t="s">
        <v>1507</v>
      </c>
      <c r="D64" s="1063" t="s">
        <v>1508</v>
      </c>
      <c r="E64" s="1134">
        <v>0.4</v>
      </c>
      <c r="F64" s="1149">
        <v>60</v>
      </c>
    </row>
    <row r="65" spans="1:6" s="1100" customFormat="1" ht="36">
      <c r="A65" s="1149">
        <v>5</v>
      </c>
      <c r="B65" s="3434"/>
      <c r="C65" s="1063" t="s">
        <v>1509</v>
      </c>
      <c r="D65" s="1063" t="s">
        <v>1510</v>
      </c>
      <c r="E65" s="1134">
        <v>0.2</v>
      </c>
      <c r="F65" s="1149">
        <v>30</v>
      </c>
    </row>
    <row r="66" spans="1:6" s="1100" customFormat="1" ht="36">
      <c r="A66" s="1149">
        <v>6</v>
      </c>
      <c r="B66" s="3434"/>
      <c r="C66" s="1063" t="s">
        <v>1511</v>
      </c>
      <c r="D66" s="1063" t="s">
        <v>1512</v>
      </c>
      <c r="E66" s="1134">
        <v>0.3</v>
      </c>
      <c r="F66" s="1149">
        <v>50</v>
      </c>
    </row>
    <row r="67" spans="1:6" s="1100" customFormat="1" ht="36">
      <c r="A67" s="1149">
        <v>7</v>
      </c>
      <c r="B67" s="3434"/>
      <c r="C67" s="1063" t="s">
        <v>1513</v>
      </c>
      <c r="D67" s="1063" t="s">
        <v>1514</v>
      </c>
      <c r="E67" s="1134">
        <v>0.2</v>
      </c>
      <c r="F67" s="1149">
        <v>30</v>
      </c>
    </row>
    <row r="68" spans="1:6" s="1100" customFormat="1" ht="36">
      <c r="A68" s="1149">
        <v>8</v>
      </c>
      <c r="B68" s="3434"/>
      <c r="C68" s="1063" t="s">
        <v>1515</v>
      </c>
      <c r="D68" s="1063" t="s">
        <v>1516</v>
      </c>
      <c r="E68" s="1134">
        <v>0.2</v>
      </c>
      <c r="F68" s="1149">
        <v>30</v>
      </c>
    </row>
    <row r="69" spans="1:6" s="1100" customFormat="1" ht="36">
      <c r="A69" s="1149">
        <v>9</v>
      </c>
      <c r="B69" s="3434"/>
      <c r="C69" s="1063" t="s">
        <v>1517</v>
      </c>
      <c r="D69" s="1063" t="s">
        <v>1518</v>
      </c>
      <c r="E69" s="1134">
        <v>0.2</v>
      </c>
      <c r="F69" s="1149">
        <v>30</v>
      </c>
    </row>
    <row r="70" spans="1:6" s="1100" customFormat="1" ht="48">
      <c r="A70" s="1149">
        <v>10</v>
      </c>
      <c r="B70" s="3434"/>
      <c r="C70" s="1063" t="s">
        <v>1519</v>
      </c>
      <c r="D70" s="1063" t="s">
        <v>1520</v>
      </c>
      <c r="E70" s="1134">
        <v>0.2</v>
      </c>
      <c r="F70" s="1149">
        <v>30</v>
      </c>
    </row>
    <row r="71" spans="1:6" s="1100" customFormat="1" ht="48">
      <c r="A71" s="1149">
        <v>11</v>
      </c>
      <c r="B71" s="3434"/>
      <c r="C71" s="1063" t="s">
        <v>1521</v>
      </c>
      <c r="D71" s="1063" t="s">
        <v>1522</v>
      </c>
      <c r="E71" s="1134">
        <v>0.2</v>
      </c>
      <c r="F71" s="1149">
        <v>30</v>
      </c>
    </row>
    <row r="72" spans="1:6" s="1100" customFormat="1" ht="36">
      <c r="A72" s="1149">
        <v>12</v>
      </c>
      <c r="B72" s="3434"/>
      <c r="C72" s="1063" t="s">
        <v>1523</v>
      </c>
      <c r="D72" s="1063" t="s">
        <v>1524</v>
      </c>
      <c r="E72" s="1134">
        <v>0.5</v>
      </c>
      <c r="F72" s="1149">
        <v>80</v>
      </c>
    </row>
    <row r="73" spans="1:6" s="1100" customFormat="1" ht="24">
      <c r="A73" s="1149">
        <v>13</v>
      </c>
      <c r="B73" s="3434"/>
      <c r="C73" s="1063" t="s">
        <v>1525</v>
      </c>
      <c r="D73" s="1063" t="s">
        <v>1526</v>
      </c>
      <c r="E73" s="1134">
        <v>0.4</v>
      </c>
      <c r="F73" s="1149">
        <v>60</v>
      </c>
    </row>
    <row r="74" spans="1:6" s="1100" customFormat="1" ht="24">
      <c r="A74" s="1149">
        <v>14</v>
      </c>
      <c r="B74" s="3434"/>
      <c r="C74" s="1063" t="s">
        <v>1527</v>
      </c>
      <c r="D74" s="1063" t="s">
        <v>1528</v>
      </c>
      <c r="E74" s="1134">
        <v>0.2</v>
      </c>
      <c r="F74" s="1149">
        <v>30</v>
      </c>
    </row>
    <row r="75" spans="1:6" s="1100" customFormat="1" ht="24">
      <c r="A75" s="1149">
        <v>15</v>
      </c>
      <c r="B75" s="3434"/>
      <c r="C75" s="1063" t="s">
        <v>1529</v>
      </c>
      <c r="D75" s="1063" t="s">
        <v>1530</v>
      </c>
      <c r="E75" s="1134">
        <v>0.2</v>
      </c>
      <c r="F75" s="1149">
        <v>30</v>
      </c>
    </row>
    <row r="76" spans="1:6" s="1100" customFormat="1" ht="24">
      <c r="A76" s="1149">
        <v>16</v>
      </c>
      <c r="B76" s="3434" t="s">
        <v>1531</v>
      </c>
      <c r="C76" s="1063" t="s">
        <v>1532</v>
      </c>
      <c r="D76" s="1063" t="s">
        <v>1533</v>
      </c>
      <c r="E76" s="1134">
        <v>0.5</v>
      </c>
      <c r="F76" s="1149">
        <v>80</v>
      </c>
    </row>
    <row r="77" spans="1:6" s="1100" customFormat="1" ht="24">
      <c r="A77" s="1149">
        <v>17</v>
      </c>
      <c r="B77" s="3434"/>
      <c r="C77" s="1063" t="s">
        <v>1534</v>
      </c>
      <c r="D77" s="1063" t="s">
        <v>1535</v>
      </c>
      <c r="E77" s="1134">
        <v>0.5</v>
      </c>
      <c r="F77" s="1149">
        <v>80</v>
      </c>
    </row>
    <row r="78" spans="1:6" s="1100" customFormat="1" ht="24">
      <c r="A78" s="1149">
        <v>18</v>
      </c>
      <c r="B78" s="3434"/>
      <c r="C78" s="1063" t="s">
        <v>1536</v>
      </c>
      <c r="D78" s="1063" t="s">
        <v>1537</v>
      </c>
      <c r="E78" s="1134">
        <v>0.2</v>
      </c>
      <c r="F78" s="1149">
        <v>30</v>
      </c>
    </row>
    <row r="79" spans="1:6" s="1100" customFormat="1" ht="24">
      <c r="A79" s="1149">
        <v>19</v>
      </c>
      <c r="B79" s="3434"/>
      <c r="C79" s="1063" t="s">
        <v>1538</v>
      </c>
      <c r="D79" s="1063" t="s">
        <v>1539</v>
      </c>
      <c r="E79" s="1134">
        <v>0.5</v>
      </c>
      <c r="F79" s="1149">
        <v>80</v>
      </c>
    </row>
    <row r="80" spans="1:6" s="1100" customFormat="1" ht="36">
      <c r="A80" s="1149">
        <v>20</v>
      </c>
      <c r="B80" s="3434"/>
      <c r="C80" s="1063" t="s">
        <v>1540</v>
      </c>
      <c r="D80" s="1063" t="s">
        <v>1541</v>
      </c>
      <c r="E80" s="1134">
        <v>0.2</v>
      </c>
      <c r="F80" s="1149">
        <v>30</v>
      </c>
    </row>
    <row r="81" spans="1:6" s="1100" customFormat="1" ht="36">
      <c r="A81" s="1149">
        <v>21</v>
      </c>
      <c r="B81" s="3434"/>
      <c r="C81" s="1063" t="s">
        <v>1542</v>
      </c>
      <c r="D81" s="1063" t="s">
        <v>1543</v>
      </c>
      <c r="E81" s="1134">
        <v>0.2</v>
      </c>
      <c r="F81" s="1149">
        <v>30</v>
      </c>
    </row>
    <row r="82" spans="1:6" s="1100" customFormat="1" ht="48">
      <c r="A82" s="1149">
        <v>22</v>
      </c>
      <c r="B82" s="3434"/>
      <c r="C82" s="1063" t="s">
        <v>1544</v>
      </c>
      <c r="D82" s="1063" t="s">
        <v>1545</v>
      </c>
      <c r="E82" s="1134">
        <v>0.2</v>
      </c>
      <c r="F82" s="1149">
        <v>30</v>
      </c>
    </row>
    <row r="83" spans="1:6" s="1100" customFormat="1" ht="48">
      <c r="A83" s="1149">
        <v>23</v>
      </c>
      <c r="B83" s="3434"/>
      <c r="C83" s="1063" t="s">
        <v>1546</v>
      </c>
      <c r="D83" s="1063" t="s">
        <v>1547</v>
      </c>
      <c r="E83" s="1134">
        <v>0.2</v>
      </c>
      <c r="F83" s="1149">
        <v>30</v>
      </c>
    </row>
    <row r="84" spans="1:6" s="1100" customFormat="1" ht="36">
      <c r="A84" s="1149">
        <v>24</v>
      </c>
      <c r="B84" s="3434"/>
      <c r="C84" s="1063" t="s">
        <v>1548</v>
      </c>
      <c r="D84" s="1063" t="s">
        <v>1549</v>
      </c>
      <c r="E84" s="1134">
        <v>0.2</v>
      </c>
      <c r="F84" s="1149">
        <v>30</v>
      </c>
    </row>
    <row r="85" spans="1:6" s="1100" customFormat="1" ht="36">
      <c r="A85" s="1149">
        <v>25</v>
      </c>
      <c r="B85" s="3434"/>
      <c r="C85" s="1063" t="s">
        <v>1550</v>
      </c>
      <c r="D85" s="1063" t="s">
        <v>1551</v>
      </c>
      <c r="E85" s="1134">
        <v>0.5</v>
      </c>
      <c r="F85" s="1149">
        <v>80</v>
      </c>
    </row>
    <row r="86" spans="1:6" s="1100" customFormat="1" ht="36">
      <c r="A86" s="1149">
        <v>26</v>
      </c>
      <c r="B86" s="3434"/>
      <c r="C86" s="1063" t="s">
        <v>1552</v>
      </c>
      <c r="D86" s="1063" t="s">
        <v>1553</v>
      </c>
      <c r="E86" s="1134">
        <v>0.2</v>
      </c>
      <c r="F86" s="1149">
        <v>30</v>
      </c>
    </row>
    <row r="87" spans="1:6" s="1100" customFormat="1" ht="36">
      <c r="A87" s="1149">
        <v>27</v>
      </c>
      <c r="B87" s="3434"/>
      <c r="C87" s="1063" t="s">
        <v>1554</v>
      </c>
      <c r="D87" s="1063" t="s">
        <v>1555</v>
      </c>
      <c r="E87" s="1134">
        <v>0.2</v>
      </c>
      <c r="F87" s="1149">
        <v>30</v>
      </c>
    </row>
    <row r="88" spans="1:6" s="1100" customFormat="1" ht="36">
      <c r="A88" s="1149">
        <v>28</v>
      </c>
      <c r="B88" s="3434"/>
      <c r="C88" s="1063" t="s">
        <v>1556</v>
      </c>
      <c r="D88" s="1063" t="s">
        <v>1557</v>
      </c>
      <c r="E88" s="1134">
        <v>0.2</v>
      </c>
      <c r="F88" s="1149">
        <v>30</v>
      </c>
    </row>
    <row r="89" spans="1:6" s="1100" customFormat="1" ht="24">
      <c r="A89" s="1149">
        <v>29</v>
      </c>
      <c r="B89" s="3434"/>
      <c r="C89" s="1063" t="s">
        <v>1558</v>
      </c>
      <c r="D89" s="1063" t="s">
        <v>1559</v>
      </c>
      <c r="E89" s="1134">
        <v>0.2</v>
      </c>
      <c r="F89" s="1149">
        <v>30</v>
      </c>
    </row>
    <row r="90" spans="1:6" s="1100" customFormat="1" ht="24">
      <c r="A90" s="1149">
        <v>30</v>
      </c>
      <c r="B90" s="3434"/>
      <c r="C90" s="1063" t="s">
        <v>1560</v>
      </c>
      <c r="D90" s="1063" t="s">
        <v>1561</v>
      </c>
      <c r="E90" s="1134">
        <v>0.2</v>
      </c>
      <c r="F90" s="1149">
        <v>30</v>
      </c>
    </row>
    <row r="91" spans="1:6" s="1100" customFormat="1" ht="36">
      <c r="A91" s="1149">
        <v>31</v>
      </c>
      <c r="B91" s="3434"/>
      <c r="C91" s="1063" t="s">
        <v>1562</v>
      </c>
      <c r="D91" s="1063" t="s">
        <v>1563</v>
      </c>
      <c r="E91" s="1134">
        <v>0.2</v>
      </c>
      <c r="F91" s="1149">
        <v>30</v>
      </c>
    </row>
    <row r="92" spans="1:6" s="1100" customFormat="1" ht="24">
      <c r="A92" s="1149">
        <v>32</v>
      </c>
      <c r="B92" s="3434" t="s">
        <v>1564</v>
      </c>
      <c r="C92" s="1149" t="s">
        <v>1565</v>
      </c>
      <c r="D92" s="1063" t="s">
        <v>1566</v>
      </c>
      <c r="E92" s="1134">
        <v>0.2</v>
      </c>
      <c r="F92" s="1149">
        <v>30</v>
      </c>
    </row>
    <row r="93" spans="1:6" s="1100" customFormat="1" ht="36">
      <c r="A93" s="1149">
        <v>33</v>
      </c>
      <c r="B93" s="3434"/>
      <c r="C93" s="1149" t="s">
        <v>1567</v>
      </c>
      <c r="D93" s="1063" t="s">
        <v>1568</v>
      </c>
      <c r="E93" s="1134">
        <v>0.2</v>
      </c>
      <c r="F93" s="1149">
        <v>30</v>
      </c>
    </row>
    <row r="94" spans="1:6" s="1100" customFormat="1" ht="48">
      <c r="A94" s="1149">
        <v>34</v>
      </c>
      <c r="B94" s="3434"/>
      <c r="C94" s="1149" t="s">
        <v>1569</v>
      </c>
      <c r="D94" s="1063" t="s">
        <v>1570</v>
      </c>
      <c r="E94" s="1134">
        <v>0.2</v>
      </c>
      <c r="F94" s="1149">
        <v>30</v>
      </c>
    </row>
    <row r="95" spans="1:6" s="1100" customFormat="1" ht="36">
      <c r="A95" s="1149">
        <v>35</v>
      </c>
      <c r="B95" s="3434"/>
      <c r="C95" s="1149" t="s">
        <v>1571</v>
      </c>
      <c r="D95" s="1063" t="s">
        <v>1572</v>
      </c>
      <c r="E95" s="1134">
        <v>0.2</v>
      </c>
      <c r="F95" s="1149">
        <v>30</v>
      </c>
    </row>
    <row r="96" spans="1:6" s="1100" customFormat="1" ht="48">
      <c r="A96" s="1149">
        <v>36</v>
      </c>
      <c r="B96" s="3434"/>
      <c r="C96" s="1063" t="s">
        <v>1573</v>
      </c>
      <c r="D96" s="1063" t="s">
        <v>1574</v>
      </c>
      <c r="E96" s="1134">
        <v>0.2</v>
      </c>
      <c r="F96" s="1149">
        <v>30</v>
      </c>
    </row>
    <row r="97" spans="1:6" s="1100" customFormat="1" ht="36">
      <c r="A97" s="1149">
        <v>37</v>
      </c>
      <c r="B97" s="3434"/>
      <c r="C97" s="1149" t="s">
        <v>1575</v>
      </c>
      <c r="D97" s="1063" t="s">
        <v>1576</v>
      </c>
      <c r="E97" s="1134">
        <v>0.2</v>
      </c>
      <c r="F97" s="1149">
        <v>30</v>
      </c>
    </row>
    <row r="98" spans="1:6" s="1100" customFormat="1" ht="36">
      <c r="A98" s="1149">
        <v>38</v>
      </c>
      <c r="B98" s="3434"/>
      <c r="C98" s="1149" t="s">
        <v>1577</v>
      </c>
      <c r="D98" s="1063" t="s">
        <v>1578</v>
      </c>
      <c r="E98" s="1134">
        <v>0.2</v>
      </c>
      <c r="F98" s="1149">
        <v>30</v>
      </c>
    </row>
    <row r="99" spans="1:6" s="1100" customFormat="1" ht="36">
      <c r="A99" s="1149">
        <v>39</v>
      </c>
      <c r="B99" s="3434" t="s">
        <v>1579</v>
      </c>
      <c r="C99" s="1149" t="s">
        <v>1580</v>
      </c>
      <c r="D99" s="1063" t="s">
        <v>1581</v>
      </c>
      <c r="E99" s="1134">
        <v>0.3</v>
      </c>
      <c r="F99" s="1149">
        <v>50</v>
      </c>
    </row>
    <row r="100" spans="1:6" s="1100" customFormat="1" ht="24">
      <c r="A100" s="1149">
        <v>40</v>
      </c>
      <c r="B100" s="3434"/>
      <c r="C100" s="1149" t="s">
        <v>1582</v>
      </c>
      <c r="D100" s="1063" t="s">
        <v>1583</v>
      </c>
      <c r="E100" s="1134">
        <v>0.2</v>
      </c>
      <c r="F100" s="1149">
        <v>30</v>
      </c>
    </row>
    <row r="101" spans="1:6" s="1100" customFormat="1" ht="36">
      <c r="A101" s="1149">
        <v>41</v>
      </c>
      <c r="B101" s="3434"/>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4" t="s">
        <v>1594</v>
      </c>
      <c r="C105" s="1149" t="s">
        <v>1595</v>
      </c>
      <c r="D105" s="1063" t="s">
        <v>1596</v>
      </c>
      <c r="E105" s="1134">
        <v>0.2</v>
      </c>
      <c r="F105" s="1149">
        <v>30</v>
      </c>
    </row>
    <row r="106" spans="1:6" s="1100" customFormat="1" ht="36">
      <c r="A106" s="1149">
        <v>46</v>
      </c>
      <c r="B106" s="3434"/>
      <c r="C106" s="1149" t="s">
        <v>1597</v>
      </c>
      <c r="D106" s="1063" t="s">
        <v>1598</v>
      </c>
      <c r="E106" s="1134">
        <v>0.2</v>
      </c>
      <c r="F106" s="1149">
        <v>30</v>
      </c>
    </row>
    <row r="107" spans="1:6" s="1100" customFormat="1" ht="36">
      <c r="A107" s="1149">
        <v>47</v>
      </c>
      <c r="B107" s="3434" t="s">
        <v>1599</v>
      </c>
      <c r="C107" s="1149" t="s">
        <v>1600</v>
      </c>
      <c r="D107" s="1063" t="s">
        <v>1601</v>
      </c>
      <c r="E107" s="1134">
        <v>0.3</v>
      </c>
      <c r="F107" s="1149">
        <v>50</v>
      </c>
    </row>
    <row r="108" spans="1:6" s="1100" customFormat="1" ht="36">
      <c r="A108" s="1149">
        <v>48</v>
      </c>
      <c r="B108" s="3434"/>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4" t="s">
        <v>1610</v>
      </c>
      <c r="C111" s="1149" t="s">
        <v>1611</v>
      </c>
      <c r="D111" s="1063" t="s">
        <v>1612</v>
      </c>
      <c r="E111" s="1134">
        <v>0.2</v>
      </c>
      <c r="F111" s="1149">
        <v>30</v>
      </c>
    </row>
    <row r="112" spans="1:6" s="1100" customFormat="1" ht="24">
      <c r="A112" s="1149">
        <v>52</v>
      </c>
      <c r="B112" s="3434"/>
      <c r="C112" s="1149" t="s">
        <v>1613</v>
      </c>
      <c r="D112" s="1063" t="s">
        <v>1614</v>
      </c>
      <c r="E112" s="1134">
        <v>0.2</v>
      </c>
      <c r="F112" s="1149">
        <v>30</v>
      </c>
    </row>
    <row r="113" spans="1:14" s="1100" customFormat="1" ht="24">
      <c r="A113" s="1149">
        <v>53</v>
      </c>
      <c r="B113" s="3434"/>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4" t="s">
        <v>1623</v>
      </c>
      <c r="C116" s="1149" t="s">
        <v>1624</v>
      </c>
      <c r="D116" s="1063" t="s">
        <v>1625</v>
      </c>
      <c r="E116" s="1134">
        <v>0.2</v>
      </c>
      <c r="F116" s="1149">
        <v>30</v>
      </c>
    </row>
    <row r="117" spans="1:14" ht="36">
      <c r="A117" s="1149">
        <v>57</v>
      </c>
      <c r="B117" s="3434"/>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3" t="s">
        <v>1632</v>
      </c>
      <c r="B121" s="3433"/>
      <c r="C121" s="3433"/>
      <c r="D121" s="3433"/>
      <c r="E121" s="3433"/>
      <c r="F121" s="3433"/>
      <c r="G121" s="3433"/>
      <c r="H121" s="3433"/>
      <c r="I121" s="3433"/>
      <c r="J121" s="343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8" t="s">
        <v>1038</v>
      </c>
      <c r="B1" s="3438"/>
      <c r="C1" s="3438"/>
      <c r="D1" s="3438"/>
      <c r="E1" s="3438"/>
      <c r="F1" s="3438"/>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39" t="s">
        <v>1051</v>
      </c>
      <c r="B2" s="3439"/>
      <c r="C2" s="3439"/>
      <c r="D2" s="3439"/>
      <c r="E2" s="3439"/>
      <c r="F2" s="3439"/>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0"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1"/>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2420</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2421</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2" t="s">
        <v>2077</v>
      </c>
      <c r="B1" s="3442"/>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1095</v>
      </c>
      <c r="B6" s="1842" t="s">
        <v>2086</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2087</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2088</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2089</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2090</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2091</v>
      </c>
      <c r="C72" s="1852"/>
      <c r="D72" s="1852"/>
      <c r="E72" s="1852"/>
      <c r="F72" s="1844">
        <v>0.05</v>
      </c>
    </row>
    <row r="73" spans="1:6" ht="14.25" thickBot="1">
      <c r="A73" s="1838" t="s">
        <v>924</v>
      </c>
      <c r="B73" s="1842" t="s">
        <v>2092</v>
      </c>
      <c r="C73" s="1852"/>
      <c r="D73" s="1852"/>
      <c r="E73" s="1852"/>
      <c r="F73" s="1844">
        <v>0.05</v>
      </c>
    </row>
    <row r="74" spans="1:6" ht="14.25" thickBot="1">
      <c r="A74" s="1838" t="s">
        <v>924</v>
      </c>
      <c r="B74" s="1842" t="s">
        <v>2093</v>
      </c>
      <c r="C74" s="1852"/>
      <c r="D74" s="1852"/>
      <c r="E74" s="1852"/>
      <c r="F74" s="1844">
        <v>0.05</v>
      </c>
    </row>
    <row r="75" spans="1:6" ht="14.25" thickBot="1">
      <c r="A75" s="1846" t="s">
        <v>924</v>
      </c>
      <c r="B75" s="1853" t="s">
        <v>2094</v>
      </c>
      <c r="C75" s="1849"/>
      <c r="D75" s="1849"/>
      <c r="E75" s="1849"/>
      <c r="F75" s="1854">
        <v>0.05</v>
      </c>
    </row>
    <row r="76" spans="1:6" ht="14.25" thickBot="1">
      <c r="A76" s="1838" t="s">
        <v>1406</v>
      </c>
      <c r="B76" s="1839" t="s">
        <v>2095</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2096</v>
      </c>
      <c r="C102" s="1852"/>
      <c r="D102" s="1852"/>
      <c r="E102" s="1852"/>
      <c r="F102" s="1844">
        <v>0.05</v>
      </c>
    </row>
    <row r="103" spans="1:6" ht="24.75" thickBot="1">
      <c r="A103" s="1838" t="s">
        <v>1406</v>
      </c>
      <c r="B103" s="1842" t="s">
        <v>2097</v>
      </c>
      <c r="C103" s="1852"/>
      <c r="D103" s="1852"/>
      <c r="E103" s="1852"/>
      <c r="F103" s="1844">
        <v>0.05</v>
      </c>
    </row>
    <row r="104" spans="1:6" ht="14.25" thickBot="1">
      <c r="A104" s="1838" t="s">
        <v>1406</v>
      </c>
      <c r="B104" s="1842" t="s">
        <v>2098</v>
      </c>
      <c r="C104" s="1852"/>
      <c r="D104" s="1852"/>
      <c r="E104" s="1852"/>
      <c r="F104" s="1844">
        <v>0.05</v>
      </c>
    </row>
    <row r="105" spans="1:6" ht="14.25" thickBot="1">
      <c r="A105" s="1838" t="s">
        <v>1406</v>
      </c>
      <c r="B105" s="1842" t="s">
        <v>2099</v>
      </c>
      <c r="C105" s="1852"/>
      <c r="D105" s="1852"/>
      <c r="E105" s="1852"/>
      <c r="F105" s="1844">
        <v>0.05</v>
      </c>
    </row>
    <row r="106" spans="1:6" ht="14.25" thickBot="1">
      <c r="A106" s="1838" t="s">
        <v>1406</v>
      </c>
      <c r="B106" s="1842" t="s">
        <v>2100</v>
      </c>
      <c r="C106" s="1852"/>
      <c r="D106" s="1852"/>
      <c r="E106" s="1852"/>
      <c r="F106" s="1844">
        <v>0.05</v>
      </c>
    </row>
    <row r="107" spans="1:6" ht="24.75" thickBot="1">
      <c r="A107" s="1838" t="s">
        <v>1406</v>
      </c>
      <c r="B107" s="1842" t="s">
        <v>2101</v>
      </c>
      <c r="C107" s="1852"/>
      <c r="D107" s="1852"/>
      <c r="E107" s="1852"/>
      <c r="F107" s="1844">
        <v>0.05</v>
      </c>
    </row>
    <row r="108" spans="1:6" ht="24.75" thickBot="1">
      <c r="A108" s="1838" t="s">
        <v>1406</v>
      </c>
      <c r="B108" s="1842" t="s">
        <v>2102</v>
      </c>
      <c r="C108" s="1852"/>
      <c r="D108" s="1852"/>
      <c r="E108" s="1852"/>
      <c r="F108" s="1844">
        <v>0.05</v>
      </c>
    </row>
    <row r="109" spans="1:6" ht="24.75" thickBot="1">
      <c r="A109" s="1846" t="s">
        <v>1406</v>
      </c>
      <c r="B109" s="1853" t="s">
        <v>2103</v>
      </c>
      <c r="C109" s="1849"/>
      <c r="D109" s="1849"/>
      <c r="E109" s="1849"/>
      <c r="F109" s="1854">
        <v>0.05</v>
      </c>
    </row>
    <row r="110" spans="1:6" ht="14.25" thickBot="1">
      <c r="A110" s="1838" t="s">
        <v>1408</v>
      </c>
      <c r="B110" s="1839" t="s">
        <v>2104</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2105</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2106</v>
      </c>
      <c r="C138" s="1843">
        <v>0.105</v>
      </c>
      <c r="D138" s="1843">
        <v>0.125</v>
      </c>
      <c r="E138" s="1843">
        <v>0.112</v>
      </c>
      <c r="F138" s="1851"/>
    </row>
    <row r="139" spans="1:6" ht="14.25" thickBot="1">
      <c r="A139" s="1838" t="s">
        <v>1408</v>
      </c>
      <c r="B139" s="1842" t="s">
        <v>2107</v>
      </c>
      <c r="C139" s="1843">
        <v>0.127</v>
      </c>
      <c r="D139" s="1843">
        <v>0.127</v>
      </c>
      <c r="E139" s="1843">
        <v>0.122</v>
      </c>
      <c r="F139" s="1844">
        <v>0.13</v>
      </c>
    </row>
    <row r="140" spans="1:6" ht="14.25" thickBot="1">
      <c r="A140" s="1838" t="s">
        <v>1408</v>
      </c>
      <c r="B140" s="1842" t="s">
        <v>2108</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2109</v>
      </c>
      <c r="C144" s="1856">
        <v>0.126</v>
      </c>
      <c r="D144" s="1856">
        <v>0.126</v>
      </c>
      <c r="E144" s="1856">
        <v>0.121</v>
      </c>
      <c r="F144" s="1851"/>
    </row>
    <row r="145" spans="1:6" ht="14.25" thickBot="1">
      <c r="A145" s="1846" t="s">
        <v>1408</v>
      </c>
      <c r="B145" s="1857" t="s">
        <v>2110</v>
      </c>
      <c r="C145" s="1858"/>
      <c r="D145" s="1858"/>
      <c r="E145" s="1858"/>
      <c r="F145" s="1859">
        <v>0.05</v>
      </c>
    </row>
    <row r="146" spans="1:6" ht="24.75" thickBot="1">
      <c r="A146" s="1860" t="s">
        <v>1408</v>
      </c>
      <c r="B146" s="1845" t="s">
        <v>2111</v>
      </c>
      <c r="C146" s="1852"/>
      <c r="D146" s="1852"/>
      <c r="E146" s="1852"/>
      <c r="F146" s="1861">
        <v>0.05</v>
      </c>
    </row>
    <row r="147" spans="1:6" ht="24.75" thickBot="1">
      <c r="A147" s="1838" t="s">
        <v>1408</v>
      </c>
      <c r="B147" s="1842" t="s">
        <v>2112</v>
      </c>
      <c r="C147" s="1852"/>
      <c r="D147" s="1852"/>
      <c r="E147" s="1852"/>
      <c r="F147" s="1844">
        <v>0.05</v>
      </c>
    </row>
    <row r="148" spans="1:6" ht="24.75" thickBot="1">
      <c r="A148" s="1838" t="s">
        <v>1408</v>
      </c>
      <c r="B148" s="1842" t="s">
        <v>2113</v>
      </c>
      <c r="C148" s="1852"/>
      <c r="D148" s="1852"/>
      <c r="E148" s="1852"/>
      <c r="F148" s="1844">
        <v>0.05</v>
      </c>
    </row>
    <row r="149" spans="1:6" ht="24.75" thickBot="1">
      <c r="A149" s="1838" t="s">
        <v>1408</v>
      </c>
      <c r="B149" s="1842" t="s">
        <v>2114</v>
      </c>
      <c r="C149" s="1852"/>
      <c r="D149" s="1852"/>
      <c r="E149" s="1852"/>
      <c r="F149" s="1844">
        <v>0.05</v>
      </c>
    </row>
    <row r="150" spans="1:6" ht="24.75" thickBot="1">
      <c r="A150" s="1838" t="s">
        <v>1408</v>
      </c>
      <c r="B150" s="1842" t="s">
        <v>2115</v>
      </c>
      <c r="C150" s="1852"/>
      <c r="D150" s="1852"/>
      <c r="E150" s="1852"/>
      <c r="F150" s="1844">
        <v>0.05</v>
      </c>
    </row>
    <row r="151" spans="1:6" ht="24.75" thickBot="1">
      <c r="A151" s="1838" t="s">
        <v>1408</v>
      </c>
      <c r="B151" s="1842" t="s">
        <v>2116</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2117</v>
      </c>
      <c r="C153" s="1852"/>
      <c r="D153" s="1852"/>
      <c r="E153" s="1852"/>
      <c r="F153" s="1844">
        <v>0.05</v>
      </c>
    </row>
    <row r="154" spans="1:6" ht="14.25" thickBot="1">
      <c r="A154" s="1838" t="s">
        <v>1408</v>
      </c>
      <c r="B154" s="1842" t="s">
        <v>2118</v>
      </c>
      <c r="C154" s="1852"/>
      <c r="D154" s="1852"/>
      <c r="E154" s="1852"/>
      <c r="F154" s="1844">
        <v>0.05</v>
      </c>
    </row>
    <row r="155" spans="1:6" ht="24.75" thickBot="1">
      <c r="A155" s="1838" t="s">
        <v>1408</v>
      </c>
      <c r="B155" s="1842" t="s">
        <v>2119</v>
      </c>
      <c r="C155" s="1852"/>
      <c r="D155" s="1852"/>
      <c r="E155" s="1852"/>
      <c r="F155" s="1844">
        <v>0.05</v>
      </c>
    </row>
    <row r="156" spans="1:6" ht="24.75" thickBot="1">
      <c r="A156" s="1838" t="s">
        <v>1408</v>
      </c>
      <c r="B156" s="1842" t="s">
        <v>2120</v>
      </c>
      <c r="C156" s="1852"/>
      <c r="D156" s="1852"/>
      <c r="E156" s="1852"/>
      <c r="F156" s="1844">
        <v>0.05</v>
      </c>
    </row>
    <row r="157" spans="1:6" ht="14.25" thickBot="1">
      <c r="A157" s="1846" t="s">
        <v>1408</v>
      </c>
      <c r="B157" s="1853" t="s">
        <v>2121</v>
      </c>
      <c r="C157" s="1849"/>
      <c r="D157" s="1849"/>
      <c r="E157" s="1849"/>
      <c r="F157" s="1854">
        <v>0.05</v>
      </c>
    </row>
    <row r="158" spans="1:6" ht="14.25" thickBot="1">
      <c r="A158" s="1838" t="s">
        <v>1410</v>
      </c>
      <c r="B158" s="1839" t="s">
        <v>2122</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2123</v>
      </c>
      <c r="C171" s="1843">
        <v>0.127</v>
      </c>
      <c r="D171" s="1843">
        <v>0.126</v>
      </c>
      <c r="E171" s="1843">
        <v>0.126</v>
      </c>
      <c r="F171" s="1844">
        <v>0.11799999999999999</v>
      </c>
    </row>
    <row r="172" spans="1:6" ht="14.25" thickBot="1">
      <c r="A172" s="1838" t="s">
        <v>1410</v>
      </c>
      <c r="B172" s="1842" t="s">
        <v>2124</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2125</v>
      </c>
      <c r="C174" s="1843">
        <v>0.13</v>
      </c>
      <c r="D174" s="1843">
        <v>0.13</v>
      </c>
      <c r="E174" s="1843">
        <v>0.13</v>
      </c>
      <c r="F174" s="1844">
        <v>0.13</v>
      </c>
    </row>
    <row r="175" spans="1:6" ht="14.25" thickBot="1">
      <c r="A175" s="1838" t="s">
        <v>1410</v>
      </c>
      <c r="B175" s="1842" t="s">
        <v>2126</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2127</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2128</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2129</v>
      </c>
      <c r="C185" s="1843">
        <v>0.127</v>
      </c>
      <c r="D185" s="1843">
        <v>0.127</v>
      </c>
      <c r="E185" s="1843">
        <v>0.128</v>
      </c>
      <c r="F185" s="1844">
        <v>0.13</v>
      </c>
    </row>
    <row r="186" spans="1:6" ht="24.75" thickBot="1">
      <c r="A186" s="1838" t="s">
        <v>1410</v>
      </c>
      <c r="B186" s="1842" t="s">
        <v>2130</v>
      </c>
      <c r="C186" s="1852"/>
      <c r="D186" s="1852"/>
      <c r="E186" s="1852"/>
      <c r="F186" s="1844">
        <v>0.05</v>
      </c>
    </row>
    <row r="187" spans="1:6" ht="14.25" thickBot="1">
      <c r="A187" s="1838" t="s">
        <v>1410</v>
      </c>
      <c r="B187" s="1842" t="s">
        <v>2131</v>
      </c>
      <c r="C187" s="1852"/>
      <c r="D187" s="1852"/>
      <c r="E187" s="1852"/>
      <c r="F187" s="1844">
        <v>0.05</v>
      </c>
    </row>
    <row r="188" spans="1:6" ht="14.25" thickBot="1">
      <c r="A188" s="1838" t="s">
        <v>1410</v>
      </c>
      <c r="B188" s="1842" t="s">
        <v>2132</v>
      </c>
      <c r="C188" s="1852"/>
      <c r="D188" s="1852"/>
      <c r="E188" s="1852"/>
      <c r="F188" s="1844">
        <v>0.05</v>
      </c>
    </row>
    <row r="189" spans="1:6" ht="24.75" thickBot="1">
      <c r="A189" s="1838" t="s">
        <v>1410</v>
      </c>
      <c r="B189" s="1842" t="s">
        <v>2133</v>
      </c>
      <c r="C189" s="1852"/>
      <c r="D189" s="1852"/>
      <c r="E189" s="1852"/>
      <c r="F189" s="1844">
        <v>0.05</v>
      </c>
    </row>
    <row r="190" spans="1:6" ht="24.75" thickBot="1">
      <c r="A190" s="1838" t="s">
        <v>1410</v>
      </c>
      <c r="B190" s="1842" t="s">
        <v>2134</v>
      </c>
      <c r="C190" s="1852"/>
      <c r="D190" s="1852"/>
      <c r="E190" s="1852"/>
      <c r="F190" s="1844">
        <v>0.05</v>
      </c>
    </row>
    <row r="191" spans="1:6" ht="24.75" thickBot="1">
      <c r="A191" s="1838" t="s">
        <v>1410</v>
      </c>
      <c r="B191" s="1842" t="s">
        <v>2135</v>
      </c>
      <c r="C191" s="1852"/>
      <c r="D191" s="1852"/>
      <c r="E191" s="1852"/>
      <c r="F191" s="1844">
        <v>0.05</v>
      </c>
    </row>
    <row r="192" spans="1:6" ht="24.75" thickBot="1">
      <c r="A192" s="1838" t="s">
        <v>1410</v>
      </c>
      <c r="B192" s="1842" t="s">
        <v>2136</v>
      </c>
      <c r="C192" s="1852"/>
      <c r="D192" s="1852"/>
      <c r="E192" s="1852"/>
      <c r="F192" s="1844">
        <v>0.05</v>
      </c>
    </row>
    <row r="193" spans="1:6" ht="24.75" thickBot="1">
      <c r="A193" s="1838" t="s">
        <v>1410</v>
      </c>
      <c r="B193" s="1842" t="s">
        <v>2137</v>
      </c>
      <c r="C193" s="1852"/>
      <c r="D193" s="1852"/>
      <c r="E193" s="1852"/>
      <c r="F193" s="1844">
        <v>0.05</v>
      </c>
    </row>
    <row r="194" spans="1:6" ht="24.75" thickBot="1">
      <c r="A194" s="1838" t="s">
        <v>1410</v>
      </c>
      <c r="B194" s="1842" t="s">
        <v>2138</v>
      </c>
      <c r="C194" s="1852"/>
      <c r="D194" s="1852"/>
      <c r="E194" s="1852"/>
      <c r="F194" s="1844">
        <v>0.05</v>
      </c>
    </row>
    <row r="195" spans="1:6" ht="14.25" thickBot="1">
      <c r="A195" s="1838" t="s">
        <v>1410</v>
      </c>
      <c r="B195" s="1842" t="s">
        <v>2139</v>
      </c>
      <c r="C195" s="1852"/>
      <c r="D195" s="1852"/>
      <c r="E195" s="1852"/>
      <c r="F195" s="1844">
        <v>0.05</v>
      </c>
    </row>
    <row r="196" spans="1:6" ht="24.75" thickBot="1">
      <c r="A196" s="1838" t="s">
        <v>1410</v>
      </c>
      <c r="B196" s="1842" t="s">
        <v>2140</v>
      </c>
      <c r="C196" s="1852"/>
      <c r="D196" s="1852"/>
      <c r="E196" s="1852"/>
      <c r="F196" s="1844">
        <v>0.05</v>
      </c>
    </row>
    <row r="197" spans="1:6" ht="24.75" thickBot="1">
      <c r="A197" s="1838" t="s">
        <v>1410</v>
      </c>
      <c r="B197" s="1842" t="s">
        <v>2141</v>
      </c>
      <c r="C197" s="1852"/>
      <c r="D197" s="1852"/>
      <c r="E197" s="1852"/>
      <c r="F197" s="1844">
        <v>0.05</v>
      </c>
    </row>
    <row r="198" spans="1:6" ht="24.75" thickBot="1">
      <c r="A198" s="1838" t="s">
        <v>1410</v>
      </c>
      <c r="B198" s="1842" t="s">
        <v>2142</v>
      </c>
      <c r="C198" s="1852"/>
      <c r="D198" s="1852"/>
      <c r="E198" s="1852"/>
      <c r="F198" s="1844">
        <v>0.05</v>
      </c>
    </row>
    <row r="199" spans="1:6" ht="24.75" thickBot="1">
      <c r="A199" s="1838" t="s">
        <v>1410</v>
      </c>
      <c r="B199" s="1842" t="s">
        <v>2143</v>
      </c>
      <c r="C199" s="1852"/>
      <c r="D199" s="1852"/>
      <c r="E199" s="1852"/>
      <c r="F199" s="1844">
        <v>0.05</v>
      </c>
    </row>
    <row r="200" spans="1:6" ht="24.75" thickBot="1">
      <c r="A200" s="1838" t="s">
        <v>1410</v>
      </c>
      <c r="B200" s="1842" t="s">
        <v>2144</v>
      </c>
      <c r="C200" s="1852"/>
      <c r="D200" s="1852"/>
      <c r="E200" s="1852"/>
      <c r="F200" s="1844">
        <v>0.05</v>
      </c>
    </row>
    <row r="201" spans="1:6" ht="24.75" thickBot="1">
      <c r="A201" s="1838" t="s">
        <v>1410</v>
      </c>
      <c r="B201" s="1842" t="s">
        <v>2145</v>
      </c>
      <c r="C201" s="1852"/>
      <c r="D201" s="1852"/>
      <c r="E201" s="1852"/>
      <c r="F201" s="1844">
        <v>0.05</v>
      </c>
    </row>
    <row r="202" spans="1:6" ht="24.75" thickBot="1">
      <c r="A202" s="1838" t="s">
        <v>1410</v>
      </c>
      <c r="B202" s="1842" t="s">
        <v>2146</v>
      </c>
      <c r="C202" s="1852"/>
      <c r="D202" s="1852"/>
      <c r="E202" s="1852"/>
      <c r="F202" s="1844">
        <v>0.05</v>
      </c>
    </row>
    <row r="203" spans="1:6" ht="24.75" thickBot="1">
      <c r="A203" s="1838" t="s">
        <v>1410</v>
      </c>
      <c r="B203" s="1842" t="s">
        <v>2147</v>
      </c>
      <c r="C203" s="1852"/>
      <c r="D203" s="1852"/>
      <c r="E203" s="1852"/>
      <c r="F203" s="1844">
        <v>0.05</v>
      </c>
    </row>
    <row r="204" spans="1:6" ht="14.25" thickBot="1">
      <c r="A204" s="1838" t="s">
        <v>1410</v>
      </c>
      <c r="B204" s="1842" t="s">
        <v>2148</v>
      </c>
      <c r="C204" s="1852"/>
      <c r="D204" s="1852"/>
      <c r="E204" s="1852"/>
      <c r="F204" s="1844">
        <v>0.05</v>
      </c>
    </row>
    <row r="205" spans="1:6" ht="14.25" thickBot="1">
      <c r="A205" s="1846" t="s">
        <v>1410</v>
      </c>
      <c r="B205" s="1853" t="s">
        <v>2149</v>
      </c>
      <c r="C205" s="1849"/>
      <c r="D205" s="1849"/>
      <c r="E205" s="1849"/>
      <c r="F205" s="1854">
        <v>0.05</v>
      </c>
    </row>
    <row r="206" spans="1:6" ht="14.25" thickBot="1">
      <c r="A206" s="1838" t="s">
        <v>1412</v>
      </c>
      <c r="B206" s="1839" t="s">
        <v>2150</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2151</v>
      </c>
      <c r="C210" s="1843">
        <v>0.15</v>
      </c>
      <c r="D210" s="1843">
        <v>0.15</v>
      </c>
      <c r="E210" s="1843">
        <v>0.15</v>
      </c>
      <c r="F210" s="1844">
        <v>0.13800000000000001</v>
      </c>
    </row>
    <row r="211" spans="1:6" ht="14.25" thickBot="1">
      <c r="A211" s="1838" t="s">
        <v>1412</v>
      </c>
      <c r="B211" s="1842" t="s">
        <v>2152</v>
      </c>
      <c r="C211" s="1843">
        <v>0.13700000000000001</v>
      </c>
      <c r="D211" s="1843">
        <v>0.13500000000000001</v>
      </c>
      <c r="E211" s="1843">
        <v>0.13600000000000001</v>
      </c>
      <c r="F211" s="1844">
        <v>0.1</v>
      </c>
    </row>
    <row r="212" spans="1:6" ht="14.25" thickBot="1">
      <c r="A212" s="1838" t="s">
        <v>1412</v>
      </c>
      <c r="B212" s="1842" t="s">
        <v>2153</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2154</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2155</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2156</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2157</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2158</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2159</v>
      </c>
      <c r="C231" s="1843">
        <v>0.128</v>
      </c>
      <c r="D231" s="1843">
        <v>0.125</v>
      </c>
      <c r="E231" s="1843">
        <v>0.13200000000000001</v>
      </c>
      <c r="F231" s="1851"/>
    </row>
    <row r="232" spans="1:6" ht="14.25" thickBot="1">
      <c r="A232" s="1838" t="s">
        <v>1412</v>
      </c>
      <c r="B232" s="1842" t="s">
        <v>2160</v>
      </c>
      <c r="C232" s="1843">
        <v>0.14499999999999999</v>
      </c>
      <c r="D232" s="1843">
        <v>0.14399999999999999</v>
      </c>
      <c r="E232" s="1843">
        <v>0.14599999999999999</v>
      </c>
      <c r="F232" s="1844">
        <v>0.13800000000000001</v>
      </c>
    </row>
    <row r="233" spans="1:6" ht="14.25" thickBot="1">
      <c r="A233" s="1838" t="s">
        <v>1412</v>
      </c>
      <c r="B233" s="1842" t="s">
        <v>2161</v>
      </c>
      <c r="C233" s="1843">
        <v>0.14499999999999999</v>
      </c>
      <c r="D233" s="1843">
        <v>0.14299999999999999</v>
      </c>
      <c r="E233" s="1843">
        <v>0.14199999999999999</v>
      </c>
      <c r="F233" s="1851"/>
    </row>
    <row r="234" spans="1:6" ht="14.25" thickBot="1">
      <c r="A234" s="1838" t="s">
        <v>1412</v>
      </c>
      <c r="B234" s="1842" t="s">
        <v>2162</v>
      </c>
      <c r="C234" s="1843">
        <v>0.14000000000000001</v>
      </c>
      <c r="D234" s="1843">
        <v>0.14000000000000001</v>
      </c>
      <c r="E234" s="1843">
        <v>0.14399999999999999</v>
      </c>
      <c r="F234" s="1851"/>
    </row>
    <row r="235" spans="1:6" ht="14.25" thickBot="1">
      <c r="A235" s="1838" t="s">
        <v>1412</v>
      </c>
      <c r="B235" s="1842" t="s">
        <v>2163</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2164</v>
      </c>
      <c r="C237" s="1852"/>
      <c r="D237" s="1852"/>
      <c r="E237" s="1852"/>
      <c r="F237" s="1844">
        <v>0.05</v>
      </c>
    </row>
    <row r="238" spans="1:6" ht="24.75" thickBot="1">
      <c r="A238" s="1838" t="s">
        <v>1412</v>
      </c>
      <c r="B238" s="1842" t="s">
        <v>2165</v>
      </c>
      <c r="C238" s="1852"/>
      <c r="D238" s="1852"/>
      <c r="E238" s="1852"/>
      <c r="F238" s="1844">
        <v>0.05</v>
      </c>
    </row>
    <row r="239" spans="1:6" ht="24.75" thickBot="1">
      <c r="A239" s="1838" t="s">
        <v>1412</v>
      </c>
      <c r="B239" s="1842" t="s">
        <v>2166</v>
      </c>
      <c r="C239" s="1852"/>
      <c r="D239" s="1852"/>
      <c r="E239" s="1852"/>
      <c r="F239" s="1844">
        <v>0.05</v>
      </c>
    </row>
    <row r="240" spans="1:6" ht="24.75" thickBot="1">
      <c r="A240" s="1838" t="s">
        <v>1412</v>
      </c>
      <c r="B240" s="1842" t="s">
        <v>2167</v>
      </c>
      <c r="C240" s="1852"/>
      <c r="D240" s="1852"/>
      <c r="E240" s="1852"/>
      <c r="F240" s="1844">
        <v>0.05</v>
      </c>
    </row>
    <row r="241" spans="1:6" ht="24.75" thickBot="1">
      <c r="A241" s="1838" t="s">
        <v>1412</v>
      </c>
      <c r="B241" s="1842" t="s">
        <v>2168</v>
      </c>
      <c r="C241" s="1852"/>
      <c r="D241" s="1852"/>
      <c r="E241" s="1852"/>
      <c r="F241" s="1844">
        <v>0.05</v>
      </c>
    </row>
    <row r="242" spans="1:6" ht="24.75" thickBot="1">
      <c r="A242" s="1838" t="s">
        <v>1412</v>
      </c>
      <c r="B242" s="1842" t="s">
        <v>2169</v>
      </c>
      <c r="C242" s="1852"/>
      <c r="D242" s="1852"/>
      <c r="E242" s="1852"/>
      <c r="F242" s="1844">
        <v>0.05</v>
      </c>
    </row>
    <row r="243" spans="1:6" ht="24.75" thickBot="1">
      <c r="A243" s="1838" t="s">
        <v>1412</v>
      </c>
      <c r="B243" s="1842" t="s">
        <v>2170</v>
      </c>
      <c r="C243" s="1852"/>
      <c r="D243" s="1852"/>
      <c r="E243" s="1852"/>
      <c r="F243" s="1844">
        <v>0.05</v>
      </c>
    </row>
    <row r="244" spans="1:6" ht="24.75" thickBot="1">
      <c r="A244" s="1846" t="s">
        <v>1412</v>
      </c>
      <c r="B244" s="1853" t="s">
        <v>2171</v>
      </c>
      <c r="C244" s="1849"/>
      <c r="D244" s="1849"/>
      <c r="E244" s="1849"/>
      <c r="F244" s="1854">
        <v>0.05</v>
      </c>
    </row>
    <row r="245" spans="1:6" ht="14.25" thickBot="1">
      <c r="A245" s="1838" t="s">
        <v>1414</v>
      </c>
      <c r="B245" s="1839" t="s">
        <v>2172</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2173</v>
      </c>
      <c r="C247" s="1843">
        <v>0.15</v>
      </c>
      <c r="D247" s="1843">
        <v>0.15</v>
      </c>
      <c r="E247" s="1843">
        <v>0.15</v>
      </c>
      <c r="F247" s="1844">
        <v>0.15</v>
      </c>
    </row>
    <row r="248" spans="1:6" ht="14.25" thickBot="1">
      <c r="A248" s="1838" t="s">
        <v>1414</v>
      </c>
      <c r="B248" s="1842" t="s">
        <v>2174</v>
      </c>
      <c r="C248" s="1843">
        <v>0.15</v>
      </c>
      <c r="D248" s="1843">
        <v>0.15</v>
      </c>
      <c r="E248" s="1843">
        <v>0.15</v>
      </c>
      <c r="F248" s="1844">
        <v>0.14000000000000001</v>
      </c>
    </row>
    <row r="249" spans="1:6" ht="14.25" thickBot="1">
      <c r="A249" s="1838" t="s">
        <v>1414</v>
      </c>
      <c r="B249" s="1842" t="s">
        <v>2175</v>
      </c>
      <c r="C249" s="1843">
        <v>0.15</v>
      </c>
      <c r="D249" s="1843">
        <v>0.14899999999999999</v>
      </c>
      <c r="E249" s="1843">
        <v>0.15</v>
      </c>
      <c r="F249" s="1844">
        <v>0.1</v>
      </c>
    </row>
    <row r="250" spans="1:6" ht="14.25" thickBot="1">
      <c r="A250" s="1838" t="s">
        <v>1414</v>
      </c>
      <c r="B250" s="1842" t="s">
        <v>2176</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2177</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2178</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2179</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2180</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2181</v>
      </c>
      <c r="C273" s="1843">
        <v>0.14199999999999999</v>
      </c>
      <c r="D273" s="1843">
        <v>0.14299999999999999</v>
      </c>
      <c r="E273" s="1843">
        <v>0.15</v>
      </c>
      <c r="F273" s="1844">
        <v>0.1</v>
      </c>
    </row>
    <row r="274" spans="1:6" ht="14.25" thickBot="1">
      <c r="A274" s="1838" t="s">
        <v>1414</v>
      </c>
      <c r="B274" s="1842" t="s">
        <v>2182</v>
      </c>
      <c r="C274" s="1843">
        <v>0.14799999999999999</v>
      </c>
      <c r="D274" s="1843">
        <v>0.14799999999999999</v>
      </c>
      <c r="E274" s="1843">
        <v>0.15</v>
      </c>
      <c r="F274" s="1844">
        <v>6.7000000000000004E-2</v>
      </c>
    </row>
    <row r="275" spans="1:6" ht="14.25" thickBot="1">
      <c r="A275" s="1838" t="s">
        <v>1414</v>
      </c>
      <c r="B275" s="1842" t="s">
        <v>2183</v>
      </c>
      <c r="C275" s="1843">
        <v>0.15</v>
      </c>
      <c r="D275" s="1843">
        <v>0.15</v>
      </c>
      <c r="E275" s="1843">
        <v>0.15</v>
      </c>
      <c r="F275" s="1844">
        <v>0.15</v>
      </c>
    </row>
    <row r="276" spans="1:6" ht="14.25" thickBot="1">
      <c r="A276" s="1838" t="s">
        <v>1414</v>
      </c>
      <c r="B276" s="1842" t="s">
        <v>2184</v>
      </c>
      <c r="C276" s="1843">
        <v>0.14499999999999999</v>
      </c>
      <c r="D276" s="1843">
        <v>0.14299999999999999</v>
      </c>
      <c r="E276" s="1843">
        <v>0.15</v>
      </c>
      <c r="F276" s="1844">
        <v>5.8999999999999997E-2</v>
      </c>
    </row>
    <row r="277" spans="1:6" ht="14.25" thickBot="1">
      <c r="A277" s="1838" t="s">
        <v>1414</v>
      </c>
      <c r="B277" s="1842" t="s">
        <v>2185</v>
      </c>
      <c r="C277" s="1843">
        <v>0.15</v>
      </c>
      <c r="D277" s="1843">
        <v>0.15</v>
      </c>
      <c r="E277" s="1843">
        <v>0.15</v>
      </c>
      <c r="F277" s="1844">
        <v>0.121</v>
      </c>
    </row>
    <row r="278" spans="1:6" ht="14.25" thickBot="1">
      <c r="A278" s="1838" t="s">
        <v>1414</v>
      </c>
      <c r="B278" s="1842" t="s">
        <v>2186</v>
      </c>
      <c r="C278" s="1843">
        <v>0.15</v>
      </c>
      <c r="D278" s="1843">
        <v>0.15</v>
      </c>
      <c r="E278" s="1843">
        <v>0.15</v>
      </c>
      <c r="F278" s="1844">
        <v>0.13800000000000001</v>
      </c>
    </row>
    <row r="279" spans="1:6" ht="24.75" thickBot="1">
      <c r="A279" s="1838" t="s">
        <v>1414</v>
      </c>
      <c r="B279" s="1842" t="s">
        <v>2187</v>
      </c>
      <c r="C279" s="1852"/>
      <c r="D279" s="1852"/>
      <c r="E279" s="1852"/>
      <c r="F279" s="1844">
        <v>0.05</v>
      </c>
    </row>
    <row r="280" spans="1:6" ht="24.75" thickBot="1">
      <c r="A280" s="1838" t="s">
        <v>1414</v>
      </c>
      <c r="B280" s="1842" t="s">
        <v>2188</v>
      </c>
      <c r="C280" s="1852"/>
      <c r="D280" s="1852"/>
      <c r="E280" s="1852"/>
      <c r="F280" s="1844">
        <v>0.05</v>
      </c>
    </row>
    <row r="281" spans="1:6" ht="24.75" thickBot="1">
      <c r="A281" s="1838" t="s">
        <v>1414</v>
      </c>
      <c r="B281" s="1842" t="s">
        <v>2189</v>
      </c>
      <c r="C281" s="1852"/>
      <c r="D281" s="1852"/>
      <c r="E281" s="1852"/>
      <c r="F281" s="1844">
        <v>0.05</v>
      </c>
    </row>
    <row r="282" spans="1:6" ht="24.75" thickBot="1">
      <c r="A282" s="1838" t="s">
        <v>1414</v>
      </c>
      <c r="B282" s="1842" t="s">
        <v>2190</v>
      </c>
      <c r="C282" s="1852"/>
      <c r="D282" s="1852"/>
      <c r="E282" s="1852"/>
      <c r="F282" s="1844">
        <v>0.05</v>
      </c>
    </row>
    <row r="283" spans="1:6" ht="24.75" thickBot="1">
      <c r="A283" s="1838" t="s">
        <v>1414</v>
      </c>
      <c r="B283" s="1842" t="s">
        <v>2191</v>
      </c>
      <c r="C283" s="1852"/>
      <c r="D283" s="1852"/>
      <c r="E283" s="1852"/>
      <c r="F283" s="1844">
        <v>0.05</v>
      </c>
    </row>
    <row r="284" spans="1:6" ht="24.75" thickBot="1">
      <c r="A284" s="1838" t="s">
        <v>1414</v>
      </c>
      <c r="B284" s="1842" t="s">
        <v>2192</v>
      </c>
      <c r="C284" s="1852"/>
      <c r="D284" s="1852"/>
      <c r="E284" s="1852"/>
      <c r="F284" s="1844">
        <v>0.05</v>
      </c>
    </row>
    <row r="285" spans="1:6" ht="24.75" thickBot="1">
      <c r="A285" s="1838" t="s">
        <v>1414</v>
      </c>
      <c r="B285" s="1842" t="s">
        <v>2193</v>
      </c>
      <c r="C285" s="1852"/>
      <c r="D285" s="1852"/>
      <c r="E285" s="1852"/>
      <c r="F285" s="1844">
        <v>0.05</v>
      </c>
    </row>
    <row r="286" spans="1:6" ht="24.75" thickBot="1">
      <c r="A286" s="1838" t="s">
        <v>1414</v>
      </c>
      <c r="B286" s="1842" t="s">
        <v>2194</v>
      </c>
      <c r="C286" s="1852"/>
      <c r="D286" s="1852"/>
      <c r="E286" s="1852"/>
      <c r="F286" s="1844">
        <v>0.05</v>
      </c>
    </row>
    <row r="287" spans="1:6" ht="24.75" thickBot="1">
      <c r="A287" s="1838" t="s">
        <v>1414</v>
      </c>
      <c r="B287" s="1842" t="s">
        <v>2195</v>
      </c>
      <c r="C287" s="1852"/>
      <c r="D287" s="1852"/>
      <c r="E287" s="1852"/>
      <c r="F287" s="1844">
        <v>0.05</v>
      </c>
    </row>
    <row r="288" spans="1:6" ht="24.75" thickBot="1">
      <c r="A288" s="1838" t="s">
        <v>1414</v>
      </c>
      <c r="B288" s="1842" t="s">
        <v>2196</v>
      </c>
      <c r="C288" s="1852"/>
      <c r="D288" s="1852"/>
      <c r="E288" s="1852"/>
      <c r="F288" s="1844">
        <v>0.05</v>
      </c>
    </row>
    <row r="289" spans="1:6" ht="24.75" thickBot="1">
      <c r="A289" s="1846" t="s">
        <v>1414</v>
      </c>
      <c r="B289" s="1853" t="s">
        <v>2197</v>
      </c>
      <c r="C289" s="1849"/>
      <c r="D289" s="1849"/>
      <c r="E289" s="1849"/>
      <c r="F289" s="1854">
        <v>0.05</v>
      </c>
    </row>
    <row r="290" spans="1:6" ht="14.25" thickBot="1">
      <c r="A290" s="1838" t="s">
        <v>1418</v>
      </c>
      <c r="B290" s="1839" t="s">
        <v>2198</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2199</v>
      </c>
      <c r="C292" s="1843">
        <v>0.15</v>
      </c>
      <c r="D292" s="1843">
        <v>0.15</v>
      </c>
      <c r="E292" s="1843">
        <v>0.15</v>
      </c>
      <c r="F292" s="1844">
        <v>0.14699999999999999</v>
      </c>
    </row>
    <row r="293" spans="1:6" ht="14.25" thickBot="1">
      <c r="A293" s="1838" t="s">
        <v>1418</v>
      </c>
      <c r="B293" s="1842" t="s">
        <v>2200</v>
      </c>
      <c r="C293" s="1852"/>
      <c r="D293" s="1852"/>
      <c r="E293" s="1852"/>
      <c r="F293" s="1844">
        <v>0.1</v>
      </c>
    </row>
    <row r="294" spans="1:6" ht="14.25" thickBot="1">
      <c r="A294" s="1838" t="s">
        <v>1418</v>
      </c>
      <c r="B294" s="1842" t="s">
        <v>2201</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2202</v>
      </c>
      <c r="C296" s="1843">
        <v>0.15</v>
      </c>
      <c r="D296" s="1843">
        <v>0.15</v>
      </c>
      <c r="E296" s="1843">
        <v>0.15</v>
      </c>
      <c r="F296" s="1844">
        <v>0.15</v>
      </c>
    </row>
    <row r="297" spans="1:6" ht="14.25" thickBot="1">
      <c r="A297" s="1838" t="s">
        <v>1418</v>
      </c>
      <c r="B297" s="1842" t="s">
        <v>2203</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2204</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2205</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2206</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2207</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2208</v>
      </c>
      <c r="C310" s="1843">
        <v>0.15</v>
      </c>
      <c r="D310" s="1843">
        <v>0.15</v>
      </c>
      <c r="E310" s="1843">
        <v>0.15</v>
      </c>
      <c r="F310" s="1844">
        <v>0.13700000000000001</v>
      </c>
    </row>
    <row r="311" spans="1:6" ht="14.25" thickBot="1">
      <c r="A311" s="1838" t="s">
        <v>1418</v>
      </c>
      <c r="B311" s="1842" t="s">
        <v>2209</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2210</v>
      </c>
      <c r="C313" s="1843">
        <v>0.15</v>
      </c>
      <c r="D313" s="1843">
        <v>0.15</v>
      </c>
      <c r="E313" s="1843">
        <v>0.15</v>
      </c>
      <c r="F313" s="1844">
        <v>0.15</v>
      </c>
    </row>
    <row r="314" spans="1:6" ht="24.75" thickBot="1">
      <c r="A314" s="1838" t="s">
        <v>1418</v>
      </c>
      <c r="B314" s="1842" t="s">
        <v>2211</v>
      </c>
      <c r="C314" s="1852"/>
      <c r="D314" s="1852"/>
      <c r="E314" s="1852"/>
      <c r="F314" s="1844">
        <v>0.05</v>
      </c>
    </row>
    <row r="315" spans="1:6" ht="24.75" thickBot="1">
      <c r="A315" s="1838" t="s">
        <v>1418</v>
      </c>
      <c r="B315" s="1842" t="s">
        <v>2212</v>
      </c>
      <c r="C315" s="1852"/>
      <c r="D315" s="1852"/>
      <c r="E315" s="1852"/>
      <c r="F315" s="1844">
        <v>0.05</v>
      </c>
    </row>
    <row r="316" spans="1:6" ht="24.75" thickBot="1">
      <c r="A316" s="1846" t="s">
        <v>1418</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1106</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1175</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1195</v>
      </c>
      <c r="C328" s="1843">
        <v>0.15</v>
      </c>
      <c r="D328" s="1843">
        <v>0.15</v>
      </c>
      <c r="E328" s="1843">
        <v>0.15</v>
      </c>
      <c r="F328" s="1844">
        <v>0.14099999999999999</v>
      </c>
    </row>
    <row r="329" spans="1:6" ht="14.25" thickBot="1">
      <c r="A329" s="1838" t="s">
        <v>2214</v>
      </c>
      <c r="B329" s="1842" t="s">
        <v>1205</v>
      </c>
      <c r="C329" s="1843">
        <v>0.15</v>
      </c>
      <c r="D329" s="1843">
        <v>0.15</v>
      </c>
      <c r="E329" s="1843">
        <v>0.15</v>
      </c>
      <c r="F329" s="1844">
        <v>0.15</v>
      </c>
    </row>
    <row r="330" spans="1:6" ht="14.25" thickBot="1">
      <c r="A330" s="1838" t="s">
        <v>2214</v>
      </c>
      <c r="B330" s="1842" t="s">
        <v>1215</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1235</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1255</v>
      </c>
      <c r="C334" s="1843">
        <v>0.15</v>
      </c>
      <c r="D334" s="1843">
        <v>0.15</v>
      </c>
      <c r="E334" s="1843">
        <v>0.15</v>
      </c>
      <c r="F334" s="1844">
        <v>0.15</v>
      </c>
    </row>
    <row r="335" spans="1:6" ht="14.25" thickBot="1">
      <c r="A335" s="1838" t="s">
        <v>2214</v>
      </c>
      <c r="B335" s="1842" t="s">
        <v>1265</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1283</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0" t="s">
        <v>2574</v>
      </c>
      <c r="C1" s="3450"/>
      <c r="D1" s="3450"/>
      <c r="E1" s="3450"/>
      <c r="F1" s="3450"/>
      <c r="G1" s="3449" t="s">
        <v>2575</v>
      </c>
      <c r="H1" s="3449"/>
      <c r="I1" s="3449"/>
      <c r="J1" s="3449"/>
      <c r="K1" s="3449"/>
      <c r="L1" s="3449"/>
      <c r="N1" s="3449" t="s">
        <v>2576</v>
      </c>
      <c r="O1" s="3449"/>
      <c r="P1" s="3449"/>
      <c r="Q1" s="3449"/>
      <c r="R1" s="2616"/>
      <c r="S1" s="3449" t="s">
        <v>2577</v>
      </c>
      <c r="T1" s="3449"/>
      <c r="U1" s="3449"/>
      <c r="V1" s="3449"/>
      <c r="X1" s="3448" t="s">
        <v>2637</v>
      </c>
      <c r="Y1" s="3449"/>
      <c r="Z1" s="3449"/>
      <c r="AA1" s="3449"/>
      <c r="AB1" s="3449"/>
      <c r="AD1" s="3448" t="s">
        <v>2641</v>
      </c>
      <c r="AE1" s="3449"/>
      <c r="AF1" s="3449"/>
      <c r="AG1" s="3449"/>
      <c r="AH1" s="3449"/>
    </row>
    <row r="2" spans="1:34" s="2717" customFormat="1" ht="14.25" thickBot="1">
      <c r="B2" s="2725" t="s">
        <v>2578</v>
      </c>
      <c r="C2" s="2725" t="s">
        <v>2639</v>
      </c>
      <c r="D2" s="2718" t="s">
        <v>1643</v>
      </c>
      <c r="E2" s="2718" t="s">
        <v>1948</v>
      </c>
      <c r="F2" s="2725" t="s">
        <v>2640</v>
      </c>
      <c r="G2" s="2721"/>
      <c r="H2" s="2720"/>
      <c r="I2" s="2725" t="s">
        <v>2946</v>
      </c>
      <c r="J2" s="2718" t="s">
        <v>2948</v>
      </c>
      <c r="K2" s="2718" t="s">
        <v>2949</v>
      </c>
      <c r="L2" s="2725" t="s">
        <v>2950</v>
      </c>
      <c r="N2" s="2725" t="s">
        <v>2578</v>
      </c>
      <c r="O2" s="2718" t="s">
        <v>2947</v>
      </c>
      <c r="P2" s="2718" t="s">
        <v>1948</v>
      </c>
      <c r="Q2" s="2725" t="s">
        <v>2640</v>
      </c>
      <c r="R2" s="2719"/>
      <c r="S2" s="2725" t="s">
        <v>2578</v>
      </c>
      <c r="T2" s="2718" t="s">
        <v>2947</v>
      </c>
      <c r="U2" s="2718" t="s">
        <v>1948</v>
      </c>
      <c r="V2" s="2725" t="s">
        <v>2640</v>
      </c>
      <c r="X2" s="2725" t="s">
        <v>2578</v>
      </c>
      <c r="Y2" s="2725" t="s">
        <v>2639</v>
      </c>
      <c r="Z2" s="2718" t="s">
        <v>1643</v>
      </c>
      <c r="AA2" s="2718" t="s">
        <v>1948</v>
      </c>
      <c r="AB2" s="2725" t="s">
        <v>2640</v>
      </c>
      <c r="AD2" s="2725" t="s">
        <v>2578</v>
      </c>
      <c r="AE2" s="2725" t="s">
        <v>2639</v>
      </c>
      <c r="AF2" s="2718" t="s">
        <v>1643</v>
      </c>
      <c r="AG2" s="2718" t="s">
        <v>1948</v>
      </c>
      <c r="AH2" s="2725" t="s">
        <v>2640</v>
      </c>
    </row>
    <row r="3" spans="1:34" s="3078" customFormat="1" ht="14.25">
      <c r="A3" s="3090" t="s">
        <v>2959</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2985</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2960</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2984</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2982</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2979</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4">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2969</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4"/>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2970</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4"/>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2966</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45"/>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2957</v>
      </c>
      <c r="B12" s="3092">
        <v>439</v>
      </c>
      <c r="C12" s="3092">
        <v>327</v>
      </c>
      <c r="D12" s="3092">
        <f t="shared" si="65"/>
        <v>327</v>
      </c>
      <c r="E12" s="3092">
        <v>627</v>
      </c>
      <c r="F12" s="3093">
        <v>283</v>
      </c>
      <c r="G12" s="3443">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2961</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4"/>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2579</v>
      </c>
      <c r="B14" s="2630">
        <f t="shared" si="77"/>
        <v>419.31181600000002</v>
      </c>
      <c r="C14" s="2630">
        <f t="shared" si="77"/>
        <v>313.95436800000004</v>
      </c>
      <c r="D14" s="2630">
        <f t="shared" si="65"/>
        <v>313.95436800000004</v>
      </c>
      <c r="E14" s="2630">
        <f t="shared" si="78"/>
        <v>596.63028431999999</v>
      </c>
      <c r="F14" s="2630">
        <f t="shared" si="78"/>
        <v>274.74220703999998</v>
      </c>
      <c r="G14" s="3444"/>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2580</v>
      </c>
      <c r="B15" s="2630">
        <f t="shared" si="77"/>
        <v>405.524</v>
      </c>
      <c r="C15" s="2630">
        <f t="shared" si="77"/>
        <v>307.79840000000002</v>
      </c>
      <c r="D15" s="2630">
        <f t="shared" si="65"/>
        <v>307.79840000000002</v>
      </c>
      <c r="E15" s="2630">
        <f t="shared" si="78"/>
        <v>574.67759999999998</v>
      </c>
      <c r="F15" s="2630">
        <f t="shared" si="78"/>
        <v>270.20280000000002</v>
      </c>
      <c r="G15" s="3445"/>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969</v>
      </c>
      <c r="B16" s="2622">
        <v>392</v>
      </c>
      <c r="C16" s="2622">
        <v>302</v>
      </c>
      <c r="D16" s="2622">
        <f t="shared" si="65"/>
        <v>302</v>
      </c>
      <c r="E16" s="2622">
        <v>553</v>
      </c>
      <c r="F16" s="2623">
        <v>266</v>
      </c>
      <c r="G16" s="3443">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968</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4"/>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958</v>
      </c>
      <c r="B18" s="2630">
        <f t="shared" si="86"/>
        <v>360.06949782209392</v>
      </c>
      <c r="C18" s="2630">
        <f t="shared" si="86"/>
        <v>289.84672674747821</v>
      </c>
      <c r="D18" s="2630">
        <f t="shared" si="87"/>
        <v>289.84672674747821</v>
      </c>
      <c r="E18" s="2630">
        <f t="shared" si="88"/>
        <v>501.06543001181495</v>
      </c>
      <c r="F18" s="2630">
        <f t="shared" si="88"/>
        <v>256.82882500744967</v>
      </c>
      <c r="G18" s="3444"/>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967</v>
      </c>
      <c r="B19" s="2630">
        <f t="shared" si="86"/>
        <v>346.720748986128</v>
      </c>
      <c r="C19" s="2630">
        <f t="shared" si="86"/>
        <v>284.30282172386285</v>
      </c>
      <c r="D19" s="2630">
        <f t="shared" si="87"/>
        <v>284.30282172386285</v>
      </c>
      <c r="E19" s="2630">
        <f t="shared" si="88"/>
        <v>479.58023546306947</v>
      </c>
      <c r="F19" s="2630">
        <f t="shared" si="88"/>
        <v>253.25788877571213</v>
      </c>
      <c r="G19" s="3447"/>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966</v>
      </c>
      <c r="B20" s="2622">
        <v>333</v>
      </c>
      <c r="C20" s="2622">
        <v>277</v>
      </c>
      <c r="D20" s="2622">
        <f t="shared" si="87"/>
        <v>277</v>
      </c>
      <c r="E20" s="2622">
        <v>459</v>
      </c>
      <c r="F20" s="2623">
        <v>249</v>
      </c>
      <c r="G20" s="3446">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965</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4"/>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964</v>
      </c>
      <c r="B22" s="2630">
        <f t="shared" si="90"/>
        <v>322.34053690220776</v>
      </c>
      <c r="C22" s="2630">
        <f t="shared" si="90"/>
        <v>271.46160770422546</v>
      </c>
      <c r="D22" s="2630">
        <f t="shared" si="87"/>
        <v>271.46160770422546</v>
      </c>
      <c r="E22" s="2630">
        <f t="shared" si="91"/>
        <v>442.69434542172456</v>
      </c>
      <c r="F22" s="2630">
        <f t="shared" si="91"/>
        <v>241.34030753190925</v>
      </c>
      <c r="G22" s="3444"/>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963</v>
      </c>
      <c r="B23" s="2630">
        <f t="shared" si="90"/>
        <v>319.87748030386797</v>
      </c>
      <c r="C23" s="2630">
        <f t="shared" si="90"/>
        <v>269.60135833173649</v>
      </c>
      <c r="D23" s="2630">
        <f t="shared" si="87"/>
        <v>269.60135833173649</v>
      </c>
      <c r="E23" s="2630">
        <f t="shared" si="91"/>
        <v>439.18089823583784</v>
      </c>
      <c r="F23" s="2630">
        <f t="shared" si="91"/>
        <v>239.23503918706311</v>
      </c>
      <c r="G23" s="3447"/>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962</v>
      </c>
      <c r="B24" s="2644">
        <v>318</v>
      </c>
      <c r="C24" s="2644">
        <v>268</v>
      </c>
      <c r="D24" s="2644">
        <f t="shared" si="87"/>
        <v>268</v>
      </c>
      <c r="E24" s="2644">
        <v>437</v>
      </c>
      <c r="F24" s="2645">
        <v>237</v>
      </c>
      <c r="G24" s="3446">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961</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4"/>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960</v>
      </c>
      <c r="B26" s="2630">
        <f t="shared" si="92"/>
        <v>314.72141172386546</v>
      </c>
      <c r="C26" s="2630">
        <f t="shared" si="92"/>
        <v>263.03901319069001</v>
      </c>
      <c r="D26" s="2630">
        <f t="shared" si="87"/>
        <v>263.03901319069001</v>
      </c>
      <c r="E26" s="2630">
        <f t="shared" si="93"/>
        <v>433.65745506782821</v>
      </c>
      <c r="F26" s="2630">
        <f t="shared" si="93"/>
        <v>233.23005080045735</v>
      </c>
      <c r="G26" s="3444"/>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959</v>
      </c>
      <c r="B27" s="2649">
        <f t="shared" si="92"/>
        <v>307.34512863658733</v>
      </c>
      <c r="C27" s="2649">
        <f t="shared" si="92"/>
        <v>257.80556031626975</v>
      </c>
      <c r="D27" s="2649">
        <f t="shared" si="87"/>
        <v>257.80556031626975</v>
      </c>
      <c r="E27" s="2649">
        <f t="shared" si="93"/>
        <v>422.70928459677179</v>
      </c>
      <c r="F27" s="2649">
        <f t="shared" si="93"/>
        <v>229.73803270336617</v>
      </c>
      <c r="G27" s="3447"/>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2638</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2581</v>
      </c>
      <c r="B28" s="2622">
        <v>299</v>
      </c>
      <c r="C28" s="2622">
        <v>252</v>
      </c>
      <c r="D28" s="2622">
        <f t="shared" si="87"/>
        <v>252</v>
      </c>
      <c r="E28" s="2622">
        <v>409</v>
      </c>
      <c r="F28" s="2623">
        <v>227</v>
      </c>
      <c r="G28" s="3451">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2582</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2"/>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2583</v>
      </c>
      <c r="B30" s="2630">
        <f t="shared" si="96"/>
        <v>288.2649053828776</v>
      </c>
      <c r="C30" s="2630">
        <f t="shared" si="96"/>
        <v>243.64564425013293</v>
      </c>
      <c r="D30" s="2630">
        <f t="shared" si="87"/>
        <v>243.64564425013293</v>
      </c>
      <c r="E30" s="2630">
        <f t="shared" si="97"/>
        <v>393.31080825986544</v>
      </c>
      <c r="F30" s="2630">
        <f t="shared" si="97"/>
        <v>223.07903790551154</v>
      </c>
      <c r="G30" s="3452"/>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2584</v>
      </c>
      <c r="B31" s="2630">
        <f t="shared" si="96"/>
        <v>282.50186729015837</v>
      </c>
      <c r="C31" s="2630">
        <f t="shared" si="96"/>
        <v>238.09796174155468</v>
      </c>
      <c r="D31" s="2630">
        <f t="shared" si="87"/>
        <v>238.09796174155468</v>
      </c>
      <c r="E31" s="2630">
        <f t="shared" si="97"/>
        <v>385.33438646014054</v>
      </c>
      <c r="F31" s="2630">
        <f t="shared" si="97"/>
        <v>221.55034055567739</v>
      </c>
      <c r="G31" s="3453"/>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2585</v>
      </c>
      <c r="B32" s="2660">
        <v>278</v>
      </c>
      <c r="C32" s="2660">
        <v>234</v>
      </c>
      <c r="D32" s="2660">
        <f t="shared" si="87"/>
        <v>234</v>
      </c>
      <c r="E32" s="2660">
        <v>379</v>
      </c>
      <c r="F32" s="2661">
        <v>220</v>
      </c>
      <c r="G32" s="3446">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2586</v>
      </c>
      <c r="B33" s="2630">
        <f>B32/(1+N32)</f>
        <v>275.49301357645425</v>
      </c>
      <c r="C33" s="2630">
        <f>C32/(1+O32)</f>
        <v>232.41954707985698</v>
      </c>
      <c r="D33" s="2630">
        <f t="shared" si="87"/>
        <v>232.41954707985698</v>
      </c>
      <c r="E33" s="2630">
        <f t="shared" ref="E33:F35" si="98">E32/(1+P32)</f>
        <v>375.32184591008121</v>
      </c>
      <c r="F33" s="2630">
        <f t="shared" si="98"/>
        <v>218.03766105054513</v>
      </c>
      <c r="G33" s="3444"/>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2587</v>
      </c>
      <c r="B34" s="2630">
        <f>B33/(1+N33)</f>
        <v>275.24529281292263</v>
      </c>
      <c r="C34" s="2630">
        <f>C33/(1+O33)</f>
        <v>231.74747938962707</v>
      </c>
      <c r="D34" s="2630">
        <f t="shared" si="87"/>
        <v>231.74747938962707</v>
      </c>
      <c r="E34" s="2630">
        <f t="shared" si="98"/>
        <v>375.35938184826603</v>
      </c>
      <c r="F34" s="2630">
        <f t="shared" si="98"/>
        <v>216.78033510692495</v>
      </c>
      <c r="G34" s="3444"/>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2588</v>
      </c>
      <c r="B35" s="2630">
        <f>B34/(1+N34)</f>
        <v>275.19025476197027</v>
      </c>
      <c r="C35" s="2662">
        <v>232</v>
      </c>
      <c r="D35" s="2662">
        <f t="shared" si="87"/>
        <v>232</v>
      </c>
      <c r="E35" s="2630">
        <f t="shared" si="98"/>
        <v>375.65990977608692</v>
      </c>
      <c r="F35" s="2630">
        <f t="shared" si="98"/>
        <v>214.12518283971252</v>
      </c>
      <c r="G35" s="3447"/>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2589</v>
      </c>
      <c r="B36" s="2622">
        <v>275</v>
      </c>
      <c r="C36" s="2622">
        <v>232</v>
      </c>
      <c r="D36" s="2622">
        <f t="shared" si="87"/>
        <v>232</v>
      </c>
      <c r="E36" s="2622">
        <v>376</v>
      </c>
      <c r="F36" s="2623">
        <v>213</v>
      </c>
      <c r="G36" s="3446">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2590</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4">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2591</v>
      </c>
      <c r="B38" s="2630">
        <f t="shared" si="99"/>
        <v>275.19335084830601</v>
      </c>
      <c r="C38" s="2630">
        <f t="shared" si="99"/>
        <v>230.18088050139744</v>
      </c>
      <c r="D38" s="2630">
        <f t="shared" si="87"/>
        <v>230.18088050139744</v>
      </c>
      <c r="E38" s="2630">
        <f t="shared" si="100"/>
        <v>377.58482925212331</v>
      </c>
      <c r="F38" s="2630">
        <f t="shared" si="100"/>
        <v>210.90687997847917</v>
      </c>
      <c r="G38" s="3444">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2592</v>
      </c>
      <c r="B39" s="2630">
        <f t="shared" si="99"/>
        <v>276.29854502841971</v>
      </c>
      <c r="C39" s="2630">
        <f t="shared" si="99"/>
        <v>229.79023709833027</v>
      </c>
      <c r="D39" s="2630">
        <f t="shared" si="87"/>
        <v>229.79023709833027</v>
      </c>
      <c r="E39" s="2630">
        <f t="shared" si="100"/>
        <v>379.78759731655936</v>
      </c>
      <c r="F39" s="2630">
        <f t="shared" si="100"/>
        <v>211.32953905659235</v>
      </c>
      <c r="G39" s="3447">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2593</v>
      </c>
      <c r="B40" s="2622">
        <v>269</v>
      </c>
      <c r="C40" s="2622">
        <v>221</v>
      </c>
      <c r="D40" s="2622">
        <f t="shared" si="87"/>
        <v>221</v>
      </c>
      <c r="E40" s="2622">
        <v>373</v>
      </c>
      <c r="F40" s="2623">
        <v>196</v>
      </c>
      <c r="G40" s="3446">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2594</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4">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2595</v>
      </c>
      <c r="B42" s="2630">
        <f t="shared" si="101"/>
        <v>242.95398227588385</v>
      </c>
      <c r="C42" s="2630">
        <f t="shared" si="101"/>
        <v>199.59137053614126</v>
      </c>
      <c r="D42" s="2630">
        <f t="shared" si="87"/>
        <v>199.59137053614126</v>
      </c>
      <c r="E42" s="2630">
        <f t="shared" si="102"/>
        <v>335.92189522342125</v>
      </c>
      <c r="F42" s="2630">
        <f t="shared" si="102"/>
        <v>183.10139991109489</v>
      </c>
      <c r="G42" s="3444">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2596</v>
      </c>
      <c r="B43" s="2630">
        <f t="shared" si="101"/>
        <v>232.06990378821649</v>
      </c>
      <c r="C43" s="2630">
        <f t="shared" si="101"/>
        <v>192.74878854286936</v>
      </c>
      <c r="D43" s="2630">
        <f t="shared" si="87"/>
        <v>192.74878854286936</v>
      </c>
      <c r="E43" s="2630">
        <f t="shared" si="102"/>
        <v>319.71247284992984</v>
      </c>
      <c r="F43" s="2630">
        <f t="shared" si="102"/>
        <v>175.67053622862409</v>
      </c>
      <c r="G43" s="3447">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2597</v>
      </c>
      <c r="B44" s="2622">
        <v>220</v>
      </c>
      <c r="C44" s="2622">
        <v>187</v>
      </c>
      <c r="D44" s="2622">
        <f t="shared" si="87"/>
        <v>187</v>
      </c>
      <c r="E44" s="2622">
        <v>301</v>
      </c>
      <c r="F44" s="2623">
        <v>168</v>
      </c>
      <c r="G44" s="3446">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2598</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4">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2599</v>
      </c>
      <c r="B46" s="2630">
        <f t="shared" si="103"/>
        <v>210.630522469011</v>
      </c>
      <c r="C46" s="2630">
        <f t="shared" si="103"/>
        <v>181.69567812247232</v>
      </c>
      <c r="D46" s="2630">
        <f t="shared" si="87"/>
        <v>181.69567812247232</v>
      </c>
      <c r="E46" s="2630">
        <f t="shared" si="104"/>
        <v>286.13517466736738</v>
      </c>
      <c r="F46" s="2630">
        <f t="shared" si="104"/>
        <v>165.47535084591149</v>
      </c>
      <c r="G46" s="3444">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2600</v>
      </c>
      <c r="B47" s="2630">
        <f t="shared" si="103"/>
        <v>208.83454537875372</v>
      </c>
      <c r="C47" s="2630">
        <f t="shared" si="103"/>
        <v>183.77230517090351</v>
      </c>
      <c r="D47" s="2630">
        <f t="shared" si="87"/>
        <v>183.77230517090351</v>
      </c>
      <c r="E47" s="2630">
        <f t="shared" si="104"/>
        <v>281.10342338870947</v>
      </c>
      <c r="F47" s="2630">
        <f t="shared" si="104"/>
        <v>168.97309388942256</v>
      </c>
      <c r="G47" s="3447">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2601</v>
      </c>
      <c r="B48" s="2660">
        <v>214</v>
      </c>
      <c r="C48" s="2660">
        <v>188</v>
      </c>
      <c r="D48" s="2660">
        <f t="shared" si="87"/>
        <v>188</v>
      </c>
      <c r="E48" s="2660">
        <v>289</v>
      </c>
      <c r="F48" s="2661">
        <v>166</v>
      </c>
      <c r="G48" s="3446">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2602</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4">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2603</v>
      </c>
      <c r="B50" s="2630">
        <f t="shared" si="105"/>
        <v>206.31694671589116</v>
      </c>
      <c r="C50" s="2630">
        <f t="shared" si="105"/>
        <v>183.61041121036101</v>
      </c>
      <c r="D50" s="2630">
        <f t="shared" si="87"/>
        <v>183.61041121036101</v>
      </c>
      <c r="E50" s="2630">
        <f t="shared" si="106"/>
        <v>276.66850301795557</v>
      </c>
      <c r="F50" s="2630">
        <f t="shared" si="106"/>
        <v>165.1360938278614</v>
      </c>
      <c r="G50" s="3444">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2604</v>
      </c>
      <c r="B51" s="2663">
        <f t="shared" si="105"/>
        <v>196.62341248059772</v>
      </c>
      <c r="C51" s="2663">
        <f t="shared" si="105"/>
        <v>170.99125648199012</v>
      </c>
      <c r="D51" s="2663">
        <f t="shared" si="87"/>
        <v>170.99125648199012</v>
      </c>
      <c r="E51" s="2663">
        <f t="shared" si="106"/>
        <v>266.07857570490052</v>
      </c>
      <c r="F51" s="2663">
        <f t="shared" si="106"/>
        <v>154.53499328828505</v>
      </c>
      <c r="G51" s="3447">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2605</v>
      </c>
      <c r="B52" s="2622">
        <v>188</v>
      </c>
      <c r="C52" s="2622">
        <v>165</v>
      </c>
      <c r="D52" s="2622">
        <f t="shared" si="87"/>
        <v>165</v>
      </c>
      <c r="E52" s="2622">
        <v>254</v>
      </c>
      <c r="F52" s="2623">
        <v>148</v>
      </c>
      <c r="G52" s="3446">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2606</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4">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2607</v>
      </c>
      <c r="B54" s="2630">
        <f t="shared" si="109"/>
        <v>168.82017748715555</v>
      </c>
      <c r="C54" s="2630">
        <f t="shared" si="109"/>
        <v>148.06267029972753</v>
      </c>
      <c r="D54" s="2630">
        <f t="shared" si="87"/>
        <v>148.06267029972753</v>
      </c>
      <c r="E54" s="2630">
        <f t="shared" si="110"/>
        <v>216.46288379323747</v>
      </c>
      <c r="F54" s="2630">
        <f t="shared" si="110"/>
        <v>134.23529411764704</v>
      </c>
      <c r="G54" s="3444">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2608</v>
      </c>
      <c r="B55" s="2630">
        <f t="shared" si="109"/>
        <v>163.84913591779542</v>
      </c>
      <c r="C55" s="2630">
        <f t="shared" si="109"/>
        <v>145.0283378746594</v>
      </c>
      <c r="D55" s="2630">
        <f t="shared" si="87"/>
        <v>145.0283378746594</v>
      </c>
      <c r="E55" s="2630">
        <f t="shared" si="110"/>
        <v>204.95180722891567</v>
      </c>
      <c r="F55" s="2630">
        <f t="shared" si="110"/>
        <v>125.95920303605313</v>
      </c>
      <c r="G55" s="3447">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2609</v>
      </c>
      <c r="B56" s="2644">
        <v>159</v>
      </c>
      <c r="C56" s="2644">
        <v>141</v>
      </c>
      <c r="D56" s="2644">
        <f t="shared" si="87"/>
        <v>141</v>
      </c>
      <c r="E56" s="2644">
        <v>195</v>
      </c>
      <c r="F56" s="2645">
        <v>122</v>
      </c>
      <c r="G56" s="3446">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2610</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4">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2611</v>
      </c>
      <c r="B58" s="2630">
        <f t="shared" si="113"/>
        <v>146.57412060301507</v>
      </c>
      <c r="C58" s="2630">
        <f t="shared" si="113"/>
        <v>136.46831955922866</v>
      </c>
      <c r="D58" s="2630">
        <f t="shared" si="87"/>
        <v>136.46831955922866</v>
      </c>
      <c r="E58" s="2630">
        <f t="shared" si="114"/>
        <v>166.73864894795128</v>
      </c>
      <c r="F58" s="2630">
        <f t="shared" si="114"/>
        <v>115.05882352941177</v>
      </c>
      <c r="G58" s="3444">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2612</v>
      </c>
      <c r="B59" s="2630">
        <f t="shared" si="113"/>
        <v>144.04145728643215</v>
      </c>
      <c r="C59" s="2630">
        <f t="shared" si="113"/>
        <v>136.12396694214877</v>
      </c>
      <c r="D59" s="2630">
        <f t="shared" si="87"/>
        <v>136.12396694214877</v>
      </c>
      <c r="E59" s="2630">
        <f t="shared" si="114"/>
        <v>158.32225913621264</v>
      </c>
      <c r="F59" s="2630">
        <f t="shared" si="114"/>
        <v>114.04278074866311</v>
      </c>
      <c r="G59" s="3447">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2613</v>
      </c>
      <c r="B60" s="2644">
        <v>138</v>
      </c>
      <c r="C60" s="2644">
        <v>131</v>
      </c>
      <c r="D60" s="2644">
        <f t="shared" si="87"/>
        <v>131</v>
      </c>
      <c r="E60" s="2644">
        <v>155</v>
      </c>
      <c r="F60" s="2645">
        <v>114</v>
      </c>
      <c r="G60" s="3446">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2614</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4">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2615</v>
      </c>
      <c r="B62" s="2630">
        <f t="shared" si="117"/>
        <v>124.29032258064517</v>
      </c>
      <c r="C62" s="2630">
        <f t="shared" si="117"/>
        <v>123.8968609865471</v>
      </c>
      <c r="D62" s="2630">
        <f t="shared" si="87"/>
        <v>123.8968609865471</v>
      </c>
      <c r="E62" s="2630">
        <f t="shared" si="118"/>
        <v>138.00507614213197</v>
      </c>
      <c r="F62" s="2630">
        <f t="shared" si="118"/>
        <v>107.96106557377048</v>
      </c>
      <c r="G62" s="3444">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2616</v>
      </c>
      <c r="B63" s="2630">
        <f t="shared" si="117"/>
        <v>122.57204301075269</v>
      </c>
      <c r="C63" s="2630">
        <f t="shared" si="117"/>
        <v>123.4932735426009</v>
      </c>
      <c r="D63" s="2630">
        <f t="shared" si="87"/>
        <v>123.4932735426009</v>
      </c>
      <c r="E63" s="2630">
        <f t="shared" si="118"/>
        <v>129.82233502538071</v>
      </c>
      <c r="F63" s="2630">
        <f t="shared" si="118"/>
        <v>107.39446721311475</v>
      </c>
      <c r="G63" s="3447">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2617</v>
      </c>
      <c r="B64" s="2660">
        <v>121</v>
      </c>
      <c r="C64" s="2660">
        <v>122</v>
      </c>
      <c r="D64" s="2660">
        <f t="shared" si="87"/>
        <v>122</v>
      </c>
      <c r="E64" s="2660">
        <v>124</v>
      </c>
      <c r="F64" s="2661">
        <v>107</v>
      </c>
      <c r="G64" s="3446">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2618</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4">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2619</v>
      </c>
      <c r="B66" s="2630">
        <f t="shared" si="121"/>
        <v>116.99099099099099</v>
      </c>
      <c r="C66" s="2630">
        <f t="shared" si="121"/>
        <v>118.84848484848486</v>
      </c>
      <c r="D66" s="2630">
        <f t="shared" si="87"/>
        <v>118.84848484848486</v>
      </c>
      <c r="E66" s="2630">
        <f t="shared" si="122"/>
        <v>117.60960960960961</v>
      </c>
      <c r="F66" s="2630">
        <f t="shared" si="122"/>
        <v>104</v>
      </c>
      <c r="G66" s="3444">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2620</v>
      </c>
      <c r="B67" s="2663">
        <f t="shared" si="121"/>
        <v>112.48648648648648</v>
      </c>
      <c r="C67" s="2663">
        <f t="shared" si="121"/>
        <v>115.21212121212122</v>
      </c>
      <c r="D67" s="2663">
        <f t="shared" si="87"/>
        <v>115.21212121212122</v>
      </c>
      <c r="E67" s="2663">
        <f t="shared" si="122"/>
        <v>110.4024024024024</v>
      </c>
      <c r="F67" s="2663">
        <f t="shared" si="122"/>
        <v>104</v>
      </c>
      <c r="G67" s="3447">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2621</v>
      </c>
      <c r="B68" s="2681">
        <v>111</v>
      </c>
      <c r="C68" s="2681">
        <v>114</v>
      </c>
      <c r="D68" s="2681">
        <f t="shared" si="87"/>
        <v>114</v>
      </c>
      <c r="E68" s="2681">
        <v>108</v>
      </c>
      <c r="F68" s="2682">
        <v>104</v>
      </c>
      <c r="G68" s="3446">
        <v>2003</v>
      </c>
      <c r="H68" s="2671">
        <v>4</v>
      </c>
      <c r="I68" s="2683"/>
      <c r="J68" s="2683"/>
      <c r="K68" s="2683"/>
      <c r="L68" s="2683"/>
      <c r="N68" s="2684"/>
      <c r="O68" s="2683"/>
      <c r="P68" s="2683"/>
      <c r="Q68" s="2683"/>
      <c r="S68" s="2684"/>
      <c r="T68" s="2683"/>
      <c r="U68" s="2683"/>
      <c r="V68" s="2683"/>
      <c r="X68" s="2675"/>
      <c r="Y68" s="2675"/>
      <c r="Z68" s="2675"/>
    </row>
    <row r="69" spans="1:26">
      <c r="A69" s="2617" t="s">
        <v>2622</v>
      </c>
      <c r="B69" s="2685">
        <f t="shared" ref="B69:C71" si="123">B70+(B$68-B$72)/4</f>
        <v>109.75</v>
      </c>
      <c r="C69" s="2685">
        <f t="shared" si="123"/>
        <v>112.25</v>
      </c>
      <c r="D69" s="2685">
        <f t="shared" si="87"/>
        <v>112.25</v>
      </c>
      <c r="E69" s="2685">
        <f t="shared" ref="E69:F71" si="124">E70+(E$68-E$72)/4</f>
        <v>107.25</v>
      </c>
      <c r="F69" s="2685">
        <f t="shared" si="124"/>
        <v>103.5</v>
      </c>
      <c r="G69" s="3444">
        <v>2003</v>
      </c>
      <c r="H69" s="2641">
        <v>3</v>
      </c>
      <c r="I69" s="2683"/>
      <c r="J69" s="2683"/>
      <c r="K69" s="2683"/>
      <c r="L69" s="2683"/>
      <c r="X69" s="2675"/>
      <c r="Y69" s="2675"/>
      <c r="Z69" s="2675"/>
    </row>
    <row r="70" spans="1:26">
      <c r="A70" s="2617" t="s">
        <v>2623</v>
      </c>
      <c r="B70" s="2685">
        <f t="shared" si="123"/>
        <v>108.5</v>
      </c>
      <c r="C70" s="2685">
        <f t="shared" si="123"/>
        <v>110.5</v>
      </c>
      <c r="D70" s="2685">
        <f t="shared" si="87"/>
        <v>110.5</v>
      </c>
      <c r="E70" s="2685">
        <f t="shared" si="124"/>
        <v>106.5</v>
      </c>
      <c r="F70" s="2685">
        <f t="shared" si="124"/>
        <v>103</v>
      </c>
      <c r="G70" s="3444">
        <v>2003</v>
      </c>
      <c r="H70" s="2621">
        <v>2</v>
      </c>
      <c r="I70" s="2683"/>
      <c r="J70" s="2683"/>
      <c r="K70" s="2683"/>
      <c r="L70" s="2683"/>
      <c r="X70" s="2675"/>
      <c r="Y70" s="2675"/>
      <c r="Z70" s="2675"/>
    </row>
    <row r="71" spans="1:26" ht="13.5" thickBot="1">
      <c r="A71" s="2617" t="s">
        <v>2624</v>
      </c>
      <c r="B71" s="2685">
        <f t="shared" si="123"/>
        <v>107.25</v>
      </c>
      <c r="C71" s="2685">
        <f t="shared" si="123"/>
        <v>108.75</v>
      </c>
      <c r="D71" s="2685">
        <f t="shared" si="87"/>
        <v>108.75</v>
      </c>
      <c r="E71" s="2685">
        <f t="shared" si="124"/>
        <v>105.75</v>
      </c>
      <c r="F71" s="2685">
        <f t="shared" si="124"/>
        <v>102.5</v>
      </c>
      <c r="G71" s="3447">
        <v>2003</v>
      </c>
      <c r="H71" s="2686">
        <v>1</v>
      </c>
      <c r="I71" s="2683"/>
      <c r="J71" s="2683"/>
      <c r="K71" s="2683"/>
      <c r="L71" s="2683"/>
      <c r="S71" s="2625"/>
      <c r="T71" s="2626"/>
      <c r="U71" s="2626"/>
      <c r="X71" s="2675"/>
      <c r="Y71" s="2675"/>
      <c r="Z71" s="2675"/>
    </row>
    <row r="72" spans="1:26" ht="13.5" thickBot="1">
      <c r="A72" s="2617" t="s">
        <v>2625</v>
      </c>
      <c r="B72" s="2687">
        <v>106</v>
      </c>
      <c r="C72" s="2687">
        <v>107</v>
      </c>
      <c r="D72" s="2687">
        <f t="shared" si="87"/>
        <v>107</v>
      </c>
      <c r="E72" s="2687">
        <v>105</v>
      </c>
      <c r="F72" s="2688">
        <v>102</v>
      </c>
      <c r="G72" s="3446">
        <v>2002</v>
      </c>
      <c r="H72" s="2636">
        <v>4</v>
      </c>
      <c r="I72" s="2683"/>
      <c r="J72" s="2683"/>
      <c r="K72" s="2683"/>
      <c r="L72" s="2683"/>
      <c r="N72" s="2684"/>
      <c r="O72" s="2683"/>
      <c r="P72" s="2683"/>
      <c r="Q72" s="2683"/>
      <c r="S72" s="2684"/>
      <c r="T72" s="2683"/>
      <c r="U72" s="2683"/>
      <c r="V72" s="2683"/>
      <c r="X72" s="2675"/>
      <c r="Y72" s="2675"/>
      <c r="Z72" s="2675"/>
    </row>
    <row r="73" spans="1:26">
      <c r="A73" s="2617" t="s">
        <v>2626</v>
      </c>
      <c r="B73" s="2685">
        <f t="shared" ref="B73:C75" si="125">B74+(B$72-B$76)/4</f>
        <v>105</v>
      </c>
      <c r="C73" s="2685">
        <f t="shared" si="125"/>
        <v>106</v>
      </c>
      <c r="D73" s="2685">
        <f t="shared" si="87"/>
        <v>106</v>
      </c>
      <c r="E73" s="2685">
        <f t="shared" ref="E73:F75" si="126">E74+(E$72-E$76)/4</f>
        <v>104.5</v>
      </c>
      <c r="F73" s="2685">
        <f t="shared" si="126"/>
        <v>101.5</v>
      </c>
      <c r="G73" s="3444">
        <v>2002</v>
      </c>
      <c r="H73" s="2641">
        <v>3</v>
      </c>
      <c r="I73" s="2683"/>
      <c r="J73" s="2683"/>
      <c r="K73" s="2683"/>
      <c r="L73" s="2683"/>
      <c r="X73" s="2675"/>
      <c r="Y73" s="2675"/>
      <c r="Z73" s="2675"/>
    </row>
    <row r="74" spans="1:26">
      <c r="A74" s="2617" t="s">
        <v>2627</v>
      </c>
      <c r="B74" s="2685">
        <f t="shared" si="125"/>
        <v>104</v>
      </c>
      <c r="C74" s="2685">
        <f t="shared" si="125"/>
        <v>105</v>
      </c>
      <c r="D74" s="2685">
        <f t="shared" si="87"/>
        <v>105</v>
      </c>
      <c r="E74" s="2685">
        <f t="shared" si="126"/>
        <v>104</v>
      </c>
      <c r="F74" s="2685">
        <f t="shared" si="126"/>
        <v>101</v>
      </c>
      <c r="G74" s="3444">
        <v>2002</v>
      </c>
      <c r="H74" s="2621">
        <v>2</v>
      </c>
      <c r="I74" s="2683"/>
      <c r="J74" s="2683"/>
      <c r="K74" s="2683"/>
      <c r="L74" s="2683"/>
      <c r="X74" s="2675"/>
      <c r="Y74" s="2675"/>
      <c r="Z74" s="2675"/>
    </row>
    <row r="75" spans="1:26" s="2652" customFormat="1" ht="13.5" thickBot="1">
      <c r="A75" s="2648" t="s">
        <v>2628</v>
      </c>
      <c r="B75" s="2689">
        <f t="shared" si="125"/>
        <v>103</v>
      </c>
      <c r="C75" s="2689">
        <f t="shared" si="125"/>
        <v>104</v>
      </c>
      <c r="D75" s="2689">
        <f t="shared" si="87"/>
        <v>104</v>
      </c>
      <c r="E75" s="2689">
        <f t="shared" si="126"/>
        <v>103.5</v>
      </c>
      <c r="F75" s="2689">
        <f t="shared" si="126"/>
        <v>100.5</v>
      </c>
      <c r="G75" s="3447">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2629</v>
      </c>
      <c r="G78" s="2699"/>
      <c r="N78" s="2699"/>
      <c r="S78" s="2699"/>
    </row>
    <row r="79" spans="1:26" s="2698" customFormat="1">
      <c r="A79" s="2698" t="s">
        <v>2630</v>
      </c>
      <c r="G79" s="2699"/>
      <c r="N79" s="2699"/>
      <c r="S79" s="2699"/>
    </row>
    <row r="80" spans="1:26" s="2698" customFormat="1">
      <c r="A80" s="2698" t="s">
        <v>2631</v>
      </c>
      <c r="G80" s="2699"/>
      <c r="I80" s="2700"/>
      <c r="J80" s="2700"/>
      <c r="K80" s="2700"/>
      <c r="L80" s="2700"/>
      <c r="N80" s="2701"/>
      <c r="O80" s="2700"/>
      <c r="P80" s="2700"/>
      <c r="Q80" s="2700"/>
      <c r="S80" s="2701"/>
      <c r="T80" s="2700"/>
      <c r="U80" s="2700"/>
      <c r="V80" s="2700"/>
    </row>
    <row r="81" spans="1:22" s="2698" customFormat="1">
      <c r="A81" s="2698" t="s">
        <v>2632</v>
      </c>
      <c r="G81" s="2699"/>
      <c r="N81" s="2699"/>
      <c r="S81" s="2699"/>
    </row>
    <row r="88" spans="1:22" ht="13.5" thickBot="1"/>
    <row r="89" spans="1:22">
      <c r="G89" s="2624"/>
      <c r="S89" s="2702" t="s">
        <v>2633</v>
      </c>
      <c r="T89" s="2703" t="s">
        <v>2634</v>
      </c>
      <c r="U89" s="2703" t="s">
        <v>2635</v>
      </c>
      <c r="V89" s="2703" t="s">
        <v>2636</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2939</v>
      </c>
      <c r="B1" s="3052"/>
      <c r="C1" s="3052"/>
      <c r="D1" s="3052"/>
      <c r="E1" s="3052"/>
      <c r="F1" s="3052"/>
    </row>
    <row r="2" spans="1:6" ht="14.25">
      <c r="A2" s="3053" t="s">
        <v>2934</v>
      </c>
      <c r="B2" s="3054" t="e">
        <f ca="1">SUMIF(B7:B14,"&lt;&gt;#ref!",B7:B14)</f>
        <v>#DIV/0!</v>
      </c>
      <c r="C2" s="3053" t="s">
        <v>2935</v>
      </c>
      <c r="D2" s="3052"/>
      <c r="E2" s="3052"/>
      <c r="F2" s="3052"/>
    </row>
    <row r="3" spans="1:6" ht="14.25">
      <c r="A3" s="3053" t="s">
        <v>2967</v>
      </c>
      <c r="B3" s="3054" t="e">
        <f ca="1">ROUND(B2*10000/E3,0)</f>
        <v>#DIV/0!</v>
      </c>
      <c r="C3" s="3053" t="s">
        <v>2076</v>
      </c>
      <c r="D3" s="3053" t="s">
        <v>2936</v>
      </c>
      <c r="E3" s="3054">
        <f ca="1">SUMIF(E7:E14,"&lt;&gt;#ref!",E7:E14)</f>
        <v>0</v>
      </c>
      <c r="F3" s="3052"/>
    </row>
    <row r="4" spans="1:6" ht="14.25">
      <c r="A4" s="3053" t="s">
        <v>2943</v>
      </c>
      <c r="B4" s="3054" t="e">
        <f ca="1">ROUND(B2*10000/E4,0)</f>
        <v>#DIV/0!</v>
      </c>
      <c r="C4" s="3053" t="s">
        <v>2076</v>
      </c>
      <c r="D4" s="3053" t="s">
        <v>2944</v>
      </c>
      <c r="E4" s="3054">
        <f ca="1">SUMIF(F7:F14,"&lt;&gt;#ref!",F7:F14)</f>
        <v>0</v>
      </c>
      <c r="F4" s="3052"/>
    </row>
    <row r="5" spans="1:6" ht="14.25">
      <c r="A5" s="3055"/>
      <c r="B5" s="1864"/>
      <c r="C5" s="1864"/>
      <c r="D5" s="1864"/>
      <c r="E5" s="1864"/>
      <c r="F5" s="3052"/>
    </row>
    <row r="6" spans="1:6" ht="28.5">
      <c r="A6" s="3056" t="s">
        <v>2940</v>
      </c>
      <c r="B6" s="3053" t="s">
        <v>2937</v>
      </c>
      <c r="C6" s="3054"/>
      <c r="D6" s="1864"/>
      <c r="E6" s="3053" t="s">
        <v>2938</v>
      </c>
      <c r="F6" s="3053" t="s">
        <v>2942</v>
      </c>
    </row>
    <row r="7" spans="1:6" ht="14.25">
      <c r="A7" s="260" t="s">
        <v>2941</v>
      </c>
      <c r="B7" s="3057" t="e">
        <f ca="1">SUMIF(INDIRECT("'"&amp;A7&amp;"'"&amp;"!A:A"),"总价",INDIRECT("'"&amp;A7&amp;"'"&amp;"!B:B"))</f>
        <v>#DIV/0!</v>
      </c>
      <c r="C7" s="3053" t="s">
        <v>2935</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2935</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2935</v>
      </c>
      <c r="D9" s="1864"/>
      <c r="E9" s="3058" t="e">
        <f t="shared" ca="1" si="1"/>
        <v>#REF!</v>
      </c>
      <c r="F9" s="3058" t="e">
        <f t="shared" ca="1" si="2"/>
        <v>#REF!</v>
      </c>
    </row>
    <row r="10" spans="1:6" ht="14.25">
      <c r="A10" s="260"/>
      <c r="B10" s="3057" t="e">
        <f t="shared" ca="1" si="0"/>
        <v>#REF!</v>
      </c>
      <c r="C10" s="3053" t="s">
        <v>2935</v>
      </c>
      <c r="D10" s="1864"/>
      <c r="E10" s="3058" t="e">
        <f t="shared" ca="1" si="1"/>
        <v>#REF!</v>
      </c>
      <c r="F10" s="3058" t="e">
        <f t="shared" ca="1" si="2"/>
        <v>#REF!</v>
      </c>
    </row>
    <row r="11" spans="1:6" ht="14.25">
      <c r="A11" s="260"/>
      <c r="B11" s="3057" t="e">
        <f t="shared" ca="1" si="0"/>
        <v>#REF!</v>
      </c>
      <c r="C11" s="3053" t="s">
        <v>2935</v>
      </c>
      <c r="D11" s="1864"/>
      <c r="E11" s="3058" t="e">
        <f t="shared" ca="1" si="1"/>
        <v>#REF!</v>
      </c>
      <c r="F11" s="3058" t="e">
        <f t="shared" ca="1" si="2"/>
        <v>#REF!</v>
      </c>
    </row>
    <row r="12" spans="1:6" ht="14.25">
      <c r="A12" s="260"/>
      <c r="B12" s="3057" t="e">
        <f t="shared" ca="1" si="0"/>
        <v>#REF!</v>
      </c>
      <c r="C12" s="3053" t="s">
        <v>2935</v>
      </c>
      <c r="D12" s="1864"/>
      <c r="E12" s="3058" t="e">
        <f t="shared" ca="1" si="1"/>
        <v>#REF!</v>
      </c>
      <c r="F12" s="3058" t="e">
        <f t="shared" ca="1" si="2"/>
        <v>#REF!</v>
      </c>
    </row>
    <row r="13" spans="1:6" ht="14.25">
      <c r="A13" s="260"/>
      <c r="B13" s="3057" t="e">
        <f t="shared" ca="1" si="0"/>
        <v>#REF!</v>
      </c>
      <c r="C13" s="3053" t="s">
        <v>2935</v>
      </c>
      <c r="D13" s="1864"/>
      <c r="E13" s="3058" t="e">
        <f t="shared" ca="1" si="1"/>
        <v>#REF!</v>
      </c>
      <c r="F13" s="3058" t="e">
        <f t="shared" ca="1" si="2"/>
        <v>#REF!</v>
      </c>
    </row>
    <row r="14" spans="1:6" ht="14.25">
      <c r="A14" s="3051"/>
      <c r="B14" s="3057" t="e">
        <f t="shared" ca="1" si="0"/>
        <v>#REF!</v>
      </c>
      <c r="C14" s="3053" t="s">
        <v>2935</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2372</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629</v>
      </c>
      <c r="B2" s="775">
        <f ca="1">IF(ISERROR(C45+J31),0,C45+J31)</f>
        <v>0</v>
      </c>
      <c r="C2" s="1346"/>
      <c r="D2" s="2038"/>
      <c r="E2" s="2039"/>
      <c r="F2" s="2039"/>
      <c r="G2" s="1576"/>
      <c r="H2" s="1358"/>
      <c r="I2" s="2040"/>
      <c r="J2" s="2040"/>
      <c r="K2" s="2041"/>
      <c r="L2" s="2040"/>
      <c r="M2" s="2040"/>
    </row>
    <row r="3" spans="1:25" ht="18" customHeight="1">
      <c r="A3" s="1630" t="s">
        <v>1685</v>
      </c>
      <c r="B3" s="1387">
        <f ca="1">ROUND(B2*10000/'数据-汇总表'!E3,0)</f>
        <v>0</v>
      </c>
      <c r="C3" s="1346"/>
      <c r="D3" s="2038"/>
      <c r="E3" s="2039"/>
      <c r="F3" s="2039"/>
      <c r="G3" s="1576"/>
      <c r="H3" s="776" t="s">
        <v>695</v>
      </c>
      <c r="I3" s="2040"/>
      <c r="J3" s="2040"/>
      <c r="K3" s="2041"/>
      <c r="L3" s="2040"/>
      <c r="M3" s="2040"/>
    </row>
    <row r="4" spans="1:25" ht="18" customHeight="1">
      <c r="A4" s="1631" t="s">
        <v>696</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697</v>
      </c>
      <c r="D5" s="2038"/>
      <c r="E5" s="2039"/>
      <c r="F5" s="2039"/>
      <c r="G5" s="1576"/>
      <c r="H5" s="776"/>
      <c r="I5" s="2040"/>
      <c r="J5" s="2040"/>
      <c r="K5" s="2041"/>
      <c r="L5" s="2040"/>
      <c r="M5" s="2040"/>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8"/>
      <c r="H7" s="781">
        <v>1</v>
      </c>
      <c r="I7" s="782" t="s">
        <v>2456</v>
      </c>
      <c r="J7" s="53">
        <f ca="1">J8+J12+J14</f>
        <v>0</v>
      </c>
      <c r="K7" s="2458" t="s">
        <v>2459</v>
      </c>
      <c r="L7" s="2452"/>
      <c r="M7" s="2453"/>
    </row>
    <row r="8" spans="1:25" ht="18" customHeight="1">
      <c r="A8" s="1813" t="s">
        <v>1823</v>
      </c>
      <c r="B8" s="3455" t="s">
        <v>2461</v>
      </c>
      <c r="C8" s="1808">
        <f ca="1">ROUND(F8*F10*F9*(1-F11)/10000,0)</f>
        <v>0</v>
      </c>
      <c r="D8" s="1805" t="s">
        <v>2532</v>
      </c>
      <c r="E8" s="61" t="s">
        <v>637</v>
      </c>
      <c r="F8" s="785">
        <f ca="1">INDIRECT("'数据-取费表'!u"&amp;$G$1)</f>
        <v>0</v>
      </c>
      <c r="G8" s="1578"/>
      <c r="H8" s="2466" t="s">
        <v>1823</v>
      </c>
      <c r="I8" s="3455" t="s">
        <v>2461</v>
      </c>
      <c r="J8" s="783">
        <f ca="1">ROUND(M8*M10*M9*(1-M11)/10000,0)</f>
        <v>0</v>
      </c>
      <c r="K8" s="341" t="s">
        <v>2532</v>
      </c>
      <c r="L8" s="784" t="s">
        <v>1737</v>
      </c>
      <c r="M8" s="785">
        <f ca="1">INDIRECT("'数据-取费表'!z"&amp;$G$1)</f>
        <v>0</v>
      </c>
    </row>
    <row r="9" spans="1:25" ht="18" customHeight="1">
      <c r="A9" s="2462"/>
      <c r="B9" s="3456"/>
      <c r="C9" s="1809"/>
      <c r="D9" s="1806"/>
      <c r="E9" s="61" t="s">
        <v>638</v>
      </c>
      <c r="F9" s="785">
        <f ca="1">IF(INDIRECT("'数据-取费表'!ah"&amp;$G$1)="",INDIRECT("'数据-取费表'!k"&amp;$G$1),INDIRECT("'数据-取费表'!ah"&amp;$G$1))</f>
        <v>0</v>
      </c>
      <c r="G9" s="1578"/>
      <c r="H9" s="2451"/>
      <c r="I9" s="3456"/>
      <c r="J9" s="788"/>
      <c r="K9" s="789"/>
      <c r="L9" s="784" t="s">
        <v>1738</v>
      </c>
      <c r="M9" s="785">
        <f ca="1">F9</f>
        <v>0</v>
      </c>
    </row>
    <row r="10" spans="1:25" ht="18" customHeight="1">
      <c r="A10" s="2455"/>
      <c r="B10" s="3457"/>
      <c r="C10" s="1809"/>
      <c r="D10" s="1806"/>
      <c r="E10" s="61" t="s">
        <v>639</v>
      </c>
      <c r="F10" s="785">
        <f ca="1">INDIRECT("'数据-取费表'!ai"&amp;$G$1)</f>
        <v>0</v>
      </c>
      <c r="G10" s="1578"/>
      <c r="H10" s="2451"/>
      <c r="I10" s="3457"/>
      <c r="J10" s="788"/>
      <c r="K10" s="789"/>
      <c r="L10" s="784" t="s">
        <v>1739</v>
      </c>
      <c r="M10" s="785">
        <f ca="1">INDIRECT("'数据-取费表'!ai"&amp;$G$1)</f>
        <v>0</v>
      </c>
    </row>
    <row r="11" spans="1:25" ht="18" customHeight="1">
      <c r="A11" s="786"/>
      <c r="B11" s="3458"/>
      <c r="C11" s="1809"/>
      <c r="D11" s="1806"/>
      <c r="E11" s="61" t="s">
        <v>640</v>
      </c>
      <c r="F11" s="794">
        <f ca="1">INDIRECT("'数据-取费表'!w"&amp;$G$1)</f>
        <v>0</v>
      </c>
      <c r="G11" s="1578"/>
      <c r="H11" s="2467"/>
      <c r="I11" s="3457"/>
      <c r="J11" s="788"/>
      <c r="K11" s="789"/>
      <c r="L11" s="795" t="s">
        <v>1740</v>
      </c>
      <c r="M11" s="796">
        <f ca="1">INDIRECT("'数据-取费表'!ab"&amp;$G$1)</f>
        <v>0</v>
      </c>
    </row>
    <row r="12" spans="1:25" ht="18" customHeight="1">
      <c r="A12" s="1813" t="s">
        <v>1824</v>
      </c>
      <c r="B12" s="2456" t="s">
        <v>2457</v>
      </c>
      <c r="C12" s="799">
        <f ca="1">ROUND(IF(F12="押一",C8/12*F13,IF(F12="押二",C8/12*2*F13,IF(F12="押三",C8/12*3*F13,C13*F13))),0)</f>
        <v>0</v>
      </c>
      <c r="D12" s="2463" t="s">
        <v>2964</v>
      </c>
      <c r="E12" s="2460" t="s">
        <v>2462</v>
      </c>
      <c r="F12" s="2583"/>
      <c r="G12" s="1578"/>
      <c r="H12" s="2523" t="s">
        <v>1824</v>
      </c>
      <c r="I12" s="2528" t="s">
        <v>2457</v>
      </c>
      <c r="J12" s="783">
        <f ca="1">ROUND(IF(M12="押一",J8/12*M13,IF(M12="押二",J8/12*2*M13,IF(M12="押三",J8/12*3*M13,J13*M13))),0)</f>
        <v>0</v>
      </c>
      <c r="K12" s="2463" t="s">
        <v>2964</v>
      </c>
      <c r="L12" s="2460" t="s">
        <v>2462</v>
      </c>
      <c r="M12" s="2583"/>
    </row>
    <row r="13" spans="1:25" ht="18" customHeight="1">
      <c r="A13" s="790"/>
      <c r="B13" s="2457" t="s">
        <v>2571</v>
      </c>
      <c r="C13" s="2461"/>
      <c r="D13" s="789"/>
      <c r="E13" s="2460" t="s">
        <v>2454</v>
      </c>
      <c r="F13" s="796">
        <f ca="1">'数据-取费表'!B39</f>
        <v>1.4999999999999999E-2</v>
      </c>
      <c r="G13" s="1578"/>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8"/>
      <c r="H14" s="2513" t="s">
        <v>2465</v>
      </c>
      <c r="I14" s="2526" t="s">
        <v>2458</v>
      </c>
      <c r="J14" s="2527"/>
      <c r="K14" s="2502"/>
      <c r="L14" s="2503"/>
      <c r="M14" s="2516"/>
    </row>
    <row r="15" spans="1:25" ht="18" customHeight="1" thickTop="1">
      <c r="A15" s="1812" t="s">
        <v>1873</v>
      </c>
      <c r="B15" s="1810" t="s">
        <v>641</v>
      </c>
      <c r="C15" s="792">
        <f ca="1">ROUND(C31*F15,0)</f>
        <v>0</v>
      </c>
      <c r="D15" s="1817" t="s">
        <v>642</v>
      </c>
      <c r="E15" s="795" t="s">
        <v>643</v>
      </c>
      <c r="F15" s="800">
        <f ca="1">INDIRECT("'数据-取费表'!y"&amp;$G$1)</f>
        <v>0</v>
      </c>
      <c r="G15" s="1578"/>
      <c r="H15" s="1812" t="s">
        <v>1825</v>
      </c>
      <c r="I15" s="1810" t="s">
        <v>644</v>
      </c>
      <c r="J15" s="1802">
        <f ca="1">ROUND(J16*J17,0)</f>
        <v>0</v>
      </c>
      <c r="K15" s="1804" t="s">
        <v>642</v>
      </c>
      <c r="L15" s="801"/>
      <c r="M15" s="802"/>
    </row>
    <row r="16" spans="1:25" ht="18" customHeight="1">
      <c r="A16" s="803" t="s">
        <v>1874</v>
      </c>
      <c r="B16" s="784" t="s">
        <v>645</v>
      </c>
      <c r="C16" s="804">
        <f ca="1">INDIRECT("'数据-取费表'!m"&amp;$G$1)+INDIRECT("'数据-取费表'!t"&amp;$G$1)</f>
        <v>0</v>
      </c>
      <c r="D16" s="1962" t="s">
        <v>646</v>
      </c>
      <c r="E16" s="1963"/>
      <c r="F16" s="805"/>
      <c r="G16" s="1578"/>
      <c r="H16" s="803" t="s">
        <v>2067</v>
      </c>
      <c r="I16" s="2214" t="s">
        <v>2823</v>
      </c>
      <c r="J16" s="53">
        <f ca="1">C31</f>
        <v>0</v>
      </c>
      <c r="K16" s="26"/>
      <c r="L16" s="801"/>
      <c r="M16" s="802"/>
    </row>
    <row r="17" spans="1:25" s="2047" customFormat="1" ht="18" customHeight="1">
      <c r="A17" s="803" t="s">
        <v>1848</v>
      </c>
      <c r="B17" s="784" t="s">
        <v>647</v>
      </c>
      <c r="C17" s="53">
        <f ca="1">ROUND(C16*F17,0)</f>
        <v>0</v>
      </c>
      <c r="D17" s="806" t="s">
        <v>648</v>
      </c>
      <c r="E17" s="806" t="s">
        <v>649</v>
      </c>
      <c r="F17" s="807">
        <f>'数据-取费表'!B33</f>
        <v>0.05</v>
      </c>
      <c r="G17" s="1579"/>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5"/>
      <c r="M18" s="56"/>
    </row>
    <row r="19" spans="1:25" s="2047"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0" t="s">
        <v>661</v>
      </c>
      <c r="L20" s="784" t="s">
        <v>649</v>
      </c>
      <c r="M20" s="809">
        <f>'数据-取费表'!B41</f>
        <v>5.5000000000000007E-2</v>
      </c>
      <c r="N20" s="2046"/>
      <c r="O20" s="2046"/>
      <c r="P20" s="2046"/>
      <c r="Q20" s="2046"/>
      <c r="R20" s="2046"/>
      <c r="S20" s="2046"/>
      <c r="T20" s="2046"/>
      <c r="U20" s="2046"/>
      <c r="V20" s="2046"/>
      <c r="W20" s="2046"/>
      <c r="X20" s="2046"/>
      <c r="Y20" s="2046"/>
    </row>
    <row r="21" spans="1:25" ht="18" customHeight="1">
      <c r="A21" s="803" t="s">
        <v>1875</v>
      </c>
      <c r="B21" s="784" t="s">
        <v>662</v>
      </c>
      <c r="C21" s="53">
        <f ca="1">SUM(C16:C20)</f>
        <v>0</v>
      </c>
      <c r="D21" s="261" t="s">
        <v>663</v>
      </c>
      <c r="E21" s="1965"/>
      <c r="F21" s="56"/>
      <c r="G21" s="1578"/>
      <c r="H21" s="1813"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1876</v>
      </c>
      <c r="B22" s="784" t="s">
        <v>666</v>
      </c>
      <c r="C22" s="53">
        <f ca="1">ROUND(C21*F22,0)</f>
        <v>0</v>
      </c>
      <c r="D22" s="812" t="s">
        <v>667</v>
      </c>
      <c r="E22" s="784" t="s">
        <v>649</v>
      </c>
      <c r="F22" s="809">
        <f>'数据-取费表'!B37</f>
        <v>0.02</v>
      </c>
      <c r="G22" s="1579"/>
      <c r="H22" s="1815" t="s">
        <v>1849</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1877</v>
      </c>
      <c r="B23" s="784" t="s">
        <v>671</v>
      </c>
      <c r="C23" s="53" t="s">
        <v>1</v>
      </c>
      <c r="D23" s="812" t="s">
        <v>672</v>
      </c>
      <c r="E23" s="784" t="s">
        <v>673</v>
      </c>
      <c r="F23" s="809">
        <f>'数据-取费表'!B38</f>
        <v>0.02</v>
      </c>
      <c r="G23" s="1579"/>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1878</v>
      </c>
      <c r="B24" s="784" t="s">
        <v>675</v>
      </c>
      <c r="C24" s="53"/>
      <c r="D24" s="2534" t="str">
        <f>IF(F25&lt;=1,"单利计息。","复利计息。")&amp;"建造成本、管理费用、销售费用产生的利息。"</f>
        <v>复利计息。建造成本、管理费用、销售费用产生的利息。</v>
      </c>
      <c r="E24" s="1965"/>
      <c r="F24" s="56"/>
      <c r="G24" s="1578"/>
      <c r="H24" s="1814" t="s">
        <v>2068</v>
      </c>
      <c r="I24" s="784" t="s">
        <v>676</v>
      </c>
      <c r="J24" s="53">
        <f ca="1">ROUND(J16*M24,0)</f>
        <v>0</v>
      </c>
      <c r="K24" s="1960" t="s">
        <v>677</v>
      </c>
      <c r="L24" s="784" t="s">
        <v>649</v>
      </c>
      <c r="M24" s="817">
        <f ca="1">INDIRECT("'数据-取费表'!Ak"&amp;$G$1)</f>
        <v>0</v>
      </c>
    </row>
    <row r="25" spans="1:25" s="2047" customFormat="1" ht="18" customHeight="1">
      <c r="A25" s="803" t="s">
        <v>1874</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1848</v>
      </c>
      <c r="B26" s="784" t="s">
        <v>681</v>
      </c>
      <c r="C26" s="53">
        <f ca="1">ROUND(IF('数据-取费表'!B22&lt;=1,F23*F26*F25/2,F23*(POWER((1+F26),F25/2)-1)),4)</f>
        <v>6.9999999999999999E-4</v>
      </c>
      <c r="D26" s="2533"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1880</v>
      </c>
      <c r="B27" s="784" t="s">
        <v>684</v>
      </c>
      <c r="C27" s="53"/>
      <c r="D27" s="261" t="s">
        <v>685</v>
      </c>
      <c r="E27" s="1965"/>
      <c r="F27" s="56"/>
      <c r="G27" s="1578"/>
      <c r="H27" s="797" t="s">
        <v>1827</v>
      </c>
      <c r="I27" s="2961" t="s">
        <v>2820</v>
      </c>
      <c r="J27" s="799">
        <f ca="1">J7-J18</f>
        <v>0</v>
      </c>
      <c r="K27" s="1962" t="s">
        <v>700</v>
      </c>
      <c r="L27" s="1964"/>
      <c r="M27" s="820"/>
    </row>
    <row r="28" spans="1:25" ht="18" customHeight="1">
      <c r="A28" s="803" t="s">
        <v>1874</v>
      </c>
      <c r="B28" s="784" t="s">
        <v>2436</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7"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9"/>
      <c r="H31" s="823" t="s">
        <v>1871</v>
      </c>
      <c r="I31" s="2962" t="s">
        <v>2822</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1875</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1874</v>
      </c>
      <c r="B34" s="784" t="s">
        <v>660</v>
      </c>
      <c r="C34" s="53">
        <f ca="1">ROUND(C8*F34/(1+'数据-取费表'!C42),1)</f>
        <v>0</v>
      </c>
      <c r="D34" s="1960" t="s">
        <v>661</v>
      </c>
      <c r="E34" s="784" t="s">
        <v>649</v>
      </c>
      <c r="F34" s="809">
        <f>'数据-取费表'!B41</f>
        <v>5.5000000000000007E-2</v>
      </c>
      <c r="G34" s="2045"/>
      <c r="H34" s="2054"/>
      <c r="I34" s="2055"/>
      <c r="J34" s="2056"/>
      <c r="K34" s="2057"/>
      <c r="L34" s="2058"/>
      <c r="M34" s="2059"/>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5"/>
      <c r="H35" s="2060"/>
      <c r="I35" s="2060"/>
      <c r="J35" s="2060"/>
      <c r="K35" s="2061"/>
      <c r="L35" s="2060"/>
      <c r="M35" s="2060"/>
    </row>
    <row r="36" spans="1:18" ht="18" customHeight="1">
      <c r="A36" s="813" t="s">
        <v>1879</v>
      </c>
      <c r="B36" s="341" t="s">
        <v>668</v>
      </c>
      <c r="C36" s="54">
        <f ca="1">ROUND(F36*F37/10000,1)</f>
        <v>0</v>
      </c>
      <c r="D36" s="814" t="s">
        <v>669</v>
      </c>
      <c r="E36" s="784" t="s">
        <v>670</v>
      </c>
      <c r="F36" s="640">
        <f>'数据-取费表'!B52</f>
        <v>0</v>
      </c>
      <c r="G36" s="2045"/>
      <c r="H36" s="2048"/>
      <c r="I36" s="3454"/>
      <c r="J36" s="2062"/>
      <c r="K36" s="2063"/>
      <c r="L36" s="2062"/>
      <c r="M36" s="2062"/>
    </row>
    <row r="37" spans="1:18" ht="18" customHeight="1">
      <c r="A37" s="815"/>
      <c r="B37" s="793"/>
      <c r="C37" s="69"/>
      <c r="D37" s="816"/>
      <c r="E37" s="784" t="s">
        <v>674</v>
      </c>
      <c r="F37" s="785">
        <f ca="1">INDIRECT("'数据-取费表'!r"&amp;$G$1)</f>
        <v>0</v>
      </c>
      <c r="G37" s="2045"/>
      <c r="H37" s="2048"/>
      <c r="I37" s="3454"/>
      <c r="J37" s="2060"/>
      <c r="K37" s="2061"/>
      <c r="L37" s="2060"/>
      <c r="M37" s="2060"/>
    </row>
    <row r="38" spans="1:18" ht="18" customHeight="1">
      <c r="A38" s="803" t="s">
        <v>1876</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1877</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1875</v>
      </c>
      <c r="B42" s="835" t="s">
        <v>693</v>
      </c>
      <c r="C42" s="829">
        <f ca="1">C7-C32</f>
        <v>0</v>
      </c>
      <c r="D42" s="1962" t="s">
        <v>694</v>
      </c>
      <c r="E42" s="1964"/>
      <c r="F42" s="820"/>
      <c r="G42" s="2045"/>
      <c r="H42" s="2045"/>
      <c r="I42" s="2045"/>
      <c r="J42" s="2045"/>
      <c r="K42" s="2066"/>
      <c r="L42" s="2045"/>
      <c r="M42" s="2045"/>
    </row>
    <row r="43" spans="1:18" ht="18" customHeight="1">
      <c r="A43" s="803" t="s">
        <v>1876</v>
      </c>
      <c r="B43" s="835" t="s">
        <v>711</v>
      </c>
      <c r="C43" s="836">
        <f ca="1">ROUND(C15*F43,0)</f>
        <v>0</v>
      </c>
      <c r="D43" s="1351" t="s">
        <v>712</v>
      </c>
      <c r="E43" s="3069" t="s">
        <v>2952</v>
      </c>
      <c r="F43" s="3070">
        <f ca="1">INDIRECT("'数据-取费表'!j"&amp;$G$1)</f>
        <v>0</v>
      </c>
      <c r="G43" s="2045"/>
      <c r="H43" s="2045"/>
      <c r="I43" s="2045"/>
      <c r="J43" s="2045"/>
      <c r="K43" s="2066"/>
      <c r="L43" s="2045"/>
      <c r="M43" s="2045"/>
    </row>
    <row r="44" spans="1:18" ht="18" customHeight="1">
      <c r="A44" s="803" t="s">
        <v>1877</v>
      </c>
      <c r="B44" s="835" t="s">
        <v>713</v>
      </c>
      <c r="C44" s="1352">
        <f ca="1">C42-C43</f>
        <v>0</v>
      </c>
      <c r="D44" s="463" t="s">
        <v>714</v>
      </c>
      <c r="E44" s="464"/>
      <c r="F44" s="465"/>
      <c r="G44" s="2045"/>
      <c r="H44" s="2045"/>
      <c r="I44" s="2045"/>
      <c r="J44" s="2045"/>
      <c r="K44" s="2066"/>
      <c r="L44" s="2045"/>
      <c r="M44" s="2045"/>
    </row>
    <row r="45" spans="1:18" ht="18" customHeight="1">
      <c r="A45" s="803" t="s">
        <v>1878</v>
      </c>
      <c r="B45" s="1351" t="s">
        <v>715</v>
      </c>
      <c r="C45" s="2988">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1" t="s">
        <v>2955</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3" t="str">
        <f ca="1">IF(M48="住宅",0,IF(L49&gt;J52,L61,J61))</f>
        <v>0</v>
      </c>
      <c r="O47" s="2356" t="s">
        <v>2408</v>
      </c>
      <c r="P47" s="1578"/>
      <c r="Q47" s="1589"/>
      <c r="R47" s="1578"/>
    </row>
    <row r="48" spans="1:18" s="2042" customFormat="1" ht="18" customHeight="1" thickBot="1">
      <c r="A48" s="2067"/>
      <c r="C48" s="2070"/>
      <c r="D48" s="2071"/>
      <c r="E48" s="2071"/>
      <c r="F48" s="2072"/>
      <c r="G48" s="2073"/>
      <c r="I48" s="3094" t="s">
        <v>2342</v>
      </c>
      <c r="J48" s="2343"/>
      <c r="K48" s="3100" t="s">
        <v>2347</v>
      </c>
      <c r="L48" s="3104">
        <f ca="1">INDIRECT("'数据-取费表'!d"&amp;$G$1)</f>
        <v>0</v>
      </c>
      <c r="M48" s="3068"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3" t="s">
        <v>2343</v>
      </c>
      <c r="J49" s="2344"/>
      <c r="K49" s="3101"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3" t="s">
        <v>2344</v>
      </c>
      <c r="J50" s="2345"/>
      <c r="K50" s="3102"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3" t="s">
        <v>2345</v>
      </c>
      <c r="J51" s="3098">
        <f>SUMPRODUCT((I64:I66=J48)*(J63:L63=J49)*(J64:L66))</f>
        <v>0</v>
      </c>
      <c r="K51" s="3102" t="s">
        <v>2351</v>
      </c>
      <c r="L51" s="2346"/>
      <c r="O51" s="2363" t="s">
        <v>2381</v>
      </c>
      <c r="P51" s="2361" t="s">
        <v>2405</v>
      </c>
      <c r="Q51" s="2362">
        <f ca="1">C31</f>
        <v>0</v>
      </c>
      <c r="R51" s="2361" t="s">
        <v>2378</v>
      </c>
    </row>
    <row r="52" spans="1:18" s="2042" customFormat="1" ht="18" customHeight="1" thickBot="1">
      <c r="A52" s="2079"/>
      <c r="F52" s="2068"/>
      <c r="I52" s="3095" t="s">
        <v>2346</v>
      </c>
      <c r="J52" s="3099">
        <f>IF(J50="",J51,J50+J51-YEAR('数据-取费表'!B3))</f>
        <v>0</v>
      </c>
      <c r="K52" s="3073" t="s">
        <v>2352</v>
      </c>
      <c r="L52" s="3105">
        <f ca="1">ROUND(-PV(INDIRECT("'数据-取费表'!h"&amp;$G$1),L49,(C40-C14*J36),0),0)</f>
        <v>0</v>
      </c>
      <c r="O52" s="2363" t="s">
        <v>2382</v>
      </c>
      <c r="P52" s="2361" t="s">
        <v>2383</v>
      </c>
      <c r="Q52" s="2364" t="e">
        <f ca="1">J59</f>
        <v>#VALUE!</v>
      </c>
      <c r="R52" s="2365"/>
    </row>
    <row r="53" spans="1:18" s="2042" customFormat="1" ht="18" customHeight="1" thickBot="1">
      <c r="A53" s="2079"/>
      <c r="F53" s="2068"/>
      <c r="I53" s="3096" t="s">
        <v>2419</v>
      </c>
      <c r="J53" s="2347"/>
      <c r="K53" s="3096" t="s">
        <v>2418</v>
      </c>
      <c r="L53" s="2347"/>
      <c r="O53" s="2363" t="s">
        <v>2384</v>
      </c>
      <c r="P53" s="2361" t="s">
        <v>2385</v>
      </c>
      <c r="Q53" s="2364">
        <f>J53</f>
        <v>0</v>
      </c>
      <c r="R53" s="2365"/>
    </row>
    <row r="54" spans="1:18" s="2042" customFormat="1" ht="29.25" thickBot="1">
      <c r="A54" s="2079"/>
      <c r="I54" s="3097" t="s">
        <v>2968</v>
      </c>
      <c r="J54" s="3176">
        <f ca="1">IF(M48="住宅",MAX(J52,L49-'数据-取费表'!B20),MIN(J52,L49-'数据-取费表'!B20))</f>
        <v>-1.5</v>
      </c>
      <c r="K54" s="3459"/>
      <c r="L54" s="3460"/>
      <c r="O54" s="2363" t="s">
        <v>2386</v>
      </c>
      <c r="P54" s="2361" t="s">
        <v>2387</v>
      </c>
      <c r="Q54" s="2362">
        <f ca="1">J54</f>
        <v>-1.5</v>
      </c>
      <c r="R54" s="2361" t="s">
        <v>2388</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2389</v>
      </c>
      <c r="P55" s="2361" t="s">
        <v>2406</v>
      </c>
      <c r="Q55" s="2362">
        <f ca="1">Q49+Q50</f>
        <v>0</v>
      </c>
      <c r="R55" s="2365" t="s">
        <v>2390</v>
      </c>
    </row>
    <row r="56" spans="1:18" s="2042" customFormat="1" ht="16.5" thickBot="1">
      <c r="A56" s="2079"/>
      <c r="B56" s="2080"/>
      <c r="C56" s="2080"/>
      <c r="I56" s="3108" t="s">
        <v>2353</v>
      </c>
      <c r="J56" s="3048" t="e">
        <f ca="1">ROUND(IF(J48="钢混",J58/J51,1-(1-2%)*(J51-J58)/J51),3)</f>
        <v>#VALUE!</v>
      </c>
      <c r="K56" s="3109" t="s">
        <v>2354</v>
      </c>
      <c r="L56" s="2348"/>
      <c r="O56" s="2366" t="s">
        <v>2409</v>
      </c>
      <c r="P56" s="1578"/>
      <c r="Q56" s="1589"/>
      <c r="R56" s="1578"/>
    </row>
    <row r="57" spans="1:18" s="2042" customFormat="1" ht="43.5" thickBot="1">
      <c r="A57" s="2079"/>
      <c r="B57" s="2080"/>
      <c r="C57" s="2080"/>
      <c r="I57" s="3110" t="s">
        <v>2355</v>
      </c>
      <c r="J57" s="3120" t="s">
        <v>1677</v>
      </c>
      <c r="K57" s="3073" t="s">
        <v>2360</v>
      </c>
      <c r="L57" s="1891">
        <f ca="1">IF(L49&lt;J52,"——",L49-J52)</f>
        <v>0</v>
      </c>
      <c r="O57" s="2357" t="s">
        <v>2373</v>
      </c>
      <c r="P57" s="2358" t="s">
        <v>2374</v>
      </c>
      <c r="Q57" s="2359" t="s">
        <v>2375</v>
      </c>
      <c r="R57" s="2358" t="s">
        <v>2376</v>
      </c>
    </row>
    <row r="58" spans="1:18" s="2042" customFormat="1" ht="29.25" thickBot="1">
      <c r="A58" s="2079"/>
      <c r="B58" s="2080"/>
      <c r="C58" s="2080"/>
      <c r="I58" s="3111" t="s">
        <v>2356</v>
      </c>
      <c r="J58" s="3112" t="str">
        <f ca="1">IF(OR(M48="住宅",J52&lt;L49,J57="是"),"——",J52-L49)</f>
        <v>——</v>
      </c>
      <c r="K58" s="3073"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1" t="s">
        <v>2357</v>
      </c>
      <c r="J59" s="3049" t="e">
        <f ca="1">IF(J56&lt;0.4,0.4,J56)</f>
        <v>#VALUE!</v>
      </c>
      <c r="K59" s="3073"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1" t="s">
        <v>2358</v>
      </c>
      <c r="J60" s="3112" t="str">
        <f ca="1">IF(OR(M48="住宅",J52&lt;L49,J57="是"),"——",ROUND(C30*J59,0))</f>
        <v>——</v>
      </c>
      <c r="K60" s="3073"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3" t="s">
        <v>2359</v>
      </c>
      <c r="J61" s="3114" t="str">
        <f ca="1">IF(OR(M48="住宅",J52&lt;L49,J57="是"),"0",ROUND(J60/(1+J53)^J54,0))</f>
        <v>0</v>
      </c>
      <c r="K61" s="3115" t="s">
        <v>2364</v>
      </c>
      <c r="L61" s="3114"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6" t="s">
        <v>2365</v>
      </c>
      <c r="J63" s="3117" t="s">
        <v>2366</v>
      </c>
      <c r="K63" s="3117" t="s">
        <v>2367</v>
      </c>
      <c r="L63" s="3117" t="s">
        <v>2348</v>
      </c>
      <c r="M63" s="3118" t="s">
        <v>2933</v>
      </c>
      <c r="O63" s="2363" t="s">
        <v>2386</v>
      </c>
      <c r="P63" s="2361" t="s">
        <v>2394</v>
      </c>
      <c r="Q63" s="2362">
        <f ca="1">L60</f>
        <v>0</v>
      </c>
      <c r="R63" s="2365" t="s">
        <v>2395</v>
      </c>
    </row>
    <row r="64" spans="1:18" s="2042" customFormat="1" ht="15.75" thickBot="1">
      <c r="A64" s="2079"/>
      <c r="B64" s="2080"/>
      <c r="C64" s="2080"/>
      <c r="I64" s="3116" t="s">
        <v>2368</v>
      </c>
      <c r="J64" s="3117">
        <v>70</v>
      </c>
      <c r="K64" s="3117">
        <v>50</v>
      </c>
      <c r="L64" s="3117">
        <v>80</v>
      </c>
      <c r="M64" s="3119">
        <v>0.02</v>
      </c>
      <c r="O64" s="2360" t="s">
        <v>2389</v>
      </c>
      <c r="P64" s="2361" t="s">
        <v>2406</v>
      </c>
      <c r="Q64" s="2362" t="e">
        <f ca="1">Q58+Q59</f>
        <v>#DIV/0!</v>
      </c>
      <c r="R64" s="2365" t="s">
        <v>2390</v>
      </c>
    </row>
    <row r="65" spans="1:18" s="2042" customFormat="1" ht="16.5" thickBot="1">
      <c r="A65" s="2079"/>
      <c r="B65" s="2080"/>
      <c r="C65" s="2080"/>
      <c r="I65" s="3116" t="s">
        <v>2369</v>
      </c>
      <c r="J65" s="3117">
        <v>50</v>
      </c>
      <c r="K65" s="3117">
        <v>35</v>
      </c>
      <c r="L65" s="3117">
        <v>60</v>
      </c>
      <c r="M65" s="846">
        <v>0</v>
      </c>
      <c r="O65" s="2366" t="s">
        <v>2413</v>
      </c>
      <c r="P65" s="1578"/>
      <c r="Q65" s="1589"/>
      <c r="R65" s="1578"/>
    </row>
    <row r="66" spans="1:18" s="2042" customFormat="1" ht="15.75" thickBot="1">
      <c r="A66" s="2079"/>
      <c r="B66" s="2080"/>
      <c r="C66" s="2080"/>
      <c r="I66" s="3116" t="s">
        <v>2370</v>
      </c>
      <c r="J66" s="3117">
        <v>40</v>
      </c>
      <c r="K66" s="3117">
        <v>30</v>
      </c>
      <c r="L66" s="3117">
        <v>50</v>
      </c>
      <c r="M66" s="3119">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1904</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6.25">
      <c r="A7" s="1778" t="s">
        <v>2745</v>
      </c>
    </row>
    <row r="8" spans="1:4" ht="18.75">
      <c r="A8" s="1777" t="s">
        <v>1905</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2019年7月17日（评估专业人员勘察现场之日）</v>
      </c>
    </row>
    <row r="12" spans="1:4" ht="18.75">
      <c r="A12" s="1780" t="s">
        <v>2023</v>
      </c>
    </row>
    <row r="13" spans="1:4" ht="18.75">
      <c r="A13" s="1774" t="s">
        <v>2932</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2071</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8.75">
      <c r="A21" s="1774" t="s">
        <v>2072</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1724</v>
      </c>
      <c r="B1" s="738"/>
      <c r="C1" s="773"/>
      <c r="D1" s="3072" t="s">
        <v>951</v>
      </c>
      <c r="E1" s="2349" t="s">
        <v>2372</v>
      </c>
      <c r="F1" s="2350">
        <f ca="1">J53</f>
        <v>0</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1725</v>
      </c>
      <c r="B2" s="775" t="e">
        <f ca="1">C40+J29+L46</f>
        <v>#DIV/0!</v>
      </c>
      <c r="C2" s="2040"/>
      <c r="D2" s="2038"/>
      <c r="E2" s="2039"/>
      <c r="F2" s="2039"/>
      <c r="G2" s="1576"/>
      <c r="H2" s="2040"/>
      <c r="I2" s="2040"/>
      <c r="J2" s="2040"/>
      <c r="K2" s="2041"/>
      <c r="L2" s="2040"/>
      <c r="M2" s="2040"/>
    </row>
    <row r="3" spans="1:33" ht="18" customHeight="1" thickBot="1">
      <c r="A3" s="833" t="s">
        <v>1726</v>
      </c>
      <c r="B3" s="834">
        <f ca="1">IF(ISERROR(B2*10000/F43),0,ROUND(B2*10000/F43,0))</f>
        <v>0</v>
      </c>
      <c r="C3" s="2040"/>
      <c r="D3" s="2038"/>
      <c r="E3" s="2039"/>
      <c r="F3" s="2039"/>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2456</v>
      </c>
      <c r="C5" s="55">
        <f ca="1">C6+C10+C12</f>
        <v>0</v>
      </c>
      <c r="D5" s="2458" t="s">
        <v>2459</v>
      </c>
      <c r="E5" s="2452"/>
      <c r="F5" s="2453"/>
      <c r="G5" s="1578"/>
      <c r="H5" s="781">
        <v>1</v>
      </c>
      <c r="I5" s="782" t="s">
        <v>2456</v>
      </c>
      <c r="J5" s="55">
        <f ca="1">J6+J10+J12</f>
        <v>0</v>
      </c>
      <c r="K5" s="2458" t="s">
        <v>2459</v>
      </c>
      <c r="L5" s="2452"/>
      <c r="M5" s="2453"/>
    </row>
    <row r="6" spans="1:33" ht="18" customHeight="1">
      <c r="A6" s="1813" t="s">
        <v>1823</v>
      </c>
      <c r="B6" s="3455" t="s">
        <v>2461</v>
      </c>
      <c r="C6" s="783">
        <f ca="1">ROUND(F6*F8*F7*(1-F9)/10000,0)</f>
        <v>0</v>
      </c>
      <c r="D6" s="2459" t="s">
        <v>2460</v>
      </c>
      <c r="E6" s="784" t="s">
        <v>1737</v>
      </c>
      <c r="F6" s="785">
        <f ca="1">INDIRECT("'数据-取费表'!u"&amp;$G$1)</f>
        <v>0</v>
      </c>
      <c r="G6" s="1578"/>
      <c r="H6" s="2466" t="s">
        <v>2466</v>
      </c>
      <c r="I6" s="3455" t="s">
        <v>2461</v>
      </c>
      <c r="J6" s="783">
        <f ca="1">ROUND(M6*M8*M7*(1-M9)/10000,0)</f>
        <v>0</v>
      </c>
      <c r="K6" s="341" t="s">
        <v>1736</v>
      </c>
      <c r="L6" s="784" t="s">
        <v>1737</v>
      </c>
      <c r="M6" s="785">
        <f ca="1">INDIRECT("'数据-取费表'!z"&amp;$G$1)</f>
        <v>0</v>
      </c>
    </row>
    <row r="7" spans="1:33" ht="18" customHeight="1">
      <c r="A7" s="2462"/>
      <c r="B7" s="3456"/>
      <c r="C7" s="788"/>
      <c r="D7" s="789"/>
      <c r="E7" s="784" t="s">
        <v>1738</v>
      </c>
      <c r="F7" s="785">
        <f ca="1">IF(INDIRECT("'数据-取费表'!ah"&amp;$G$1)="",INDIRECT("'数据-取费表'!k"&amp;$G$1),INDIRECT("'数据-取费表'!ah"&amp;$G$1))</f>
        <v>0</v>
      </c>
      <c r="G7" s="1578"/>
      <c r="H7" s="2451"/>
      <c r="I7" s="3456"/>
      <c r="J7" s="788"/>
      <c r="K7" s="789"/>
      <c r="L7" s="784" t="s">
        <v>1738</v>
      </c>
      <c r="M7" s="785">
        <f ca="1">F7</f>
        <v>0</v>
      </c>
    </row>
    <row r="8" spans="1:33" ht="18" customHeight="1">
      <c r="A8" s="2455"/>
      <c r="B8" s="3457"/>
      <c r="C8" s="788"/>
      <c r="D8" s="789"/>
      <c r="E8" s="784" t="s">
        <v>1739</v>
      </c>
      <c r="F8" s="785">
        <f ca="1">INDIRECT("'数据-取费表'!ai"&amp;$G$1)</f>
        <v>0</v>
      </c>
      <c r="G8" s="1578"/>
      <c r="H8" s="2451"/>
      <c r="I8" s="3457"/>
      <c r="J8" s="788"/>
      <c r="K8" s="789"/>
      <c r="L8" s="784" t="s">
        <v>1739</v>
      </c>
      <c r="M8" s="785">
        <f ca="1">INDIRECT("'数据-取费表'!ai"&amp;$G$1)</f>
        <v>0</v>
      </c>
    </row>
    <row r="9" spans="1:33" ht="18" customHeight="1">
      <c r="A9" s="786"/>
      <c r="B9" s="3458"/>
      <c r="C9" s="788"/>
      <c r="D9" s="789"/>
      <c r="E9" s="784" t="s">
        <v>1740</v>
      </c>
      <c r="F9" s="794">
        <f ca="1">INDIRECT("'数据-取费表'!w"&amp;$G$1)</f>
        <v>0</v>
      </c>
      <c r="G9" s="1578"/>
      <c r="H9" s="2467"/>
      <c r="I9" s="3457"/>
      <c r="J9" s="788"/>
      <c r="K9" s="789"/>
      <c r="L9" s="795" t="s">
        <v>1740</v>
      </c>
      <c r="M9" s="796">
        <f ca="1">INDIRECT("'数据-取费表'!ab"&amp;$G$1)</f>
        <v>0</v>
      </c>
    </row>
    <row r="10" spans="1:33" ht="18" customHeight="1">
      <c r="A10" s="1813" t="s">
        <v>2464</v>
      </c>
      <c r="B10" s="2456" t="s">
        <v>2457</v>
      </c>
      <c r="C10" s="799">
        <f ca="1">ROUND(IF(F10="押一",C6/12*F11,IF(F10="押二",C6/12*2*F11,IF(F10="押三",C6/12*3*F11,C11*F11))),0)</f>
        <v>0</v>
      </c>
      <c r="D10" s="2463" t="s">
        <v>2964</v>
      </c>
      <c r="E10" s="2460" t="s">
        <v>2462</v>
      </c>
      <c r="F10" s="2583"/>
      <c r="G10" s="1578"/>
      <c r="H10" s="2523" t="s">
        <v>2467</v>
      </c>
      <c r="I10" s="2528" t="s">
        <v>2457</v>
      </c>
      <c r="J10" s="783">
        <f ca="1">ROUND(IF(M10="押一",J6/12*M11,IF(M10="押二",J6/12*2*M11,IF(M10="押三",J6/12*3*M11,J11*M11))),0)</f>
        <v>0</v>
      </c>
      <c r="K10" s="2463" t="s">
        <v>2964</v>
      </c>
      <c r="L10" s="2460" t="s">
        <v>2462</v>
      </c>
      <c r="M10" s="2583"/>
    </row>
    <row r="11" spans="1:33" ht="18" customHeight="1">
      <c r="A11" s="790"/>
      <c r="B11" s="2457" t="s">
        <v>2571</v>
      </c>
      <c r="C11" s="2461"/>
      <c r="D11" s="789"/>
      <c r="E11" s="2460" t="s">
        <v>2463</v>
      </c>
      <c r="F11" s="796">
        <f ca="1">'数据-取费表'!B39</f>
        <v>1.4999999999999999E-2</v>
      </c>
      <c r="G11" s="1578"/>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8"/>
      <c r="H12" s="2513" t="s">
        <v>2468</v>
      </c>
      <c r="I12" s="2526" t="s">
        <v>2458</v>
      </c>
      <c r="J12" s="2527"/>
      <c r="K12" s="2502"/>
      <c r="L12" s="2503"/>
      <c r="M12" s="2516"/>
    </row>
    <row r="13" spans="1:33" ht="18" customHeight="1" thickTop="1">
      <c r="A13" s="1812">
        <v>2</v>
      </c>
      <c r="B13" s="1810" t="s">
        <v>1741</v>
      </c>
      <c r="C13" s="792">
        <f ca="1">ROUND(C29*F13,0)</f>
        <v>0</v>
      </c>
      <c r="D13" s="1817" t="s">
        <v>2295</v>
      </c>
      <c r="E13" s="1817" t="s">
        <v>1743</v>
      </c>
      <c r="F13" s="2498">
        <f ca="1">INDIRECT("'数据-取费表'!y"&amp;$G$1)</f>
        <v>0</v>
      </c>
      <c r="G13" s="1578"/>
      <c r="H13" s="1812">
        <v>2</v>
      </c>
      <c r="I13" s="1810" t="s">
        <v>1741</v>
      </c>
      <c r="J13" s="1802">
        <f ca="1">ROUND(J14*J15,0)</f>
        <v>0</v>
      </c>
      <c r="K13" s="1804" t="s">
        <v>1742</v>
      </c>
      <c r="L13" s="2514"/>
      <c r="M13" s="2515"/>
    </row>
    <row r="14" spans="1:33" ht="18" customHeight="1">
      <c r="A14" s="1633" t="s">
        <v>1883</v>
      </c>
      <c r="B14" s="784" t="s">
        <v>645</v>
      </c>
      <c r="C14" s="804">
        <f ca="1">INDIRECT("'数据-取费表'!m"&amp;$G$1)+INDIRECT("'数据-取费表'!t"&amp;$G$1)</f>
        <v>0</v>
      </c>
      <c r="D14" s="1962" t="s">
        <v>1744</v>
      </c>
      <c r="E14" s="1963"/>
      <c r="F14" s="805"/>
      <c r="G14" s="1578"/>
      <c r="H14" s="1634" t="s">
        <v>1829</v>
      </c>
      <c r="I14" s="2214" t="s">
        <v>2824</v>
      </c>
      <c r="J14" s="53">
        <f ca="1">C29</f>
        <v>0</v>
      </c>
      <c r="K14" s="26"/>
      <c r="L14" s="801"/>
      <c r="M14" s="802"/>
    </row>
    <row r="15" spans="1:33" s="2047" customFormat="1" ht="18" customHeight="1" thickBot="1">
      <c r="A15" s="1633" t="s">
        <v>1884</v>
      </c>
      <c r="B15" s="784" t="s">
        <v>647</v>
      </c>
      <c r="C15" s="53">
        <f ca="1">ROUND(C14*F15,0)</f>
        <v>0</v>
      </c>
      <c r="D15" s="806" t="s">
        <v>1745</v>
      </c>
      <c r="E15" s="806" t="s">
        <v>1746</v>
      </c>
      <c r="F15" s="807">
        <f>'数据-取费表'!B33</f>
        <v>0.05</v>
      </c>
      <c r="G15" s="1579"/>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2" t="s">
        <v>1747</v>
      </c>
      <c r="I16" s="1810" t="s">
        <v>1748</v>
      </c>
      <c r="J16" s="792">
        <f ca="1">ROUND(J17+J22+J23+J24,0)</f>
        <v>0</v>
      </c>
      <c r="K16" s="1804" t="s">
        <v>1749</v>
      </c>
      <c r="L16" s="2448"/>
      <c r="M16" s="2453"/>
    </row>
    <row r="17" spans="1:33" s="2047"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7" t="s">
        <v>1752</v>
      </c>
      <c r="L17" s="2446" t="s">
        <v>1753</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6" t="s">
        <v>1755</v>
      </c>
      <c r="L18" s="784" t="s">
        <v>1746</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1829</v>
      </c>
      <c r="B19" s="784" t="s">
        <v>662</v>
      </c>
      <c r="C19" s="53">
        <f ca="1">SUM(C14:C18)</f>
        <v>0</v>
      </c>
      <c r="D19" s="261" t="s">
        <v>1756</v>
      </c>
      <c r="E19" s="1965"/>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7"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1889</v>
      </c>
      <c r="B21" s="784" t="s">
        <v>1762</v>
      </c>
      <c r="C21" s="53" t="s">
        <v>1763</v>
      </c>
      <c r="D21" s="812" t="s">
        <v>2296</v>
      </c>
      <c r="E21" s="784" t="s">
        <v>1764</v>
      </c>
      <c r="F21" s="809">
        <f>'数据-取费表'!B38</f>
        <v>0.02</v>
      </c>
      <c r="G21" s="1579"/>
      <c r="H21" s="2468"/>
      <c r="I21" s="793"/>
      <c r="J21" s="69"/>
      <c r="K21" s="816"/>
      <c r="L21" s="784" t="s">
        <v>1765</v>
      </c>
      <c r="M21" s="785">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1890</v>
      </c>
      <c r="B22" s="784" t="s">
        <v>1766</v>
      </c>
      <c r="C22" s="53"/>
      <c r="D22" s="2534" t="str">
        <f>IF(F23&lt;=1,"单利计息。","复利计息。")&amp;"建造成本、管理费用、销售费用产生的利息。"</f>
        <v>复利计息。建造成本、管理费用、销售费用产生的利息。</v>
      </c>
      <c r="E22" s="1965"/>
      <c r="F22" s="56"/>
      <c r="G22" s="1578"/>
      <c r="H22" s="1634" t="s">
        <v>1888</v>
      </c>
      <c r="I22" s="784" t="s">
        <v>1767</v>
      </c>
      <c r="J22" s="53">
        <f ca="1">ROUND(J14*M22,0)</f>
        <v>0</v>
      </c>
      <c r="K22" s="2446" t="s">
        <v>1768</v>
      </c>
      <c r="L22" s="784" t="s">
        <v>1746</v>
      </c>
      <c r="M22" s="817">
        <f ca="1">INDIRECT("'数据-取费表'!Ak"&amp;$G$1)</f>
        <v>0</v>
      </c>
    </row>
    <row r="23" spans="1:33" s="2047" customFormat="1" ht="18" customHeight="1">
      <c r="A23" s="1633" t="s">
        <v>1830</v>
      </c>
      <c r="B23" s="784" t="s">
        <v>2533</v>
      </c>
      <c r="C23" s="53">
        <f ca="1">ROUND(IF('数据-取费表'!B22&lt;=1,(C19+C20)*F24*F23/2,(C19+C20)*(POWER((1+F24),F23/2)-1)),0)</f>
        <v>0</v>
      </c>
      <c r="D23" s="2533"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6" t="s">
        <v>1770</v>
      </c>
      <c r="L23" s="784" t="s">
        <v>1746</v>
      </c>
      <c r="M23" s="818">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1831</v>
      </c>
      <c r="B24" s="784" t="s">
        <v>1771</v>
      </c>
      <c r="C24" s="53">
        <f ca="1">ROUND(IF('数据-取费表'!B22&lt;=1,F21*F24*F23/2,F21*(POWER((1+F24),F23/2)-1)),4)</f>
        <v>6.9999999999999999E-4</v>
      </c>
      <c r="D24" s="2533" t="str">
        <f>IF(F23&lt;=1,"销售费用×利率×(建设周期÷2)","销售费用×((1+利率)^(建设周期÷2)-1)")</f>
        <v>销售费用×((1+利率)^(建设周期÷2)-1)</v>
      </c>
      <c r="E24" s="784" t="s">
        <v>1772</v>
      </c>
      <c r="F24" s="819">
        <f ca="1">'数据-取费表'!B40</f>
        <v>4.7500000000000001E-2</v>
      </c>
      <c r="G24" s="1579"/>
      <c r="H24" s="2513" t="s">
        <v>1890</v>
      </c>
      <c r="I24" s="2508" t="s">
        <v>666</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1839</v>
      </c>
      <c r="B25" s="784" t="s">
        <v>684</v>
      </c>
      <c r="C25" s="53"/>
      <c r="D25" s="261" t="s">
        <v>1774</v>
      </c>
      <c r="E25" s="1965"/>
      <c r="F25" s="56"/>
      <c r="G25" s="1578"/>
      <c r="H25" s="1812" t="s">
        <v>1775</v>
      </c>
      <c r="I25" s="2960" t="s">
        <v>2820</v>
      </c>
      <c r="J25" s="792">
        <f ca="1">J5-J16</f>
        <v>0</v>
      </c>
      <c r="K25" s="2510" t="s">
        <v>1776</v>
      </c>
      <c r="L25" s="2511"/>
      <c r="M25" s="2512"/>
    </row>
    <row r="26" spans="1:33" ht="18" customHeight="1">
      <c r="A26" s="1633" t="s">
        <v>1830</v>
      </c>
      <c r="B26" s="784" t="s">
        <v>2436</v>
      </c>
      <c r="C26" s="53">
        <f ca="1">ROUND((C19+C20)*F26,0)</f>
        <v>0</v>
      </c>
      <c r="D26" s="812" t="s">
        <v>1777</v>
      </c>
      <c r="E26" s="795" t="s">
        <v>1778</v>
      </c>
      <c r="F26" s="794">
        <f ca="1">INDIRECT("'数据-取费表'!q"&amp;$G$1)</f>
        <v>0</v>
      </c>
      <c r="G26" s="1578"/>
      <c r="H26" s="2464" t="s">
        <v>1779</v>
      </c>
      <c r="I26" s="2215" t="s">
        <v>2825</v>
      </c>
      <c r="J26" s="783">
        <f ca="1">IF(J5&lt;&gt;0,ROUND(J25*(1-((1+M28)/(1+M26))^M27)/(M26-M28),0),0)</f>
        <v>0</v>
      </c>
      <c r="K26" s="814" t="s">
        <v>1780</v>
      </c>
      <c r="L26" s="784" t="s">
        <v>2417</v>
      </c>
      <c r="M26" s="794">
        <f ca="1">INDIRECT("'数据-取费表'!I"&amp;$G$1)</f>
        <v>0</v>
      </c>
    </row>
    <row r="27" spans="1:33" ht="18" customHeight="1">
      <c r="A27" s="1633" t="s">
        <v>1831</v>
      </c>
      <c r="B27" s="784" t="s">
        <v>686</v>
      </c>
      <c r="C27" s="53">
        <f ca="1">ROUND(F21*F26,4)</f>
        <v>0</v>
      </c>
      <c r="D27" s="812" t="s">
        <v>1781</v>
      </c>
      <c r="E27" s="806"/>
      <c r="F27" s="807"/>
      <c r="G27" s="1578"/>
      <c r="H27" s="2465"/>
      <c r="I27" s="787"/>
      <c r="J27" s="788"/>
      <c r="K27" s="821" t="s">
        <v>1782</v>
      </c>
      <c r="L27" s="784" t="s">
        <v>1783</v>
      </c>
      <c r="M27" s="822">
        <f ca="1">INDIRECT("'数据-取费表'!ag"&amp;$G$1)</f>
        <v>0</v>
      </c>
    </row>
    <row r="28" spans="1:33" s="2047" customFormat="1" ht="18" customHeight="1">
      <c r="A28" s="1635" t="s">
        <v>1840</v>
      </c>
      <c r="B28" s="784" t="s">
        <v>687</v>
      </c>
      <c r="C28" s="53">
        <f>ROUND(F28/(1+'数据-取费表'!C42),4)</f>
        <v>5.2400000000000002E-2</v>
      </c>
      <c r="D28" s="812" t="s">
        <v>2297</v>
      </c>
      <c r="E28" s="784" t="s">
        <v>1784</v>
      </c>
      <c r="F28" s="809">
        <f>'数据-取费表'!B41</f>
        <v>5.5000000000000007E-2</v>
      </c>
      <c r="G28" s="1579"/>
      <c r="H28" s="1812"/>
      <c r="I28" s="791"/>
      <c r="J28" s="792"/>
      <c r="K28" s="816"/>
      <c r="L28" s="784" t="s">
        <v>1785</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2298</v>
      </c>
      <c r="C29" s="2506">
        <f ca="1">ROUND((C19+C20+C23+C26)/(1-F21-C24-C27-C28),0)</f>
        <v>0</v>
      </c>
      <c r="D29" s="2507"/>
      <c r="E29" s="2508"/>
      <c r="F29" s="2509"/>
      <c r="G29" s="1579"/>
      <c r="H29" s="823" t="s">
        <v>1786</v>
      </c>
      <c r="I29" s="824" t="s">
        <v>1787</v>
      </c>
      <c r="J29" s="825">
        <f ca="1">ROUND(J26/(1+F40)^F41,0)</f>
        <v>0</v>
      </c>
      <c r="K29" s="826" t="s">
        <v>1788</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2">
        <f ca="1">ROUND(C31+C36+C37+C38,0)</f>
        <v>0</v>
      </c>
      <c r="D30" s="1804" t="s">
        <v>1790</v>
      </c>
      <c r="E30" s="2448"/>
      <c r="F30" s="2453"/>
      <c r="G30" s="2045"/>
      <c r="H30" s="2048"/>
      <c r="I30" s="2049"/>
      <c r="J30" s="2050"/>
      <c r="K30" s="2051"/>
      <c r="L30" s="2052"/>
      <c r="M30" s="2053"/>
    </row>
    <row r="31" spans="1:33" ht="18" customHeight="1">
      <c r="A31" s="1634" t="s">
        <v>1829</v>
      </c>
      <c r="B31" s="784" t="s">
        <v>656</v>
      </c>
      <c r="C31" s="53">
        <f ca="1">ROUND(IF(项目基本情况!B11="自然人",C6*F31/(1+'数据-取费表'!C42),C32+C33+C34),1)</f>
        <v>0</v>
      </c>
      <c r="D31" s="1962" t="s">
        <v>1791</v>
      </c>
      <c r="E31" s="1960" t="s">
        <v>1792</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1830</v>
      </c>
      <c r="B32" s="784" t="s">
        <v>1793</v>
      </c>
      <c r="C32" s="53">
        <f ca="1">ROUND(C6*F32/(1+'数据-取费表'!C42),1)</f>
        <v>0</v>
      </c>
      <c r="D32" s="1960" t="s">
        <v>1794</v>
      </c>
      <c r="E32" s="784" t="s">
        <v>1795</v>
      </c>
      <c r="F32" s="809">
        <f>'数据-取费表'!B41</f>
        <v>5.5000000000000007E-2</v>
      </c>
      <c r="G32" s="2045"/>
      <c r="H32" s="2054"/>
      <c r="I32" s="2055"/>
      <c r="J32" s="2056"/>
      <c r="K32" s="2057"/>
      <c r="L32" s="2058"/>
      <c r="M32" s="2059"/>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5"/>
      <c r="H33" s="2060"/>
      <c r="I33" s="2060"/>
      <c r="J33" s="2060"/>
      <c r="K33" s="2061"/>
      <c r="L33" s="2060"/>
      <c r="M33" s="2060"/>
    </row>
    <row r="34" spans="1:18" ht="18" customHeight="1">
      <c r="A34" s="1636" t="s">
        <v>1832</v>
      </c>
      <c r="B34" s="341" t="s">
        <v>1797</v>
      </c>
      <c r="C34" s="54">
        <f ca="1">ROUND(F34*F35/10000,1)</f>
        <v>0</v>
      </c>
      <c r="D34" s="814" t="s">
        <v>1798</v>
      </c>
      <c r="E34" s="784" t="s">
        <v>1799</v>
      </c>
      <c r="F34" s="640">
        <f>'数据-取费表'!B52</f>
        <v>0</v>
      </c>
      <c r="G34" s="2045"/>
      <c r="H34" s="2048"/>
      <c r="I34" s="835" t="s">
        <v>1812</v>
      </c>
      <c r="J34" s="836"/>
      <c r="K34" s="2063"/>
      <c r="L34" s="2062"/>
      <c r="M34" s="2062"/>
    </row>
    <row r="35" spans="1:18" ht="18" customHeight="1">
      <c r="A35" s="815"/>
      <c r="B35" s="793"/>
      <c r="C35" s="69"/>
      <c r="D35" s="816"/>
      <c r="E35" s="784" t="s">
        <v>1800</v>
      </c>
      <c r="F35" s="785">
        <f ca="1">INDIRECT("'数据-取费表'!r"&amp;$G$1)</f>
        <v>0</v>
      </c>
      <c r="G35" s="2045"/>
      <c r="H35" s="2048"/>
      <c r="I35" s="837" t="s">
        <v>1813</v>
      </c>
      <c r="J35" s="838">
        <f ca="1">ROUND(C13*J36,0)</f>
        <v>0</v>
      </c>
      <c r="K35" s="2061"/>
      <c r="L35" s="2060"/>
      <c r="M35" s="2060"/>
    </row>
    <row r="36" spans="1:18" ht="18" customHeight="1">
      <c r="A36" s="1634" t="s">
        <v>1888</v>
      </c>
      <c r="B36" s="784" t="s">
        <v>1801</v>
      </c>
      <c r="C36" s="53">
        <f ca="1">ROUND(C29*F36,1)</f>
        <v>0</v>
      </c>
      <c r="D36" s="1960" t="s">
        <v>1802</v>
      </c>
      <c r="E36" s="784" t="s">
        <v>1795</v>
      </c>
      <c r="F36" s="817">
        <f ca="1">INDIRECT("'数据-取费表'!Ak"&amp;$G$1)</f>
        <v>0</v>
      </c>
      <c r="G36" s="2045"/>
      <c r="H36" s="2060"/>
      <c r="I36" s="839" t="s">
        <v>1814</v>
      </c>
      <c r="J36" s="840">
        <f ca="1">INDIRECT("'数据-取费表'!j"&amp;$G$1)</f>
        <v>0</v>
      </c>
      <c r="K36" s="2065"/>
      <c r="L36" s="2060"/>
      <c r="M36" s="2060"/>
    </row>
    <row r="37" spans="1:18" ht="18" customHeight="1">
      <c r="A37" s="1634" t="s">
        <v>1889</v>
      </c>
      <c r="B37" s="784" t="s">
        <v>679</v>
      </c>
      <c r="C37" s="53">
        <f ca="1">ROUND(C13*F37,1)</f>
        <v>0</v>
      </c>
      <c r="D37" s="1960" t="s">
        <v>1803</v>
      </c>
      <c r="E37" s="784" t="s">
        <v>1795</v>
      </c>
      <c r="F37" s="818">
        <f ca="1">INDIRECT("'数据-取费表'!Al"&amp;$G$1)</f>
        <v>0</v>
      </c>
      <c r="G37" s="2045"/>
      <c r="H37" s="2060"/>
      <c r="I37" s="841" t="s">
        <v>1815</v>
      </c>
      <c r="J37" s="842"/>
      <c r="K37" s="2065"/>
      <c r="L37" s="2060"/>
      <c r="M37" s="2060"/>
    </row>
    <row r="38" spans="1:18" ht="18" customHeight="1" thickBot="1">
      <c r="A38" s="2513" t="s">
        <v>1890</v>
      </c>
      <c r="B38" s="2508" t="s">
        <v>666</v>
      </c>
      <c r="C38" s="2506">
        <f ca="1">ROUND(C5*F38,1)</f>
        <v>0</v>
      </c>
      <c r="D38" s="2507" t="s">
        <v>1804</v>
      </c>
      <c r="E38" s="2508" t="s">
        <v>1795</v>
      </c>
      <c r="F38" s="2504">
        <f ca="1">INDIRECT("'数据-取费表'!Am"&amp;$G$1)</f>
        <v>0</v>
      </c>
      <c r="G38" s="2045"/>
      <c r="H38" s="2060"/>
      <c r="I38" s="843" t="s">
        <v>1816</v>
      </c>
      <c r="J38" s="844"/>
      <c r="K38" s="2066"/>
      <c r="L38" s="2060"/>
      <c r="M38" s="2060"/>
    </row>
    <row r="39" spans="1:18" ht="24.6" customHeight="1" thickTop="1">
      <c r="A39" s="1812" t="s">
        <v>1893</v>
      </c>
      <c r="B39" s="2960" t="s">
        <v>2820</v>
      </c>
      <c r="C39" s="792">
        <f ca="1">C5-C30</f>
        <v>0</v>
      </c>
      <c r="D39" s="2510" t="s">
        <v>1805</v>
      </c>
      <c r="E39" s="2511"/>
      <c r="F39" s="2512"/>
      <c r="G39" s="2045"/>
      <c r="H39" s="2060"/>
      <c r="I39" s="837" t="s">
        <v>1817</v>
      </c>
      <c r="J39" s="845" t="e">
        <f ca="1">ROUND(J35/C39,3)</f>
        <v>#DIV/0!</v>
      </c>
      <c r="K39" s="2066"/>
      <c r="L39" s="2060"/>
      <c r="M39" s="2060"/>
    </row>
    <row r="40" spans="1:18" ht="18" customHeight="1">
      <c r="A40" s="781" t="s">
        <v>1894</v>
      </c>
      <c r="B40" s="2215" t="s">
        <v>2299</v>
      </c>
      <c r="C40" s="783" t="e">
        <f ca="1">ROUND(C39*(1-((1+F42)/(1+F40))^F41)/(F40-F42),0)</f>
        <v>#DIV/0!</v>
      </c>
      <c r="D40" s="814" t="s">
        <v>1806</v>
      </c>
      <c r="E40" s="784" t="s">
        <v>2417</v>
      </c>
      <c r="F40" s="794">
        <f ca="1">INDIRECT("'数据-取费表'!I"&amp;$G$1)</f>
        <v>0</v>
      </c>
      <c r="G40" s="2045"/>
      <c r="H40" s="2045"/>
      <c r="I40" s="837" t="s">
        <v>1818</v>
      </c>
      <c r="J40" s="845" t="e">
        <f ca="1">1-J39</f>
        <v>#DIV/0!</v>
      </c>
      <c r="K40" s="2066"/>
      <c r="L40" s="2045"/>
      <c r="M40" s="2045"/>
    </row>
    <row r="41" spans="1:18" ht="18" customHeight="1">
      <c r="A41" s="786"/>
      <c r="B41" s="787"/>
      <c r="C41" s="788"/>
      <c r="D41" s="821" t="s">
        <v>1807</v>
      </c>
      <c r="E41" s="784" t="s">
        <v>2954</v>
      </c>
      <c r="F41" s="822">
        <f ca="1">IF(INDIRECT("'数据-取费表'!af"&amp;$G$1)=0,INDIRECT("'数据-取费表'!ae"&amp;$G$1),INDIRECT("'数据-取费表'!af"&amp;$G$1))</f>
        <v>0</v>
      </c>
      <c r="G41" s="2045"/>
      <c r="H41" s="1971"/>
      <c r="I41" s="843" t="s">
        <v>1819</v>
      </c>
      <c r="J41" s="846"/>
      <c r="K41" s="2065"/>
      <c r="L41" s="1971"/>
      <c r="M41" s="1971"/>
    </row>
    <row r="42" spans="1:18" ht="18" customHeight="1">
      <c r="A42" s="790"/>
      <c r="B42" s="791"/>
      <c r="C42" s="792"/>
      <c r="D42" s="816"/>
      <c r="E42" s="784" t="s">
        <v>1808</v>
      </c>
      <c r="F42" s="794">
        <f ca="1">INDIRECT("'数据-取费表'!v"&amp;$G$1)</f>
        <v>0</v>
      </c>
      <c r="G42" s="2045"/>
      <c r="H42" s="1971"/>
      <c r="I42" s="847" t="s">
        <v>1820</v>
      </c>
      <c r="J42" s="845" t="e">
        <f ca="1">ROUND(C13/C40,3)</f>
        <v>#DIV/0!</v>
      </c>
      <c r="K42" s="2065"/>
      <c r="L42" s="1971"/>
      <c r="M42" s="1971"/>
    </row>
    <row r="43" spans="1:18" ht="18" customHeight="1" thickBot="1">
      <c r="A43" s="823" t="s">
        <v>1786</v>
      </c>
      <c r="B43" s="824" t="s">
        <v>1809</v>
      </c>
      <c r="C43" s="825" t="e">
        <f ca="1">ROUND(C40*10000/F43,0)</f>
        <v>#DIV/0!</v>
      </c>
      <c r="D43" s="826" t="s">
        <v>1810</v>
      </c>
      <c r="E43" s="827" t="s">
        <v>1811</v>
      </c>
      <c r="F43" s="828">
        <f ca="1">INDIRECT("'数据-取费表'!k"&amp;$G$1)</f>
        <v>0</v>
      </c>
      <c r="G43" s="2045"/>
      <c r="H43" s="1971"/>
      <c r="I43" s="847" t="s">
        <v>1821</v>
      </c>
      <c r="J43" s="848"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#DIV/0!</v>
      </c>
      <c r="D46" s="2068"/>
      <c r="E46" s="2068"/>
      <c r="F46" s="2068"/>
      <c r="I46" s="2340" t="s">
        <v>2341</v>
      </c>
      <c r="J46" s="2341"/>
      <c r="K46" s="2342"/>
      <c r="L46" s="3103" t="e">
        <f ca="1">IF(OR(M47="住宅",D1="土地（套用方法）"),0,IF(L48&gt;J51,L60,J60))</f>
        <v>#DIV/0!</v>
      </c>
      <c r="O46" s="2356" t="s">
        <v>2408</v>
      </c>
      <c r="P46" s="1578"/>
      <c r="Q46" s="1589"/>
      <c r="R46" s="1578"/>
    </row>
    <row r="47" spans="1:18" s="2042" customFormat="1" ht="18" customHeight="1" thickBot="1">
      <c r="A47" s="2334">
        <v>1</v>
      </c>
      <c r="B47" s="2335" t="s">
        <v>635</v>
      </c>
      <c r="C47" s="2536">
        <f ca="1">C48+C52+C54</f>
        <v>0</v>
      </c>
      <c r="D47" s="2068"/>
      <c r="E47" s="2068"/>
      <c r="F47" s="2068"/>
      <c r="I47" s="3094" t="s">
        <v>2342</v>
      </c>
      <c r="J47" s="2343"/>
      <c r="K47" s="3100" t="s">
        <v>2347</v>
      </c>
      <c r="L47" s="3104">
        <f ca="1">INDIRECT("'数据-取费表'!d"&amp;$G$1)</f>
        <v>0</v>
      </c>
      <c r="M47" s="1589"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3" t="s">
        <v>2343</v>
      </c>
      <c r="J48" s="2344"/>
      <c r="K48" s="3101" t="s">
        <v>2349</v>
      </c>
      <c r="L48" s="1891">
        <f ca="1">INDIRECT("'数据-取费表'!f"&amp;$G$1)</f>
        <v>0</v>
      </c>
      <c r="O48" s="2360" t="s">
        <v>2377</v>
      </c>
      <c r="P48" s="2361" t="s">
        <v>2403</v>
      </c>
      <c r="Q48" s="2362" t="e">
        <f ca="1">C40+J29</f>
        <v>#DIV/0!</v>
      </c>
      <c r="R48" s="2361" t="s">
        <v>2378</v>
      </c>
    </row>
    <row r="49" spans="1:18" s="2042" customFormat="1" ht="18" customHeight="1" thickBot="1">
      <c r="A49" s="786"/>
      <c r="B49" s="787"/>
      <c r="C49" s="788"/>
      <c r="D49" s="789"/>
      <c r="E49" s="784" t="s">
        <v>1738</v>
      </c>
      <c r="F49" s="785">
        <f ca="1">F7</f>
        <v>0</v>
      </c>
      <c r="G49" s="2073"/>
      <c r="H49" s="2076"/>
      <c r="I49" s="3073" t="s">
        <v>2344</v>
      </c>
      <c r="J49" s="2345"/>
      <c r="K49" s="3102" t="s">
        <v>2350</v>
      </c>
      <c r="L49" s="2346"/>
      <c r="O49" s="2360" t="s">
        <v>2379</v>
      </c>
      <c r="P49" s="2361" t="s">
        <v>2404</v>
      </c>
      <c r="Q49" s="2362" t="e">
        <f ca="1">J60</f>
        <v>#DIV/0!</v>
      </c>
      <c r="R49" s="2361" t="s">
        <v>2380</v>
      </c>
    </row>
    <row r="50" spans="1:18" s="2042" customFormat="1" ht="18" customHeight="1" thickBot="1">
      <c r="A50" s="786"/>
      <c r="B50" s="787"/>
      <c r="C50" s="788"/>
      <c r="D50" s="789"/>
      <c r="E50" s="784" t="s">
        <v>1739</v>
      </c>
      <c r="F50" s="785">
        <f ca="1">F8</f>
        <v>0</v>
      </c>
      <c r="G50" s="2078"/>
      <c r="H50" s="2076"/>
      <c r="I50" s="3073" t="s">
        <v>2345</v>
      </c>
      <c r="J50" s="3098">
        <f>SUMPRODUCT((I63:I65=J47)*(J62:L62=J48)*(J63:L65))</f>
        <v>0</v>
      </c>
      <c r="K50" s="3102" t="s">
        <v>2351</v>
      </c>
      <c r="L50" s="2346"/>
      <c r="O50" s="2363" t="s">
        <v>2381</v>
      </c>
      <c r="P50" s="2361" t="s">
        <v>2405</v>
      </c>
      <c r="Q50" s="2362">
        <f ca="1">C29</f>
        <v>0</v>
      </c>
      <c r="R50" s="2361" t="s">
        <v>2378</v>
      </c>
    </row>
    <row r="51" spans="1:18" s="2042" customFormat="1" ht="18" customHeight="1" thickBot="1">
      <c r="A51" s="786"/>
      <c r="B51" s="787"/>
      <c r="C51" s="788"/>
      <c r="D51" s="789"/>
      <c r="E51" s="784" t="s">
        <v>640</v>
      </c>
      <c r="F51" s="2333"/>
      <c r="H51" s="2076"/>
      <c r="I51" s="3095" t="s">
        <v>2346</v>
      </c>
      <c r="J51" s="3099">
        <f>IF(J49="",J50,J49+J50-YEAR('数据-取费表'!B2))</f>
        <v>0</v>
      </c>
      <c r="K51" s="3073" t="s">
        <v>2352</v>
      </c>
      <c r="L51" s="3105">
        <f ca="1">ROUND(-PV(INDIRECT("'数据-取费表'!h"&amp;$G$1),L48,(C39-C13*J36),0),0)</f>
        <v>0</v>
      </c>
      <c r="O51" s="2363" t="s">
        <v>2382</v>
      </c>
      <c r="P51" s="2361" t="s">
        <v>2383</v>
      </c>
      <c r="Q51" s="2364" t="e">
        <f ca="1">J58</f>
        <v>#DIV/0!</v>
      </c>
      <c r="R51" s="2365"/>
    </row>
    <row r="52" spans="1:18" s="2042" customFormat="1" ht="18" customHeight="1" thickBot="1">
      <c r="A52" s="781" t="s">
        <v>2534</v>
      </c>
      <c r="B52" s="2456" t="s">
        <v>2457</v>
      </c>
      <c r="C52" s="799">
        <f ca="1">ROUND(IF(F52="押一",C48/12*F11,IF(F52="押二",C48/12*2*F11,IF(F52="押三",C48/12*3*F11,C53*F11))),0)</f>
        <v>0</v>
      </c>
      <c r="D52" s="2463" t="s">
        <v>2965</v>
      </c>
      <c r="E52" s="2460" t="s">
        <v>2462</v>
      </c>
      <c r="F52" s="2583"/>
      <c r="I52" s="3096" t="s">
        <v>2419</v>
      </c>
      <c r="J52" s="2347"/>
      <c r="K52" s="3096"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7" t="s">
        <v>2968</v>
      </c>
      <c r="J53" s="3176">
        <f ca="1">IF(M47="住宅",IF(D1="——",MAX(J51,L48),MAX(J51,L48-'数据-取费表'!B20)),IF(D1="——",MIN(J51,L48),MIN(J51,L48-'数据-取费表'!B20)))</f>
        <v>0</v>
      </c>
      <c r="K53" s="3461" t="s">
        <v>2956</v>
      </c>
      <c r="L53" s="3462"/>
      <c r="O53" s="2363" t="s">
        <v>2386</v>
      </c>
      <c r="P53" s="2361" t="s">
        <v>2387</v>
      </c>
      <c r="Q53" s="2362">
        <f ca="1">J53</f>
        <v>0</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2389</v>
      </c>
      <c r="P54" s="2361" t="s">
        <v>2406</v>
      </c>
      <c r="Q54" s="2362" t="e">
        <f ca="1">Q48+Q49</f>
        <v>#DIV/0!</v>
      </c>
      <c r="R54" s="2365" t="s">
        <v>2390</v>
      </c>
    </row>
    <row r="55" spans="1:18" s="2042" customFormat="1" ht="18" customHeight="1" thickTop="1" thickBot="1">
      <c r="A55" s="797">
        <v>2</v>
      </c>
      <c r="B55" s="798" t="s">
        <v>644</v>
      </c>
      <c r="C55" s="799">
        <f ca="1">C13</f>
        <v>0</v>
      </c>
      <c r="D55" s="795"/>
      <c r="E55" s="795"/>
      <c r="F55" s="800"/>
      <c r="I55" s="3108" t="s">
        <v>2353</v>
      </c>
      <c r="J55" s="3048" t="e">
        <f ca="1">ROUND(IF(J47="钢混",J57/J50,1-(1-2%)*(J50-J57)/J50),3)</f>
        <v>#DIV/0!</v>
      </c>
      <c r="K55" s="3109" t="s">
        <v>2354</v>
      </c>
      <c r="L55" s="2348"/>
      <c r="O55" s="2366" t="s">
        <v>2409</v>
      </c>
      <c r="P55" s="1578"/>
      <c r="Q55" s="1589"/>
      <c r="R55" s="1578"/>
    </row>
    <row r="56" spans="1:18" s="2042" customFormat="1" ht="42.75" customHeight="1" thickBot="1">
      <c r="A56" s="1635"/>
      <c r="B56" s="2214" t="s">
        <v>2300</v>
      </c>
      <c r="C56" s="53">
        <f ca="1">C29</f>
        <v>0</v>
      </c>
      <c r="D56" s="2601"/>
      <c r="E56" s="784"/>
      <c r="F56" s="809"/>
      <c r="I56" s="3110" t="s">
        <v>2355</v>
      </c>
      <c r="J56" s="3120"/>
      <c r="K56" s="3073" t="s">
        <v>2360</v>
      </c>
      <c r="L56" s="1891">
        <f ca="1">IF(L48&lt;J51,"——",L48-J51)</f>
        <v>0</v>
      </c>
      <c r="O56" s="2357" t="s">
        <v>2373</v>
      </c>
      <c r="P56" s="2358" t="s">
        <v>2374</v>
      </c>
      <c r="Q56" s="2359" t="s">
        <v>2375</v>
      </c>
      <c r="R56" s="2358" t="s">
        <v>2376</v>
      </c>
    </row>
    <row r="57" spans="1:18" s="2042" customFormat="1" ht="28.5" customHeight="1" thickBot="1">
      <c r="A57" s="797" t="s">
        <v>1747</v>
      </c>
      <c r="B57" s="798" t="s">
        <v>651</v>
      </c>
      <c r="C57" s="799">
        <f ca="1">ROUND(C58+C63+C64+C65,0)</f>
        <v>0</v>
      </c>
      <c r="D57" s="26" t="s">
        <v>1749</v>
      </c>
      <c r="E57" s="2602"/>
      <c r="F57" s="56"/>
      <c r="I57" s="3111" t="s">
        <v>2356</v>
      </c>
      <c r="J57" s="3112">
        <f ca="1">IF(OR(M47="住宅",J51&lt;L48,J56="是"),"——",J51-L48)</f>
        <v>0</v>
      </c>
      <c r="K57" s="3073" t="s">
        <v>2361</v>
      </c>
      <c r="L57" s="1891">
        <f ca="1">IF(L48&lt;J51,"——",IF(L55="比较法",L49,IF(L55="基准地价",L50,L51)))</f>
        <v>0</v>
      </c>
      <c r="O57" s="2360" t="s">
        <v>2377</v>
      </c>
      <c r="P57" s="2361" t="s">
        <v>2407</v>
      </c>
      <c r="Q57" s="2362" t="e">
        <f ca="1">C40+J29</f>
        <v>#DIV/0!</v>
      </c>
      <c r="R57" s="2361" t="s">
        <v>2378</v>
      </c>
    </row>
    <row r="58" spans="1:18" s="2042" customFormat="1" ht="28.5" customHeight="1" thickBot="1">
      <c r="A58" s="1634" t="s">
        <v>1823</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1" t="s">
        <v>2357</v>
      </c>
      <c r="J58" s="3049" t="e">
        <f ca="1">IF(J55&lt;0.4,0.4,J55)</f>
        <v>#DIV/0!</v>
      </c>
      <c r="K58" s="3073" t="s">
        <v>2362</v>
      </c>
      <c r="L58" s="1891" t="e">
        <f ca="1">ROUND(POWER(1+L52,L47-L48)*(POWER(1+L52,L48)-1)/(POWER(1+L52,L47)-1),4)</f>
        <v>#DIV/0!</v>
      </c>
      <c r="O58" s="2360" t="s">
        <v>2379</v>
      </c>
      <c r="P58" s="2361" t="s">
        <v>2410</v>
      </c>
      <c r="Q58" s="2362" t="e">
        <f ca="1">L60</f>
        <v>#DIV/0!</v>
      </c>
      <c r="R58" s="2365" t="s">
        <v>2412</v>
      </c>
    </row>
    <row r="59" spans="1:18" s="2042" customFormat="1" ht="28.5" customHeight="1" thickBot="1">
      <c r="A59" s="1633" t="s">
        <v>1830</v>
      </c>
      <c r="B59" s="784" t="s">
        <v>660</v>
      </c>
      <c r="C59" s="53">
        <f ca="1">ROUND(C47*F59/1.05,1)</f>
        <v>0</v>
      </c>
      <c r="D59" s="2601" t="s">
        <v>1755</v>
      </c>
      <c r="E59" s="784" t="s">
        <v>1746</v>
      </c>
      <c r="F59" s="809">
        <f t="shared" ref="F59:F65" si="0">F32</f>
        <v>5.5000000000000007E-2</v>
      </c>
      <c r="I59" s="3111" t="s">
        <v>2358</v>
      </c>
      <c r="J59" s="3112" t="e">
        <f ca="1">IF(OR(M47="住宅",J51&lt;L48,J56="是"),"——",ROUND(C29*J58,0))</f>
        <v>#DIV/0!</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3" t="s">
        <v>1831</v>
      </c>
      <c r="B60" s="784" t="s">
        <v>1757</v>
      </c>
      <c r="C60" s="53">
        <f ca="1">IF(D60="按租金收入计税",ROUND(C47*F60,1),IF(D60="按房产原值计税",ROUND(C56*F60*0.7,1),INDIRECT("'数据-取费表'!Aj"&amp;$G$1)))</f>
        <v>0</v>
      </c>
      <c r="D60" s="2601" t="str">
        <f>D33</f>
        <v>按房产原值计税</v>
      </c>
      <c r="E60" s="784" t="s">
        <v>1746</v>
      </c>
      <c r="F60" s="809">
        <f t="shared" si="0"/>
        <v>1.2E-2</v>
      </c>
      <c r="I60" s="3113" t="s">
        <v>2359</v>
      </c>
      <c r="J60" s="3114" t="e">
        <f ca="1">IF(OR(M47="住宅",J51&lt;L48,J56="是"),"0",ROUND(J59/(1+J52)^J53,0))</f>
        <v>#DIV/0!</v>
      </c>
      <c r="K60" s="3115" t="s">
        <v>2364</v>
      </c>
      <c r="L60" s="3114" t="e">
        <f ca="1">IF(OR(M47="住宅",L48&lt;J51),0,ROUND(L57*(L58/L59-1),0))</f>
        <v>#DIV/0!</v>
      </c>
      <c r="O60" s="2363" t="s">
        <v>2382</v>
      </c>
      <c r="P60" s="2361" t="s">
        <v>2391</v>
      </c>
      <c r="Q60" s="2364">
        <f>L52</f>
        <v>0</v>
      </c>
      <c r="R60" s="2365"/>
    </row>
    <row r="61" spans="1:18" s="2042" customFormat="1" ht="18" customHeight="1" thickBot="1">
      <c r="A61" s="1636" t="s">
        <v>1832</v>
      </c>
      <c r="B61" s="341" t="s">
        <v>668</v>
      </c>
      <c r="C61" s="54">
        <f ca="1">ROUND(F61*F62/10000,1)</f>
        <v>0</v>
      </c>
      <c r="D61" s="814" t="s">
        <v>669</v>
      </c>
      <c r="E61" s="784" t="s">
        <v>670</v>
      </c>
      <c r="F61" s="640">
        <f t="shared" si="0"/>
        <v>0</v>
      </c>
      <c r="K61" s="2069"/>
      <c r="O61" s="2363" t="s">
        <v>2384</v>
      </c>
      <c r="P61" s="2361" t="s">
        <v>2392</v>
      </c>
      <c r="Q61" s="2362" t="e">
        <f ca="1">L58</f>
        <v>#DIV/0!</v>
      </c>
      <c r="R61" s="2365" t="s">
        <v>2393</v>
      </c>
    </row>
    <row r="62" spans="1:18" s="2042" customFormat="1" ht="15.75" thickBot="1">
      <c r="A62" s="815"/>
      <c r="B62" s="793"/>
      <c r="C62" s="69"/>
      <c r="D62" s="816"/>
      <c r="E62" s="784" t="s">
        <v>674</v>
      </c>
      <c r="F62" s="785">
        <f t="shared" ca="1" si="0"/>
        <v>0</v>
      </c>
      <c r="I62" s="3116" t="s">
        <v>2365</v>
      </c>
      <c r="J62" s="3117" t="s">
        <v>2366</v>
      </c>
      <c r="K62" s="3117" t="s">
        <v>2367</v>
      </c>
      <c r="L62" s="3117" t="s">
        <v>2348</v>
      </c>
      <c r="M62" s="3118" t="s">
        <v>2933</v>
      </c>
      <c r="O62" s="2363" t="s">
        <v>2386</v>
      </c>
      <c r="P62" s="2361" t="str">
        <f>K59</f>
        <v>建筑物剩余耐用年限下的土地年期修正系数Kn</v>
      </c>
      <c r="Q62" s="2362" t="e">
        <f ca="1">L59</f>
        <v>#DIV/0!</v>
      </c>
      <c r="R62" s="2365" t="s">
        <v>2395</v>
      </c>
    </row>
    <row r="63" spans="1:18" s="2042" customFormat="1" ht="15.75" thickBot="1">
      <c r="A63" s="1634" t="s">
        <v>1888</v>
      </c>
      <c r="B63" s="784" t="s">
        <v>676</v>
      </c>
      <c r="C63" s="53">
        <f ca="1">ROUND(C56*F63,1)</f>
        <v>0</v>
      </c>
      <c r="D63" s="2601" t="s">
        <v>1802</v>
      </c>
      <c r="E63" s="784" t="s">
        <v>1746</v>
      </c>
      <c r="F63" s="817">
        <f t="shared" ca="1" si="0"/>
        <v>0</v>
      </c>
      <c r="I63" s="3116" t="s">
        <v>2368</v>
      </c>
      <c r="J63" s="3117">
        <v>70</v>
      </c>
      <c r="K63" s="3117">
        <v>50</v>
      </c>
      <c r="L63" s="3117">
        <v>80</v>
      </c>
      <c r="M63" s="3119">
        <v>0.02</v>
      </c>
      <c r="O63" s="2360" t="s">
        <v>2389</v>
      </c>
      <c r="P63" s="2361" t="s">
        <v>2406</v>
      </c>
      <c r="Q63" s="2362" t="e">
        <f ca="1">Q57+Q58</f>
        <v>#DIV/0!</v>
      </c>
      <c r="R63" s="2365" t="s">
        <v>2390</v>
      </c>
    </row>
    <row r="64" spans="1:18" s="2042" customFormat="1" ht="16.5" thickBot="1">
      <c r="A64" s="1634" t="s">
        <v>1889</v>
      </c>
      <c r="B64" s="784" t="s">
        <v>679</v>
      </c>
      <c r="C64" s="53">
        <f ca="1">ROUND(C55*F64,1)</f>
        <v>0</v>
      </c>
      <c r="D64" s="2601" t="s">
        <v>680</v>
      </c>
      <c r="E64" s="784" t="s">
        <v>1746</v>
      </c>
      <c r="F64" s="818">
        <f t="shared" ca="1" si="0"/>
        <v>0</v>
      </c>
      <c r="I64" s="3116" t="s">
        <v>2369</v>
      </c>
      <c r="J64" s="3117">
        <v>50</v>
      </c>
      <c r="K64" s="3117">
        <v>35</v>
      </c>
      <c r="L64" s="3117">
        <v>60</v>
      </c>
      <c r="M64" s="846">
        <v>0</v>
      </c>
      <c r="O64" s="2366" t="s">
        <v>2413</v>
      </c>
      <c r="P64" s="1578"/>
      <c r="Q64" s="1589"/>
      <c r="R64" s="1578"/>
    </row>
    <row r="65" spans="1:18" s="2042" customFormat="1" ht="15.75" thickBot="1">
      <c r="A65" s="1634" t="s">
        <v>1890</v>
      </c>
      <c r="B65" s="784" t="s">
        <v>666</v>
      </c>
      <c r="C65" s="53">
        <f ca="1">ROUND(C47*F65,1)</f>
        <v>0</v>
      </c>
      <c r="D65" s="2601" t="s">
        <v>683</v>
      </c>
      <c r="E65" s="784" t="s">
        <v>1746</v>
      </c>
      <c r="F65" s="794">
        <f t="shared" ca="1" si="0"/>
        <v>0</v>
      </c>
      <c r="I65" s="3116" t="s">
        <v>2370</v>
      </c>
      <c r="J65" s="3117">
        <v>40</v>
      </c>
      <c r="K65" s="3117">
        <v>30</v>
      </c>
      <c r="L65" s="3117">
        <v>50</v>
      </c>
      <c r="M65" s="3119">
        <v>0.02</v>
      </c>
      <c r="O65" s="2357" t="s">
        <v>2373</v>
      </c>
      <c r="P65" s="2358" t="s">
        <v>2374</v>
      </c>
      <c r="Q65" s="2359" t="s">
        <v>2375</v>
      </c>
      <c r="R65" s="2358" t="s">
        <v>2376</v>
      </c>
    </row>
    <row r="66" spans="1:18" s="2042" customFormat="1" ht="24.75" thickBot="1">
      <c r="A66" s="797" t="s">
        <v>1775</v>
      </c>
      <c r="B66" s="2961" t="s">
        <v>2820</v>
      </c>
      <c r="C66" s="799">
        <f ca="1">C47-C57</f>
        <v>0</v>
      </c>
      <c r="D66" s="2600" t="s">
        <v>700</v>
      </c>
      <c r="E66" s="2599"/>
      <c r="F66" s="820"/>
      <c r="K66" s="2069"/>
      <c r="O66" s="2360" t="s">
        <v>2377</v>
      </c>
      <c r="P66" s="2361" t="s">
        <v>2407</v>
      </c>
      <c r="Q66" s="2362" t="e">
        <f ca="1">C40+J29</f>
        <v>#DIV/0!</v>
      </c>
      <c r="R66" s="2361" t="s">
        <v>2378</v>
      </c>
    </row>
    <row r="67" spans="1:18" s="2042" customFormat="1" ht="20.25" thickBot="1">
      <c r="A67" s="781" t="s">
        <v>1779</v>
      </c>
      <c r="B67" s="2215" t="s">
        <v>2299</v>
      </c>
      <c r="C67" s="783" t="e">
        <f ca="1">ROUND(C66*(1-((1+F69)/(1+F67))^F68)/(F67-F69),0)</f>
        <v>#DIV/0!</v>
      </c>
      <c r="D67" s="814" t="s">
        <v>704</v>
      </c>
      <c r="E67" s="784" t="s">
        <v>705</v>
      </c>
      <c r="F67" s="794">
        <f ca="1">F40</f>
        <v>0</v>
      </c>
      <c r="K67" s="2069"/>
      <c r="O67" s="2360" t="s">
        <v>2379</v>
      </c>
      <c r="P67" s="2361" t="s">
        <v>2410</v>
      </c>
      <c r="Q67" s="2362" t="e">
        <f ca="1">L60</f>
        <v>#DIV/0!</v>
      </c>
      <c r="R67" s="2365" t="s">
        <v>2412</v>
      </c>
    </row>
    <row r="68" spans="1:18" ht="21.75" thickBot="1">
      <c r="A68" s="786"/>
      <c r="B68" s="787"/>
      <c r="C68" s="788"/>
      <c r="D68" s="821" t="s">
        <v>1807</v>
      </c>
      <c r="E68" s="784" t="s">
        <v>1783</v>
      </c>
      <c r="F68" s="822">
        <f ca="1">F41</f>
        <v>0</v>
      </c>
      <c r="O68" s="2363" t="s">
        <v>2381</v>
      </c>
      <c r="P68" s="2361" t="s">
        <v>2411</v>
      </c>
      <c r="Q68" s="2367">
        <f ca="1">L51</f>
        <v>0</v>
      </c>
      <c r="R68" s="2368" t="s">
        <v>2414</v>
      </c>
    </row>
    <row r="69" spans="1:18" ht="20.25" thickBot="1">
      <c r="A69" s="790"/>
      <c r="B69" s="791"/>
      <c r="C69" s="792"/>
      <c r="D69" s="816"/>
      <c r="E69" s="784" t="s">
        <v>710</v>
      </c>
      <c r="F69" s="2333"/>
      <c r="O69" s="2363" t="s">
        <v>2382</v>
      </c>
      <c r="P69" s="2369" t="s">
        <v>2396</v>
      </c>
      <c r="Q69" s="2362">
        <f ca="1">ROUND(Q70-Q71*Q72,0)</f>
        <v>0</v>
      </c>
      <c r="R69" s="2365"/>
    </row>
    <row r="70" spans="1:18" ht="15.75" thickBot="1">
      <c r="A70" s="823" t="s">
        <v>1786</v>
      </c>
      <c r="B70" s="824" t="s">
        <v>1809</v>
      </c>
      <c r="C70" s="825" t="e">
        <f ca="1">ROUND(C67*10000/F70,0)</f>
        <v>#DIV/0!</v>
      </c>
      <c r="D70" s="826" t="s">
        <v>1810</v>
      </c>
      <c r="E70" s="827" t="s">
        <v>1811</v>
      </c>
      <c r="F70" s="828">
        <f ca="1">F43</f>
        <v>0</v>
      </c>
      <c r="O70" s="2363" t="s">
        <v>2397</v>
      </c>
      <c r="P70" s="2369" t="s">
        <v>2398</v>
      </c>
      <c r="Q70" s="2362">
        <f ca="1">C39</f>
        <v>0</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0</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建筑物剩余耐用年限下的土地年期修正系数Kn</v>
      </c>
      <c r="Q75" s="2362" t="e">
        <f ca="1">L59</f>
        <v>#DIV/0!</v>
      </c>
      <c r="R75" s="2365" t="s">
        <v>2395</v>
      </c>
    </row>
    <row r="76" spans="1:18" ht="15.75" thickBot="1">
      <c r="O76" s="2360" t="s">
        <v>2389</v>
      </c>
      <c r="P76" s="2361" t="s">
        <v>2406</v>
      </c>
      <c r="Q76" s="2362" t="e">
        <f ca="1">Q66+Q67</f>
        <v>#DIV/0!</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2469</v>
      </c>
      <c r="B1" s="3464"/>
      <c r="C1" s="3465"/>
      <c r="D1" s="3466">
        <f>SUM(I10,I15,I20,I21,I23)</f>
        <v>0</v>
      </c>
      <c r="E1" s="3466"/>
      <c r="F1" s="3466"/>
      <c r="G1" s="3466"/>
      <c r="H1" s="3466"/>
      <c r="I1" s="3467"/>
    </row>
    <row r="2" spans="1:9">
      <c r="A2" s="3468" t="s">
        <v>2470</v>
      </c>
      <c r="B2" s="3469" t="s">
        <v>2471</v>
      </c>
      <c r="C2" s="3469"/>
      <c r="D2" s="2469" t="s">
        <v>2472</v>
      </c>
      <c r="E2" s="2469" t="s">
        <v>2473</v>
      </c>
      <c r="F2" s="2469" t="s">
        <v>2474</v>
      </c>
      <c r="G2" s="2469" t="s">
        <v>2475</v>
      </c>
      <c r="H2" s="2469" t="s">
        <v>2476</v>
      </c>
      <c r="I2" s="2470" t="s">
        <v>2477</v>
      </c>
    </row>
    <row r="3" spans="1:9">
      <c r="A3" s="3468"/>
      <c r="B3" s="3469" t="s">
        <v>2478</v>
      </c>
      <c r="C3" s="3469"/>
      <c r="D3" s="2471"/>
      <c r="E3" s="2469"/>
      <c r="F3" s="2472"/>
      <c r="G3" s="2472"/>
      <c r="H3" s="2473"/>
      <c r="I3" s="2474">
        <f>ROUND(D3*E3*F3*G3*H3/10000,0)</f>
        <v>0</v>
      </c>
    </row>
    <row r="4" spans="1:9">
      <c r="A4" s="3468"/>
      <c r="B4" s="3469" t="s">
        <v>2479</v>
      </c>
      <c r="C4" s="3469"/>
      <c r="D4" s="2471"/>
      <c r="E4" s="2469"/>
      <c r="F4" s="2472"/>
      <c r="G4" s="2472"/>
      <c r="H4" s="2473"/>
      <c r="I4" s="2474">
        <f t="shared" ref="I4:I9" si="0">ROUND(D4*E4*F4*G4*H4/10000,0)</f>
        <v>0</v>
      </c>
    </row>
    <row r="5" spans="1:9">
      <c r="A5" s="3468"/>
      <c r="B5" s="3469" t="s">
        <v>2480</v>
      </c>
      <c r="C5" s="3469"/>
      <c r="D5" s="2471"/>
      <c r="E5" s="2469"/>
      <c r="F5" s="2472"/>
      <c r="G5" s="2472"/>
      <c r="H5" s="2473"/>
      <c r="I5" s="2474">
        <f t="shared" si="0"/>
        <v>0</v>
      </c>
    </row>
    <row r="6" spans="1:9">
      <c r="A6" s="3468"/>
      <c r="B6" s="3469" t="s">
        <v>2481</v>
      </c>
      <c r="C6" s="3469"/>
      <c r="D6" s="2471"/>
      <c r="E6" s="2469"/>
      <c r="F6" s="2472"/>
      <c r="G6" s="2472"/>
      <c r="H6" s="2473"/>
      <c r="I6" s="2474">
        <f t="shared" si="0"/>
        <v>0</v>
      </c>
    </row>
    <row r="7" spans="1:9">
      <c r="A7" s="3468"/>
      <c r="B7" s="3469" t="s">
        <v>2482</v>
      </c>
      <c r="C7" s="3469"/>
      <c r="D7" s="2471"/>
      <c r="E7" s="2469"/>
      <c r="F7" s="2472"/>
      <c r="G7" s="2472"/>
      <c r="H7" s="2473"/>
      <c r="I7" s="2474">
        <f t="shared" si="0"/>
        <v>0</v>
      </c>
    </row>
    <row r="8" spans="1:9">
      <c r="A8" s="3468"/>
      <c r="B8" s="3469" t="s">
        <v>2483</v>
      </c>
      <c r="C8" s="3469"/>
      <c r="D8" s="2471"/>
      <c r="E8" s="2469"/>
      <c r="F8" s="2472"/>
      <c r="G8" s="2472"/>
      <c r="H8" s="2473"/>
      <c r="I8" s="2474">
        <f t="shared" si="0"/>
        <v>0</v>
      </c>
    </row>
    <row r="9" spans="1:9">
      <c r="A9" s="3468"/>
      <c r="B9" s="3469" t="s">
        <v>2484</v>
      </c>
      <c r="C9" s="3469"/>
      <c r="D9" s="2471"/>
      <c r="E9" s="2469"/>
      <c r="F9" s="2472"/>
      <c r="G9" s="2472"/>
      <c r="H9" s="2473"/>
      <c r="I9" s="2474">
        <f t="shared" si="0"/>
        <v>0</v>
      </c>
    </row>
    <row r="10" spans="1:9">
      <c r="A10" s="3468"/>
      <c r="B10" s="3470" t="s">
        <v>2485</v>
      </c>
      <c r="C10" s="3470"/>
      <c r="D10" s="2475">
        <v>527</v>
      </c>
      <c r="E10" s="2475" t="e">
        <f>ROUND(D1*10000/D10/H9,0)</f>
        <v>#DIV/0!</v>
      </c>
      <c r="F10" s="2476"/>
      <c r="G10" s="2476"/>
      <c r="H10" s="2477"/>
      <c r="I10" s="2478">
        <f>SUM(I3:I9)</f>
        <v>0</v>
      </c>
    </row>
    <row r="11" spans="1:9" ht="14.25">
      <c r="A11" s="3468" t="s">
        <v>2486</v>
      </c>
      <c r="B11" s="3469" t="s">
        <v>2487</v>
      </c>
      <c r="C11" s="3469"/>
      <c r="D11" s="2471" t="s">
        <v>2488</v>
      </c>
      <c r="E11" s="2471" t="s">
        <v>2489</v>
      </c>
      <c r="F11" s="2472" t="s">
        <v>2490</v>
      </c>
      <c r="G11" s="2472" t="s">
        <v>2491</v>
      </c>
      <c r="H11" s="2479" t="s">
        <v>2492</v>
      </c>
      <c r="I11" s="2470" t="s">
        <v>2493</v>
      </c>
    </row>
    <row r="12" spans="1:9">
      <c r="A12" s="3468"/>
      <c r="B12" s="3469" t="s">
        <v>2494</v>
      </c>
      <c r="C12" s="3469"/>
      <c r="D12" s="2471"/>
      <c r="E12" s="2471"/>
      <c r="F12" s="2472"/>
      <c r="G12" s="2473"/>
      <c r="H12" s="2480"/>
      <c r="I12" s="2470">
        <f>ROUND(D12*E12*F12*G12/10000,0)</f>
        <v>0</v>
      </c>
    </row>
    <row r="13" spans="1:9">
      <c r="A13" s="3468"/>
      <c r="B13" s="3469" t="s">
        <v>2495</v>
      </c>
      <c r="C13" s="3469"/>
      <c r="D13" s="2471"/>
      <c r="E13" s="2471"/>
      <c r="F13" s="2472"/>
      <c r="G13" s="2473"/>
      <c r="H13" s="2480"/>
      <c r="I13" s="2470">
        <f>ROUND(D13*E13*F13*G13/10000,0)</f>
        <v>0</v>
      </c>
    </row>
    <row r="14" spans="1:9">
      <c r="A14" s="3468"/>
      <c r="B14" s="3469" t="s">
        <v>2496</v>
      </c>
      <c r="C14" s="3469"/>
      <c r="D14" s="2471"/>
      <c r="E14" s="2471"/>
      <c r="F14" s="2472"/>
      <c r="G14" s="2473"/>
      <c r="H14" s="2480"/>
      <c r="I14" s="2470">
        <f>ROUND(D14*E14*F14*G14/10000,0)</f>
        <v>0</v>
      </c>
    </row>
    <row r="15" spans="1:9">
      <c r="A15" s="3468"/>
      <c r="B15" s="3470" t="s">
        <v>2485</v>
      </c>
      <c r="C15" s="3470"/>
      <c r="D15" s="2475"/>
      <c r="E15" s="2475">
        <f>SUM(E12:E14)</f>
        <v>0</v>
      </c>
      <c r="F15" s="2476"/>
      <c r="G15" s="2473"/>
      <c r="H15" s="2480"/>
      <c r="I15" s="2481">
        <f>SUM(I12:I14)</f>
        <v>0</v>
      </c>
    </row>
    <row r="16" spans="1:9" ht="24">
      <c r="A16" s="3468" t="s">
        <v>2497</v>
      </c>
      <c r="B16" s="3469" t="s">
        <v>2498</v>
      </c>
      <c r="C16" s="3469"/>
      <c r="D16" s="2471" t="s">
        <v>2499</v>
      </c>
      <c r="E16" s="2482" t="s">
        <v>2500</v>
      </c>
      <c r="F16" s="2472" t="s">
        <v>2501</v>
      </c>
      <c r="G16" s="2473" t="s">
        <v>2491</v>
      </c>
      <c r="H16" s="2479" t="s">
        <v>2492</v>
      </c>
      <c r="I16" s="2470" t="s">
        <v>2493</v>
      </c>
    </row>
    <row r="17" spans="1:9" ht="14.25">
      <c r="A17" s="3468"/>
      <c r="B17" s="3469" t="s">
        <v>2502</v>
      </c>
      <c r="C17" s="3469"/>
      <c r="D17" s="2471"/>
      <c r="E17" s="2471"/>
      <c r="F17" s="2472"/>
      <c r="G17" s="2473"/>
      <c r="H17" s="2483"/>
      <c r="I17" s="2484">
        <f>ROUND(D17*E17*F17*G17/10000,0)</f>
        <v>0</v>
      </c>
    </row>
    <row r="18" spans="1:9" ht="14.25">
      <c r="A18" s="3468"/>
      <c r="B18" s="3469" t="s">
        <v>2503</v>
      </c>
      <c r="C18" s="3469"/>
      <c r="D18" s="2471"/>
      <c r="E18" s="2471"/>
      <c r="F18" s="2472"/>
      <c r="G18" s="2473"/>
      <c r="H18" s="2483"/>
      <c r="I18" s="2484">
        <f>ROUND(D18*E18*F18*G18/10000,0)</f>
        <v>0</v>
      </c>
    </row>
    <row r="19" spans="1:9" ht="14.25">
      <c r="A19" s="3468"/>
      <c r="B19" s="3469" t="s">
        <v>2504</v>
      </c>
      <c r="C19" s="3469"/>
      <c r="D19" s="2471"/>
      <c r="E19" s="2471"/>
      <c r="F19" s="2472"/>
      <c r="G19" s="2473"/>
      <c r="H19" s="2483"/>
      <c r="I19" s="2484">
        <f>ROUND(D19*E19*F19*G19/10000,0)</f>
        <v>0</v>
      </c>
    </row>
    <row r="20" spans="1:9">
      <c r="A20" s="3468"/>
      <c r="B20" s="3470" t="s">
        <v>2485</v>
      </c>
      <c r="C20" s="3470"/>
      <c r="D20" s="2475">
        <f>SUM(D17:D19)</f>
        <v>0</v>
      </c>
      <c r="E20" s="2475"/>
      <c r="F20" s="2476"/>
      <c r="G20" s="2473"/>
      <c r="H20" s="2480"/>
      <c r="I20" s="2481">
        <f>SUM(I17:I19)</f>
        <v>0</v>
      </c>
    </row>
    <row r="21" spans="1:9">
      <c r="A21" s="3468" t="s">
        <v>2505</v>
      </c>
      <c r="B21" s="3472"/>
      <c r="C21" s="3472"/>
      <c r="D21" s="3472"/>
      <c r="E21" s="3472"/>
      <c r="F21" s="3472"/>
      <c r="G21" s="3472"/>
      <c r="H21" s="2485">
        <v>0.1</v>
      </c>
      <c r="I21" s="2478">
        <f>ROUND(I10*H21,0)</f>
        <v>0</v>
      </c>
    </row>
    <row r="22" spans="1:9" ht="14.25">
      <c r="A22" s="3473" t="s">
        <v>2506</v>
      </c>
      <c r="B22" s="3474"/>
      <c r="C22" s="3475"/>
      <c r="D22" s="2486" t="s">
        <v>2507</v>
      </c>
      <c r="E22" s="2486" t="s">
        <v>2508</v>
      </c>
      <c r="F22" s="2487" t="s">
        <v>2509</v>
      </c>
      <c r="G22" s="2487" t="s">
        <v>2510</v>
      </c>
      <c r="H22" s="2479" t="s">
        <v>2511</v>
      </c>
      <c r="I22" s="2470" t="s">
        <v>2512</v>
      </c>
    </row>
    <row r="23" spans="1:9" ht="14.25" thickBot="1">
      <c r="A23" s="3476"/>
      <c r="B23" s="3477"/>
      <c r="C23" s="3478"/>
      <c r="D23" s="2488"/>
      <c r="E23" s="2488"/>
      <c r="F23" s="2488"/>
      <c r="G23" s="2489"/>
      <c r="H23" s="2490"/>
      <c r="I23" s="2491">
        <f>ROUND(E23*D23*F23*(1-G23)/10000,0)</f>
        <v>0</v>
      </c>
    </row>
    <row r="26" spans="1:9">
      <c r="A26" s="2492" t="s">
        <v>2513</v>
      </c>
      <c r="B26" s="2492"/>
      <c r="C26" s="2492"/>
      <c r="D26" s="2492"/>
      <c r="E26" s="3479">
        <f>C27-C30-C31-C32</f>
        <v>0</v>
      </c>
      <c r="F26" s="3479"/>
      <c r="G26" s="3479"/>
      <c r="H26" s="2993" t="s">
        <v>2841</v>
      </c>
    </row>
    <row r="27" spans="1:9">
      <c r="A27" s="2493">
        <v>1</v>
      </c>
      <c r="B27" s="2494" t="s">
        <v>2514</v>
      </c>
      <c r="C27" s="2494"/>
      <c r="D27" s="2494"/>
      <c r="E27" s="3480"/>
      <c r="F27" s="3480"/>
      <c r="G27" s="3480"/>
    </row>
    <row r="28" spans="1:9">
      <c r="A28" s="2495" t="s">
        <v>2515</v>
      </c>
      <c r="B28" s="2494" t="s">
        <v>2516</v>
      </c>
      <c r="C28" s="2494"/>
      <c r="D28" s="2494"/>
      <c r="E28" s="3480"/>
      <c r="F28" s="3480"/>
      <c r="G28" s="3480"/>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1"/>
      <c r="F32" s="3471"/>
      <c r="G32" s="3471"/>
    </row>
    <row r="33" spans="1:7" hidden="1">
      <c r="A33" s="3481" t="s">
        <v>2524</v>
      </c>
      <c r="B33" s="3482"/>
      <c r="C33" s="3482"/>
      <c r="D33" s="3483"/>
      <c r="E33" s="3479"/>
      <c r="F33" s="3479"/>
      <c r="G33" s="3479"/>
    </row>
    <row r="34" spans="1:7" hidden="1">
      <c r="A34" s="2497">
        <v>1</v>
      </c>
      <c r="B34" s="2494" t="s">
        <v>2525</v>
      </c>
      <c r="C34" s="2494"/>
      <c r="D34" s="2494"/>
      <c r="E34" s="3480"/>
      <c r="F34" s="3480"/>
      <c r="G34" s="3480"/>
    </row>
    <row r="35" spans="1:7" hidden="1">
      <c r="A35" s="2497">
        <v>2</v>
      </c>
      <c r="B35" s="2494" t="s">
        <v>2526</v>
      </c>
      <c r="C35" s="2494"/>
      <c r="D35" s="2494"/>
      <c r="E35" s="3480"/>
      <c r="F35" s="3480"/>
      <c r="G35" s="3480"/>
    </row>
    <row r="36" spans="1:7" hidden="1">
      <c r="A36" s="2497">
        <v>3</v>
      </c>
      <c r="B36" s="2494" t="s">
        <v>2527</v>
      </c>
      <c r="C36" s="2494"/>
      <c r="D36" s="2494"/>
      <c r="E36" s="3480"/>
      <c r="F36" s="3480"/>
      <c r="G36" s="3480"/>
    </row>
    <row r="37" spans="1:7" hidden="1">
      <c r="A37" s="2497">
        <v>4</v>
      </c>
      <c r="B37" s="2494" t="s">
        <v>2528</v>
      </c>
      <c r="C37" s="2494"/>
      <c r="D37" s="2494"/>
      <c r="E37" s="3480"/>
      <c r="F37" s="3480"/>
      <c r="G37" s="3480"/>
    </row>
    <row r="38" spans="1:7" hidden="1">
      <c r="A38" s="3481" t="s">
        <v>2529</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5" t="s">
        <v>1684</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120900</v>
      </c>
      <c r="E10" s="749">
        <f>'数据-取费表'!B31</f>
        <v>90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435</v>
      </c>
      <c r="D12" s="758">
        <f>'数据-汇总表'!E5</f>
        <v>108810</v>
      </c>
      <c r="E12" s="757">
        <f>'数据-取费表'!B27</f>
        <v>40</v>
      </c>
      <c r="F12" s="755"/>
      <c r="G12" s="759"/>
    </row>
    <row r="13" spans="1:25" s="2166" customFormat="1" ht="13.5" customHeight="1">
      <c r="A13" s="2438" t="s">
        <v>2445</v>
      </c>
      <c r="B13" s="756" t="s">
        <v>612</v>
      </c>
      <c r="C13" s="757">
        <f>ROUND(D13*E13/10000,0)</f>
        <v>48</v>
      </c>
      <c r="D13" s="758">
        <f>'数据-汇总表'!E6</f>
        <v>12090</v>
      </c>
      <c r="E13" s="757">
        <f>'数据-取费表'!B28</f>
        <v>40</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0.26</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0.94299999999999995</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38" sqref="L3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922</v>
      </c>
      <c r="E1" s="2588"/>
      <c r="F1" s="2760" t="s">
        <v>3212</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4">
        <f>ROUND(B3*D3/10000,0)</f>
        <v>54394</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4999</v>
      </c>
      <c r="C3" s="852" t="s">
        <v>722</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521</v>
      </c>
      <c r="B4" s="513"/>
      <c r="C4" s="3374" t="s">
        <v>522</v>
      </c>
      <c r="D4" s="3375"/>
      <c r="E4" s="3408" t="s">
        <v>523</v>
      </c>
      <c r="F4" s="3409"/>
      <c r="G4" s="3374" t="s">
        <v>524</v>
      </c>
      <c r="H4" s="3375"/>
      <c r="I4" s="3374" t="s">
        <v>525</v>
      </c>
      <c r="J4" s="3375"/>
      <c r="K4" s="853" t="s">
        <v>526</v>
      </c>
      <c r="L4" s="2116"/>
      <c r="M4" s="2117"/>
      <c r="N4" s="2117"/>
      <c r="O4" s="2117"/>
      <c r="P4" s="3376" t="s">
        <v>527</v>
      </c>
      <c r="Q4" s="3377"/>
      <c r="R4" s="3382" t="s">
        <v>523</v>
      </c>
      <c r="S4" s="3383"/>
      <c r="T4" s="3382" t="s">
        <v>524</v>
      </c>
      <c r="U4" s="3383"/>
      <c r="V4" s="3369" t="s">
        <v>525</v>
      </c>
      <c r="W4" s="3369"/>
      <c r="X4" s="1553"/>
      <c r="Y4" s="3382" t="s">
        <v>527</v>
      </c>
      <c r="Z4" s="3383"/>
      <c r="AA4" s="3371" t="s">
        <v>523</v>
      </c>
      <c r="AB4" s="3371" t="s">
        <v>524</v>
      </c>
      <c r="AC4" s="3371" t="s">
        <v>525</v>
      </c>
    </row>
    <row r="5" spans="1:29" ht="15">
      <c r="A5" s="515"/>
      <c r="B5" s="516"/>
      <c r="C5" s="3390" t="s">
        <v>2920</v>
      </c>
      <c r="D5" s="3391"/>
      <c r="E5" s="3488" t="s">
        <v>3242</v>
      </c>
      <c r="F5" s="3411"/>
      <c r="G5" s="3487" t="s">
        <v>3243</v>
      </c>
      <c r="H5" s="3391"/>
      <c r="I5" s="3487" t="s">
        <v>3316</v>
      </c>
      <c r="J5" s="3391"/>
      <c r="K5" s="854"/>
      <c r="L5" s="2116"/>
      <c r="M5" s="2117"/>
      <c r="N5" s="2117"/>
      <c r="O5" s="2117"/>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854" t="s">
        <v>528</v>
      </c>
      <c r="L6" s="2116"/>
      <c r="M6" s="2117"/>
      <c r="N6" s="2117"/>
      <c r="O6" s="2117"/>
      <c r="P6" s="3380"/>
      <c r="Q6" s="3381"/>
      <c r="R6" s="3384"/>
      <c r="S6" s="3385"/>
      <c r="T6" s="3386"/>
      <c r="U6" s="3387"/>
      <c r="V6" s="3369"/>
      <c r="W6" s="3369"/>
      <c r="X6" s="1553"/>
      <c r="Y6" s="3386"/>
      <c r="Z6" s="3387"/>
      <c r="AA6" s="3373"/>
      <c r="AB6" s="3373"/>
      <c r="AC6" s="3373"/>
    </row>
    <row r="7" spans="1:29" s="1215" customFormat="1" ht="15.75" thickBot="1">
      <c r="A7" s="2865"/>
      <c r="B7" s="2872" t="s">
        <v>529</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399" t="s">
        <v>530</v>
      </c>
      <c r="Q7" s="3401"/>
      <c r="R7" s="1554" t="s">
        <v>13</v>
      </c>
      <c r="S7" s="1555">
        <f t="shared" ref="S7:S15" si="0">F7</f>
        <v>100</v>
      </c>
      <c r="T7" s="1554" t="s">
        <v>13</v>
      </c>
      <c r="U7" s="1555">
        <f t="shared" ref="U7:U15" si="1">H7</f>
        <v>100</v>
      </c>
      <c r="V7" s="1554" t="s">
        <v>13</v>
      </c>
      <c r="W7" s="1555">
        <f t="shared" ref="W7:W15" si="2">J7</f>
        <v>100</v>
      </c>
      <c r="X7" s="1556"/>
      <c r="Y7" s="3399" t="s">
        <v>530</v>
      </c>
      <c r="Z7" s="3400"/>
      <c r="AA7" s="1557">
        <f>D7/F7</f>
        <v>1</v>
      </c>
      <c r="AB7" s="1557">
        <f>D7/H7</f>
        <v>1</v>
      </c>
      <c r="AC7" s="1557">
        <f>D7/J7</f>
        <v>1</v>
      </c>
    </row>
    <row r="8" spans="1:29" s="1215" customFormat="1" ht="15.75" thickBot="1">
      <c r="A8" s="2866"/>
      <c r="B8" s="2873" t="s">
        <v>531</v>
      </c>
      <c r="C8" s="525" t="s">
        <v>576</v>
      </c>
      <c r="D8" s="520">
        <v>100</v>
      </c>
      <c r="E8" s="856" t="s">
        <v>3189</v>
      </c>
      <c r="F8" s="522">
        <f>SUMIF(61:61,E8,62:62)-SUMIF(61:61,C8,62:62)+100</f>
        <v>100</v>
      </c>
      <c r="G8" s="525" t="s">
        <v>3189</v>
      </c>
      <c r="H8" s="520">
        <f>SUMIF(61:61,G8,62:62)-SUMIF(61:61,C8,62:62)+100</f>
        <v>100</v>
      </c>
      <c r="I8" s="856" t="s">
        <v>3189</v>
      </c>
      <c r="J8" s="520">
        <f>SUMIF(61:61,I8,62:62)-SUMIF(61:61,C8,62:62)+100</f>
        <v>100</v>
      </c>
      <c r="K8" s="855"/>
      <c r="L8" s="2118"/>
      <c r="M8" s="2119"/>
      <c r="N8" s="2119"/>
      <c r="O8" s="2119"/>
      <c r="P8" s="3399" t="s">
        <v>533</v>
      </c>
      <c r="Q8" s="3400"/>
      <c r="R8" s="1554" t="s">
        <v>13</v>
      </c>
      <c r="S8" s="1555">
        <f t="shared" si="0"/>
        <v>100</v>
      </c>
      <c r="T8" s="1554" t="s">
        <v>13</v>
      </c>
      <c r="U8" s="1555">
        <f t="shared" si="1"/>
        <v>100</v>
      </c>
      <c r="V8" s="1554" t="s">
        <v>13</v>
      </c>
      <c r="W8" s="1555">
        <f t="shared" si="2"/>
        <v>100</v>
      </c>
      <c r="X8" s="1556"/>
      <c r="Y8" s="3399" t="s">
        <v>533</v>
      </c>
      <c r="Z8" s="3400"/>
      <c r="AA8" s="1557">
        <f t="shared" ref="AA8:AA46" si="3">D8/F8</f>
        <v>1</v>
      </c>
      <c r="AB8" s="1557">
        <f t="shared" ref="AB8:AB46" si="4">D8/H8</f>
        <v>1</v>
      </c>
      <c r="AC8" s="1557">
        <f t="shared" ref="AC8:AC46" si="5">D8/J8</f>
        <v>1</v>
      </c>
    </row>
    <row r="9" spans="1:29" s="1215" customFormat="1" ht="15">
      <c r="A9" s="2867"/>
      <c r="B9" s="2874" t="s">
        <v>2754</v>
      </c>
      <c r="C9" s="3194" t="s">
        <v>3240</v>
      </c>
      <c r="D9" s="254">
        <v>100</v>
      </c>
      <c r="E9" s="858" t="s">
        <v>922</v>
      </c>
      <c r="F9" s="859">
        <f>SUMIF(63:63,E9,64:64)-SUMIF(63:63,C9,64:64)+100</f>
        <v>100</v>
      </c>
      <c r="G9" s="860" t="s">
        <v>922</v>
      </c>
      <c r="H9" s="254">
        <f>SUMIF(63:63,G9,64:64)-SUMIF(63:63,C9,64:64)+100</f>
        <v>100</v>
      </c>
      <c r="I9" s="860" t="s">
        <v>922</v>
      </c>
      <c r="J9" s="254">
        <f>SUMIF(63:63,I9,64:64)-SUMIF(63:63,C9,64:64)+100</f>
        <v>100</v>
      </c>
      <c r="K9" s="855"/>
      <c r="L9" s="2118"/>
      <c r="M9" s="2119"/>
      <c r="N9" s="2119"/>
      <c r="O9" s="2120"/>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8"/>
      <c r="B10" s="2873" t="s">
        <v>2755</v>
      </c>
      <c r="C10" s="861" t="s">
        <v>3241</v>
      </c>
      <c r="D10" s="255">
        <v>100</v>
      </c>
      <c r="E10" s="862" t="s">
        <v>3241</v>
      </c>
      <c r="F10" s="863">
        <f>SUMIF(65:65,E10,66:66)-SUMIF(65:65,C10,66:66)+100</f>
        <v>100</v>
      </c>
      <c r="G10" s="861" t="s">
        <v>3241</v>
      </c>
      <c r="H10" s="255">
        <f>SUMIF(65:65,G10,66:66)-SUMIF(65:65,C10,66:66)+100</f>
        <v>100</v>
      </c>
      <c r="I10" s="861" t="s">
        <v>3241</v>
      </c>
      <c r="J10" s="255">
        <f>SUMIF(65:65,I10,66:66)-SUMIF(65:65,C10,66:66)+100</f>
        <v>100</v>
      </c>
      <c r="K10" s="864">
        <v>2</v>
      </c>
      <c r="L10" s="2121"/>
      <c r="M10" s="2161"/>
      <c r="N10" s="2161"/>
      <c r="O10" s="2122"/>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69"/>
      <c r="B11" s="2873" t="s">
        <v>2756</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68"/>
      <c r="Q11" s="1146" t="str">
        <f t="shared" si="6"/>
        <v>容积率</v>
      </c>
      <c r="R11" s="1554" t="s">
        <v>11</v>
      </c>
      <c r="S11" s="1555">
        <f t="shared" si="0"/>
        <v>100</v>
      </c>
      <c r="T11" s="1554" t="s">
        <v>11</v>
      </c>
      <c r="U11" s="1555">
        <f t="shared" si="1"/>
        <v>100</v>
      </c>
      <c r="V11" s="1554" t="s">
        <v>11</v>
      </c>
      <c r="W11" s="1555">
        <f t="shared" si="2"/>
        <v>100</v>
      </c>
      <c r="X11" s="1556"/>
      <c r="Y11" s="3314"/>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68"/>
      <c r="Q12" s="1146">
        <f t="shared" si="6"/>
        <v>111</v>
      </c>
      <c r="R12" s="1554" t="s">
        <v>11</v>
      </c>
      <c r="S12" s="1555">
        <f t="shared" si="0"/>
        <v>100</v>
      </c>
      <c r="T12" s="1554" t="s">
        <v>11</v>
      </c>
      <c r="U12" s="1555">
        <f t="shared" si="1"/>
        <v>100</v>
      </c>
      <c r="V12" s="1554" t="s">
        <v>11</v>
      </c>
      <c r="W12" s="1555">
        <f t="shared" si="2"/>
        <v>100</v>
      </c>
      <c r="X12" s="1556"/>
      <c r="Y12" s="3314"/>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68"/>
      <c r="Q13" s="1146">
        <f t="shared" si="6"/>
        <v>111</v>
      </c>
      <c r="R13" s="1554" t="s">
        <v>11</v>
      </c>
      <c r="S13" s="1555">
        <f t="shared" si="0"/>
        <v>100</v>
      </c>
      <c r="T13" s="1554" t="s">
        <v>11</v>
      </c>
      <c r="U13" s="1555">
        <f t="shared" si="1"/>
        <v>100</v>
      </c>
      <c r="V13" s="1554" t="s">
        <v>11</v>
      </c>
      <c r="W13" s="1555">
        <f t="shared" si="2"/>
        <v>100</v>
      </c>
      <c r="X13" s="1556"/>
      <c r="Y13" s="3314"/>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68"/>
      <c r="Q14" s="1146">
        <f t="shared" si="6"/>
        <v>111</v>
      </c>
      <c r="R14" s="1554" t="s">
        <v>11</v>
      </c>
      <c r="S14" s="1555">
        <f t="shared" si="0"/>
        <v>100</v>
      </c>
      <c r="T14" s="1554" t="s">
        <v>11</v>
      </c>
      <c r="U14" s="1555">
        <f t="shared" si="1"/>
        <v>100</v>
      </c>
      <c r="V14" s="1554" t="s">
        <v>11</v>
      </c>
      <c r="W14" s="1555">
        <f t="shared" si="2"/>
        <v>100</v>
      </c>
      <c r="X14" s="1556"/>
      <c r="Y14" s="3314"/>
      <c r="Z14" s="1145">
        <f t="shared" si="7"/>
        <v>111</v>
      </c>
      <c r="AA14" s="1557">
        <f t="shared" si="3"/>
        <v>1</v>
      </c>
      <c r="AB14" s="1557">
        <f t="shared" si="4"/>
        <v>1</v>
      </c>
      <c r="AC14" s="1557">
        <f t="shared" si="5"/>
        <v>1</v>
      </c>
    </row>
    <row r="15" spans="1:29" ht="85.5">
      <c r="A15" s="2863" t="s">
        <v>2752</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402" t="s">
        <v>540</v>
      </c>
      <c r="Q15" s="1558" t="str">
        <f t="shared" si="6"/>
        <v>居住社区成熟度</v>
      </c>
      <c r="R15" s="1559" t="s">
        <v>11</v>
      </c>
      <c r="S15" s="1560">
        <f t="shared" si="0"/>
        <v>100</v>
      </c>
      <c r="T15" s="1559" t="s">
        <v>11</v>
      </c>
      <c r="U15" s="1560">
        <f t="shared" si="1"/>
        <v>100</v>
      </c>
      <c r="V15" s="1559" t="s">
        <v>11</v>
      </c>
      <c r="W15" s="1560">
        <f t="shared" si="2"/>
        <v>100</v>
      </c>
      <c r="X15" s="1553"/>
      <c r="Y15" s="3402" t="s">
        <v>540</v>
      </c>
      <c r="Z15" s="1561" t="str">
        <f t="shared" si="7"/>
        <v>居住社区成熟度</v>
      </c>
      <c r="AA15" s="1562">
        <f t="shared" si="3"/>
        <v>1</v>
      </c>
      <c r="AB15" s="1562">
        <f t="shared" si="4"/>
        <v>1</v>
      </c>
      <c r="AC15" s="1562">
        <f t="shared" si="5"/>
        <v>1</v>
      </c>
    </row>
    <row r="16" spans="1:29" ht="15">
      <c r="A16" s="532"/>
      <c r="B16" s="869"/>
      <c r="C16" s="576" t="s">
        <v>3185</v>
      </c>
      <c r="D16" s="555"/>
      <c r="E16" s="556" t="s">
        <v>3185</v>
      </c>
      <c r="F16" s="557"/>
      <c r="G16" s="558" t="s">
        <v>3185</v>
      </c>
      <c r="H16" s="559"/>
      <c r="I16" s="556" t="s">
        <v>3185</v>
      </c>
      <c r="J16" s="555"/>
      <c r="K16" s="870"/>
      <c r="L16" s="2125"/>
      <c r="M16" s="2117"/>
      <c r="N16" s="2117"/>
      <c r="O16" s="2124"/>
      <c r="P16" s="3403"/>
      <c r="Q16" s="1558"/>
      <c r="R16" s="1559"/>
      <c r="S16" s="1560"/>
      <c r="T16" s="1559"/>
      <c r="U16" s="1560"/>
      <c r="V16" s="1559"/>
      <c r="W16" s="1560"/>
      <c r="X16" s="1553"/>
      <c r="Y16" s="3403"/>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403"/>
      <c r="Q17" s="1558" t="str">
        <f>B17</f>
        <v>交通便捷度</v>
      </c>
      <c r="R17" s="1559" t="s">
        <v>11</v>
      </c>
      <c r="S17" s="1560">
        <f>F17</f>
        <v>100</v>
      </c>
      <c r="T17" s="1559" t="s">
        <v>11</v>
      </c>
      <c r="U17" s="1560">
        <f>H17</f>
        <v>100</v>
      </c>
      <c r="V17" s="1559" t="s">
        <v>11</v>
      </c>
      <c r="W17" s="1560">
        <f>J17</f>
        <v>100</v>
      </c>
      <c r="X17" s="1553"/>
      <c r="Y17" s="3403"/>
      <c r="Z17" s="1561" t="str">
        <f>Q17</f>
        <v>交通便捷度</v>
      </c>
      <c r="AA17" s="1562">
        <f t="shared" si="3"/>
        <v>1</v>
      </c>
      <c r="AB17" s="1562">
        <f t="shared" si="4"/>
        <v>1</v>
      </c>
      <c r="AC17" s="1562">
        <f t="shared" si="5"/>
        <v>1</v>
      </c>
    </row>
    <row r="18" spans="1:29" ht="15">
      <c r="A18" s="532"/>
      <c r="B18" s="595"/>
      <c r="C18" s="873" t="s">
        <v>3183</v>
      </c>
      <c r="D18" s="559"/>
      <c r="E18" s="568" t="s">
        <v>3183</v>
      </c>
      <c r="F18" s="563"/>
      <c r="G18" s="569" t="s">
        <v>3183</v>
      </c>
      <c r="H18" s="555"/>
      <c r="I18" s="568" t="s">
        <v>3183</v>
      </c>
      <c r="J18" s="555"/>
      <c r="K18" s="870"/>
      <c r="L18" s="2125"/>
      <c r="M18" s="2117"/>
      <c r="N18" s="2117"/>
      <c r="O18" s="2124"/>
      <c r="P18" s="3403"/>
      <c r="Q18" s="1558"/>
      <c r="R18" s="1559"/>
      <c r="S18" s="1560"/>
      <c r="T18" s="1559"/>
      <c r="U18" s="1560"/>
      <c r="V18" s="1559"/>
      <c r="W18" s="1560"/>
      <c r="X18" s="1553"/>
      <c r="Y18" s="3403"/>
      <c r="Z18" s="1561"/>
      <c r="AA18" s="1562">
        <v>1</v>
      </c>
      <c r="AB18" s="1562">
        <v>1</v>
      </c>
      <c r="AC18" s="1562">
        <v>1</v>
      </c>
    </row>
    <row r="19" spans="1:29" ht="256.5">
      <c r="A19" s="532"/>
      <c r="B19" s="2562" t="s">
        <v>2544</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403"/>
      <c r="Q19" s="1558" t="str">
        <f>B19</f>
        <v>公共配套设施</v>
      </c>
      <c r="R19" s="1559" t="s">
        <v>11</v>
      </c>
      <c r="S19" s="1560">
        <f>F19</f>
        <v>100</v>
      </c>
      <c r="T19" s="1559" t="s">
        <v>11</v>
      </c>
      <c r="U19" s="1560">
        <f>H19</f>
        <v>96</v>
      </c>
      <c r="V19" s="1559" t="s">
        <v>11</v>
      </c>
      <c r="W19" s="1560">
        <f>J19</f>
        <v>96</v>
      </c>
      <c r="X19" s="1553"/>
      <c r="Y19" s="3403"/>
      <c r="Z19" s="1561" t="str">
        <f>Q19</f>
        <v>公共配套设施</v>
      </c>
      <c r="AA19" s="1562">
        <f t="shared" si="3"/>
        <v>1</v>
      </c>
      <c r="AB19" s="1562">
        <f t="shared" si="4"/>
        <v>1.0416666666666667</v>
      </c>
      <c r="AC19" s="1562">
        <f t="shared" si="5"/>
        <v>1.0416666666666667</v>
      </c>
    </row>
    <row r="20" spans="1:29" ht="15">
      <c r="A20" s="532"/>
      <c r="B20" s="595"/>
      <c r="C20" s="576" t="s">
        <v>3181</v>
      </c>
      <c r="D20" s="555"/>
      <c r="E20" s="556" t="s">
        <v>3181</v>
      </c>
      <c r="F20" s="557"/>
      <c r="G20" s="558" t="s">
        <v>3185</v>
      </c>
      <c r="H20" s="555"/>
      <c r="I20" s="556" t="s">
        <v>3185</v>
      </c>
      <c r="J20" s="555"/>
      <c r="K20" s="870"/>
      <c r="L20" s="2125"/>
      <c r="M20" s="2117"/>
      <c r="N20" s="2117"/>
      <c r="O20" s="2124"/>
      <c r="P20" s="3403"/>
      <c r="Q20" s="1558"/>
      <c r="R20" s="1559"/>
      <c r="S20" s="1560"/>
      <c r="T20" s="1559"/>
      <c r="U20" s="1560"/>
      <c r="V20" s="1559"/>
      <c r="W20" s="1560"/>
      <c r="X20" s="1553"/>
      <c r="Y20" s="3403"/>
      <c r="Z20" s="1561"/>
      <c r="AA20" s="1562">
        <v>1</v>
      </c>
      <c r="AB20" s="1562">
        <v>1</v>
      </c>
      <c r="AC20" s="1562">
        <v>1</v>
      </c>
    </row>
    <row r="21" spans="1:29" ht="42.75">
      <c r="A21" s="532"/>
      <c r="B21" s="255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3"/>
      <c r="Q21" s="2541" t="str">
        <f>B21</f>
        <v>基础设施水平</v>
      </c>
      <c r="R21" s="1559" t="s">
        <v>11</v>
      </c>
      <c r="S21" s="1560">
        <f>F21</f>
        <v>100</v>
      </c>
      <c r="T21" s="1559" t="s">
        <v>11</v>
      </c>
      <c r="U21" s="1560">
        <f>H21</f>
        <v>100</v>
      </c>
      <c r="V21" s="1559" t="s">
        <v>11</v>
      </c>
      <c r="W21" s="1560">
        <f>J21</f>
        <v>100</v>
      </c>
      <c r="X21" s="2543"/>
      <c r="Y21" s="3403"/>
      <c r="Z21" s="2542" t="str">
        <f>Q21</f>
        <v>基础设施水平</v>
      </c>
      <c r="AA21" s="1562">
        <f t="shared" ref="AA21" si="8">D21/F21</f>
        <v>1</v>
      </c>
      <c r="AB21" s="1562">
        <f t="shared" ref="AB21" si="9">D21/H21</f>
        <v>1</v>
      </c>
      <c r="AC21" s="1562">
        <f t="shared" ref="AC21" si="10">D21/J21</f>
        <v>1</v>
      </c>
    </row>
    <row r="22" spans="1:29" ht="15">
      <c r="A22" s="532"/>
      <c r="B22" s="922"/>
      <c r="C22" s="873" t="s">
        <v>3174</v>
      </c>
      <c r="D22" s="555"/>
      <c r="E22" s="576" t="s">
        <v>3174</v>
      </c>
      <c r="F22" s="557"/>
      <c r="G22" s="576" t="s">
        <v>3174</v>
      </c>
      <c r="H22" s="555"/>
      <c r="I22" s="576" t="s">
        <v>3174</v>
      </c>
      <c r="J22" s="555"/>
      <c r="K22" s="2561"/>
      <c r="L22" s="2125"/>
      <c r="M22" s="2117"/>
      <c r="N22" s="2117"/>
      <c r="O22" s="2124"/>
      <c r="P22" s="3403"/>
      <c r="Q22" s="2541"/>
      <c r="R22" s="1559"/>
      <c r="S22" s="1560"/>
      <c r="T22" s="1559"/>
      <c r="U22" s="1560"/>
      <c r="V22" s="1559"/>
      <c r="W22" s="1560"/>
      <c r="X22" s="2543"/>
      <c r="Y22" s="3403"/>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403"/>
      <c r="Q23" s="1558" t="str">
        <f>B23</f>
        <v>自然及人文环境</v>
      </c>
      <c r="R23" s="1559" t="s">
        <v>11</v>
      </c>
      <c r="S23" s="1560">
        <f>F23</f>
        <v>100</v>
      </c>
      <c r="T23" s="1559" t="s">
        <v>11</v>
      </c>
      <c r="U23" s="1560">
        <f>H23</f>
        <v>98</v>
      </c>
      <c r="V23" s="1559" t="s">
        <v>11</v>
      </c>
      <c r="W23" s="1560">
        <f>J23</f>
        <v>98</v>
      </c>
      <c r="X23" s="1553"/>
      <c r="Y23" s="3403"/>
      <c r="Z23" s="1561" t="str">
        <f>Q23</f>
        <v>自然及人文环境</v>
      </c>
      <c r="AA23" s="1562">
        <f t="shared" si="3"/>
        <v>1</v>
      </c>
      <c r="AB23" s="1562">
        <f t="shared" si="4"/>
        <v>1.0204081632653061</v>
      </c>
      <c r="AC23" s="1562">
        <f t="shared" si="5"/>
        <v>1.0204081632653061</v>
      </c>
    </row>
    <row r="24" spans="1:29" ht="15">
      <c r="A24" s="532"/>
      <c r="B24" s="595"/>
      <c r="C24" s="576" t="s">
        <v>3183</v>
      </c>
      <c r="D24" s="555"/>
      <c r="E24" s="556" t="s">
        <v>3183</v>
      </c>
      <c r="F24" s="557"/>
      <c r="G24" s="558" t="s">
        <v>3185</v>
      </c>
      <c r="H24" s="555"/>
      <c r="I24" s="556" t="s">
        <v>3185</v>
      </c>
      <c r="J24" s="555"/>
      <c r="K24" s="870"/>
      <c r="L24" s="2125"/>
      <c r="M24" s="2117"/>
      <c r="N24" s="2117"/>
      <c r="O24" s="2124"/>
      <c r="P24" s="3403"/>
      <c r="Q24" s="1558"/>
      <c r="R24" s="1559"/>
      <c r="S24" s="1560"/>
      <c r="T24" s="1559"/>
      <c r="U24" s="1560"/>
      <c r="V24" s="1559"/>
      <c r="W24" s="1560"/>
      <c r="X24" s="1553"/>
      <c r="Y24" s="3403"/>
      <c r="Z24" s="1561"/>
      <c r="AA24" s="1562">
        <v>1</v>
      </c>
      <c r="AB24" s="1562">
        <v>1</v>
      </c>
      <c r="AC24" s="1562">
        <v>1</v>
      </c>
    </row>
    <row r="25" spans="1:29" ht="15">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3"/>
      <c r="Q27" s="1146" t="str">
        <f t="shared" si="11"/>
        <v>道路级别</v>
      </c>
      <c r="R27" s="1554" t="s">
        <v>11</v>
      </c>
      <c r="S27" s="1555">
        <f>F27</f>
        <v>100</v>
      </c>
      <c r="T27" s="1554" t="s">
        <v>11</v>
      </c>
      <c r="U27" s="1555">
        <f>H27</f>
        <v>100</v>
      </c>
      <c r="V27" s="1554" t="s">
        <v>11</v>
      </c>
      <c r="W27" s="1555">
        <f>J27</f>
        <v>100</v>
      </c>
      <c r="X27" s="1556"/>
      <c r="Y27" s="3403"/>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60" t="s">
        <v>2753</v>
      </c>
      <c r="B32" s="172" t="s">
        <v>725</v>
      </c>
      <c r="C32" s="878" t="s">
        <v>3214</v>
      </c>
      <c r="D32" s="597">
        <v>100</v>
      </c>
      <c r="E32" s="879" t="s">
        <v>3214</v>
      </c>
      <c r="F32" s="575">
        <f>SUMIF(100:100,E32,101:101)-SUMIF(100:100,C32,101:101)+100</f>
        <v>100</v>
      </c>
      <c r="G32" s="878" t="s">
        <v>3214</v>
      </c>
      <c r="H32" s="597">
        <f>SUMIF(100:100,G32,101:101)-SUMIF(100:100,C32,101:101)+100</f>
        <v>100</v>
      </c>
      <c r="I32" s="879" t="s">
        <v>3214</v>
      </c>
      <c r="J32" s="540">
        <f>SUMIF(100:100,I32,101:101)-SUMIF(100:100,C32,101:101)+100</f>
        <v>100</v>
      </c>
      <c r="K32" s="864">
        <v>2</v>
      </c>
      <c r="L32" s="2125"/>
      <c r="M32" s="2117"/>
      <c r="N32" s="2117"/>
      <c r="O32" s="2124"/>
      <c r="P32" s="3404" t="s">
        <v>550</v>
      </c>
      <c r="Q32" s="1558" t="str">
        <f t="shared" si="11"/>
        <v>建筑类型</v>
      </c>
      <c r="R32" s="1559" t="s">
        <v>11</v>
      </c>
      <c r="S32" s="1560">
        <f t="shared" si="12"/>
        <v>100</v>
      </c>
      <c r="T32" s="1559" t="s">
        <v>11</v>
      </c>
      <c r="U32" s="1560">
        <f t="shared" si="13"/>
        <v>100</v>
      </c>
      <c r="V32" s="1559" t="s">
        <v>11</v>
      </c>
      <c r="W32" s="1560">
        <f t="shared" si="14"/>
        <v>100</v>
      </c>
      <c r="X32" s="1553"/>
      <c r="Y32" s="3405" t="s">
        <v>550</v>
      </c>
      <c r="Z32" s="1561" t="str">
        <f t="shared" si="15"/>
        <v>建筑类型</v>
      </c>
      <c r="AA32" s="1562">
        <f t="shared" si="3"/>
        <v>1</v>
      </c>
      <c r="AB32" s="1562">
        <f t="shared" si="4"/>
        <v>1</v>
      </c>
      <c r="AC32" s="1562">
        <f t="shared" si="5"/>
        <v>1</v>
      </c>
    </row>
    <row r="33" spans="1:29" s="1334" customFormat="1" ht="15">
      <c r="A33" s="603"/>
      <c r="B33" s="527" t="s">
        <v>726</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405"/>
      <c r="Q33" s="1590" t="str">
        <f t="shared" si="11"/>
        <v>项目建筑规模</v>
      </c>
      <c r="R33" s="1563" t="s">
        <v>11</v>
      </c>
      <c r="S33" s="1564">
        <f t="shared" si="12"/>
        <v>102</v>
      </c>
      <c r="T33" s="1563" t="s">
        <v>11</v>
      </c>
      <c r="U33" s="1564">
        <f t="shared" si="13"/>
        <v>104</v>
      </c>
      <c r="V33" s="1563" t="s">
        <v>11</v>
      </c>
      <c r="W33" s="1564">
        <f t="shared" si="14"/>
        <v>100</v>
      </c>
      <c r="X33" s="1565"/>
      <c r="Y33" s="3405"/>
      <c r="Z33" s="1566" t="str">
        <f t="shared" si="15"/>
        <v>项目建筑规模</v>
      </c>
      <c r="AA33" s="1562">
        <f t="shared" si="3"/>
        <v>0.98039215686274506</v>
      </c>
      <c r="AB33" s="1562">
        <f t="shared" si="4"/>
        <v>0.96153846153846156</v>
      </c>
      <c r="AC33" s="1562">
        <f t="shared" si="5"/>
        <v>1</v>
      </c>
    </row>
    <row r="34" spans="1:29" ht="15">
      <c r="A34" s="594"/>
      <c r="B34" s="527" t="s">
        <v>727</v>
      </c>
      <c r="C34" s="881" t="s">
        <v>3217</v>
      </c>
      <c r="D34" s="540">
        <v>100</v>
      </c>
      <c r="E34" s="882" t="s">
        <v>3217</v>
      </c>
      <c r="F34" s="575">
        <f>SUMIF(105:105,E34,106:106)-SUMIF(105:105,C34,106:106)+100</f>
        <v>100</v>
      </c>
      <c r="G34" s="881" t="s">
        <v>3217</v>
      </c>
      <c r="H34" s="540">
        <f>SUMIF(105:105,G34,106:106)-SUMIF(105:105,C34,106:106)+100</f>
        <v>100</v>
      </c>
      <c r="I34" s="882" t="s">
        <v>3217</v>
      </c>
      <c r="J34" s="540">
        <f>SUMIF(105:105,I34,106:106)-SUMIF(105:105,C34,106:106)+100</f>
        <v>100</v>
      </c>
      <c r="K34" s="864">
        <v>2</v>
      </c>
      <c r="L34" s="2125"/>
      <c r="M34" s="2117"/>
      <c r="N34" s="2117"/>
      <c r="O34" s="2124"/>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4"/>
      <c r="B35" s="527" t="s">
        <v>728</v>
      </c>
      <c r="C35" s="599" t="s">
        <v>3222</v>
      </c>
      <c r="D35" s="540">
        <v>100</v>
      </c>
      <c r="E35" s="874" t="s">
        <v>3220</v>
      </c>
      <c r="F35" s="575">
        <f>SUMIF(107:107,E35,108:108)-SUMIF(107:107,C35,108:108)+100</f>
        <v>102</v>
      </c>
      <c r="G35" s="599" t="s">
        <v>3222</v>
      </c>
      <c r="H35" s="540">
        <f>SUMIF(107:107,G35,108:108)-SUMIF(107:107,C35,108:108)+100</f>
        <v>100</v>
      </c>
      <c r="I35" s="874" t="s">
        <v>3222</v>
      </c>
      <c r="J35" s="540">
        <f>SUMIF(107:107,I35,108:108)-SUMIF(107:107,C35,108:108)+100</f>
        <v>100</v>
      </c>
      <c r="K35" s="864">
        <v>2</v>
      </c>
      <c r="L35" s="2125"/>
      <c r="M35" s="2117"/>
      <c r="N35" s="2117"/>
      <c r="O35" s="2124"/>
      <c r="P35" s="3405"/>
      <c r="Q35" s="1558" t="str">
        <f t="shared" si="11"/>
        <v>建筑品质</v>
      </c>
      <c r="R35" s="1559" t="s">
        <v>11</v>
      </c>
      <c r="S35" s="1560">
        <f t="shared" si="12"/>
        <v>102</v>
      </c>
      <c r="T35" s="1559" t="s">
        <v>11</v>
      </c>
      <c r="U35" s="1560">
        <f t="shared" si="13"/>
        <v>100</v>
      </c>
      <c r="V35" s="1559" t="s">
        <v>11</v>
      </c>
      <c r="W35" s="1560">
        <f t="shared" si="14"/>
        <v>100</v>
      </c>
      <c r="X35" s="1553"/>
      <c r="Y35" s="3405"/>
      <c r="Z35" s="1561" t="str">
        <f t="shared" si="15"/>
        <v>建筑品质</v>
      </c>
      <c r="AA35" s="1562">
        <f t="shared" si="3"/>
        <v>0.98039215686274506</v>
      </c>
      <c r="AB35" s="1562">
        <f t="shared" si="4"/>
        <v>1</v>
      </c>
      <c r="AC35" s="1562">
        <f t="shared" si="5"/>
        <v>1</v>
      </c>
    </row>
    <row r="36" spans="1:29" ht="15">
      <c r="A36" s="594"/>
      <c r="B36" s="527" t="s">
        <v>729</v>
      </c>
      <c r="C36" s="599" t="s">
        <v>3224</v>
      </c>
      <c r="D36" s="540">
        <v>100</v>
      </c>
      <c r="E36" s="874" t="s">
        <v>3224</v>
      </c>
      <c r="F36" s="575">
        <f>SUMIF(109:109,E36,110:110)-SUMIF(109:109,C36,110:110)+100</f>
        <v>100</v>
      </c>
      <c r="G36" s="599" t="s">
        <v>3224</v>
      </c>
      <c r="H36" s="540">
        <f>SUMIF(109:109,G36,110:110)-SUMIF(109:109,C36,110:110)+100</f>
        <v>100</v>
      </c>
      <c r="I36" s="874" t="s">
        <v>3224</v>
      </c>
      <c r="J36" s="540">
        <f>SUMIF(109:109,I36,110:110)-SUMIF(109:109,C36,110:110)+100</f>
        <v>100</v>
      </c>
      <c r="K36" s="864">
        <v>2</v>
      </c>
      <c r="L36" s="2125"/>
      <c r="M36" s="2117"/>
      <c r="N36" s="2117"/>
      <c r="O36" s="2124"/>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5"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05"/>
      <c r="Q37" s="1146" t="str">
        <f t="shared" si="11"/>
        <v>成新度</v>
      </c>
      <c r="R37" s="1554" t="s">
        <v>11</v>
      </c>
      <c r="S37" s="1555">
        <f t="shared" si="12"/>
        <v>100</v>
      </c>
      <c r="T37" s="1554" t="s">
        <v>11</v>
      </c>
      <c r="U37" s="1555">
        <f t="shared" si="13"/>
        <v>100</v>
      </c>
      <c r="V37" s="1554" t="s">
        <v>11</v>
      </c>
      <c r="W37" s="1555">
        <f t="shared" si="14"/>
        <v>100</v>
      </c>
      <c r="X37" s="1556"/>
      <c r="Y37" s="3405"/>
      <c r="Z37" s="1145" t="str">
        <f t="shared" si="15"/>
        <v>成新度</v>
      </c>
      <c r="AA37" s="1557">
        <f t="shared" si="3"/>
        <v>1</v>
      </c>
      <c r="AB37" s="1557">
        <f t="shared" si="4"/>
        <v>1</v>
      </c>
      <c r="AC37" s="1557">
        <f t="shared" si="5"/>
        <v>1</v>
      </c>
    </row>
    <row r="38" spans="1:29" ht="15">
      <c r="A38" s="594"/>
      <c r="B38" s="527" t="s">
        <v>731</v>
      </c>
      <c r="C38" s="599" t="s">
        <v>3233</v>
      </c>
      <c r="D38" s="540">
        <v>100</v>
      </c>
      <c r="E38" s="874" t="s">
        <v>3231</v>
      </c>
      <c r="F38" s="575">
        <f>SUMIF(114:114,E38,115:115)-SUMIF(114:114,C38,115:115)+100</f>
        <v>102</v>
      </c>
      <c r="G38" s="599" t="s">
        <v>3233</v>
      </c>
      <c r="H38" s="540">
        <f>SUMIF(114:114,G38,115:115)-SUMIF(114:114,C38,115:115)+100</f>
        <v>100</v>
      </c>
      <c r="I38" s="874" t="s">
        <v>3233</v>
      </c>
      <c r="J38" s="540">
        <f>SUMIF(114:114,I38,115:115)-SUMIF(114:114,C38,115:115)+100</f>
        <v>100</v>
      </c>
      <c r="K38" s="864">
        <v>2</v>
      </c>
      <c r="L38" s="2125"/>
      <c r="M38" s="2117"/>
      <c r="N38" s="2117"/>
      <c r="O38" s="2124"/>
      <c r="P38" s="3405" t="s">
        <v>550</v>
      </c>
      <c r="Q38" s="1558" t="str">
        <f t="shared" si="11"/>
        <v>物业管理</v>
      </c>
      <c r="R38" s="1559" t="s">
        <v>11</v>
      </c>
      <c r="S38" s="1560">
        <f t="shared" si="12"/>
        <v>102</v>
      </c>
      <c r="T38" s="1559" t="s">
        <v>11</v>
      </c>
      <c r="U38" s="1560">
        <f t="shared" si="13"/>
        <v>100</v>
      </c>
      <c r="V38" s="1559" t="s">
        <v>11</v>
      </c>
      <c r="W38" s="1560">
        <f t="shared" si="14"/>
        <v>100</v>
      </c>
      <c r="X38" s="1553"/>
      <c r="Y38" s="3405" t="s">
        <v>550</v>
      </c>
      <c r="Z38" s="1561" t="str">
        <f t="shared" si="15"/>
        <v>物业管理</v>
      </c>
      <c r="AA38" s="1562">
        <f t="shared" si="3"/>
        <v>0.98039215686274506</v>
      </c>
      <c r="AB38" s="1562">
        <f t="shared" si="4"/>
        <v>1</v>
      </c>
      <c r="AC38" s="1562">
        <f t="shared" si="5"/>
        <v>1</v>
      </c>
    </row>
    <row r="39" spans="1:29" ht="15">
      <c r="A39" s="594"/>
      <c r="B39" s="1878" t="s">
        <v>2562</v>
      </c>
      <c r="C39" s="599" t="s">
        <v>3174</v>
      </c>
      <c r="D39" s="540">
        <v>100</v>
      </c>
      <c r="E39" s="874" t="s">
        <v>3174</v>
      </c>
      <c r="F39" s="575">
        <f>SUMIF(116:116,E39,117:117)-SUMIF(116:116,C39,117:117)+100</f>
        <v>100</v>
      </c>
      <c r="G39" s="599" t="s">
        <v>3174</v>
      </c>
      <c r="H39" s="540">
        <f>SUMIF(116:116,G39,117:117)-SUMIF(116:116,C39,117:117)+100</f>
        <v>100</v>
      </c>
      <c r="I39" s="874" t="s">
        <v>3174</v>
      </c>
      <c r="J39" s="540">
        <f>SUMIF(116:116,I39,117:117)-SUMIF(116:116,C39,117:117)+100</f>
        <v>100</v>
      </c>
      <c r="K39" s="864">
        <v>2</v>
      </c>
      <c r="L39" s="2125"/>
      <c r="M39" s="2117"/>
      <c r="N39" s="2117"/>
      <c r="O39" s="2124"/>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05"/>
      <c r="Q40" s="1558" t="str">
        <f t="shared" si="11"/>
        <v>房型</v>
      </c>
      <c r="R40" s="1559" t="s">
        <v>11</v>
      </c>
      <c r="S40" s="1560">
        <f t="shared" si="12"/>
        <v>100</v>
      </c>
      <c r="T40" s="1559" t="s">
        <v>11</v>
      </c>
      <c r="U40" s="1560">
        <f t="shared" si="13"/>
        <v>100</v>
      </c>
      <c r="V40" s="1559" t="s">
        <v>11</v>
      </c>
      <c r="W40" s="1560">
        <f t="shared" si="14"/>
        <v>100</v>
      </c>
      <c r="X40" s="1553"/>
      <c r="Y40" s="3405"/>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
      <c r="A42" s="594"/>
      <c r="B42" s="527" t="s">
        <v>734</v>
      </c>
      <c r="C42" s="599" t="s">
        <v>3229</v>
      </c>
      <c r="D42" s="540">
        <v>100</v>
      </c>
      <c r="E42" s="874" t="s">
        <v>3224</v>
      </c>
      <c r="F42" s="575">
        <f>SUMIF(122:122,E42,123:123)-SUMIF(122:122,C42,123:123)+100</f>
        <v>118</v>
      </c>
      <c r="G42" s="599" t="s">
        <v>3229</v>
      </c>
      <c r="H42" s="540">
        <f>SUMIF(122:122,G42,123:123)-SUMIF(122:122,C42,123:123)+100</f>
        <v>100</v>
      </c>
      <c r="I42" s="874" t="s">
        <v>3224</v>
      </c>
      <c r="J42" s="540">
        <f>SUMIF(122:122,I42,123:123)-SUMIF(122:122,C42,123:123)+100</f>
        <v>118</v>
      </c>
      <c r="K42" s="864">
        <v>6</v>
      </c>
      <c r="L42" s="2125"/>
      <c r="M42" s="2117"/>
      <c r="N42" s="2117"/>
      <c r="O42" s="2124"/>
      <c r="P42" s="3405"/>
      <c r="Q42" s="1558" t="str">
        <f t="shared" si="11"/>
        <v>内部装修</v>
      </c>
      <c r="R42" s="1559" t="s">
        <v>11</v>
      </c>
      <c r="S42" s="1560">
        <f t="shared" si="12"/>
        <v>118</v>
      </c>
      <c r="T42" s="1559" t="s">
        <v>11</v>
      </c>
      <c r="U42" s="1560">
        <f t="shared" si="13"/>
        <v>100</v>
      </c>
      <c r="V42" s="1559" t="s">
        <v>11</v>
      </c>
      <c r="W42" s="1560">
        <f t="shared" si="14"/>
        <v>118</v>
      </c>
      <c r="X42" s="1553"/>
      <c r="Y42" s="3405"/>
      <c r="Z42" s="1561" t="str">
        <f t="shared" si="15"/>
        <v>内部装修</v>
      </c>
      <c r="AA42" s="1562">
        <f t="shared" si="3"/>
        <v>0.84745762711864403</v>
      </c>
      <c r="AB42" s="1562">
        <f t="shared" si="4"/>
        <v>1</v>
      </c>
      <c r="AC42" s="1562">
        <f t="shared" si="5"/>
        <v>0.84745762711864403</v>
      </c>
    </row>
    <row r="43" spans="1:29" ht="27">
      <c r="A43" s="594"/>
      <c r="B43" s="527" t="s">
        <v>735</v>
      </c>
      <c r="C43" s="599" t="s">
        <v>3181</v>
      </c>
      <c r="D43" s="540">
        <v>100</v>
      </c>
      <c r="E43" s="874" t="s">
        <v>3181</v>
      </c>
      <c r="F43" s="575">
        <f>SUMIF(124:124,E43,125:125)-SUMIF(124:124,C43,125:125)+100</f>
        <v>100</v>
      </c>
      <c r="G43" s="599" t="s">
        <v>3181</v>
      </c>
      <c r="H43" s="540">
        <f>SUMIF(124:124,G43,125:125)-SUMIF(124:124,C43,125:125)+100</f>
        <v>100</v>
      </c>
      <c r="I43" s="874" t="s">
        <v>3181</v>
      </c>
      <c r="J43" s="540">
        <f>SUMIF(124:124,I43,125:125)-SUMIF(124:124,C43,125:125)+100</f>
        <v>100</v>
      </c>
      <c r="K43" s="864">
        <v>2</v>
      </c>
      <c r="L43" s="2125"/>
      <c r="M43" s="2117"/>
      <c r="N43" s="2117"/>
      <c r="O43" s="2124"/>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05"/>
      <c r="Q44" s="1146">
        <f t="shared" si="11"/>
        <v>111</v>
      </c>
      <c r="R44" s="1554" t="s">
        <v>11</v>
      </c>
      <c r="S44" s="1555">
        <f t="shared" si="12"/>
        <v>100</v>
      </c>
      <c r="T44" s="1554" t="s">
        <v>11</v>
      </c>
      <c r="U44" s="1555">
        <f t="shared" si="13"/>
        <v>100</v>
      </c>
      <c r="V44" s="1554" t="s">
        <v>11</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05"/>
      <c r="Q45" s="1558">
        <f t="shared" si="11"/>
        <v>111</v>
      </c>
      <c r="R45" s="1559" t="s">
        <v>11</v>
      </c>
      <c r="S45" s="1560">
        <f t="shared" si="12"/>
        <v>100</v>
      </c>
      <c r="T45" s="1559" t="s">
        <v>11</v>
      </c>
      <c r="U45" s="1560">
        <f t="shared" si="13"/>
        <v>100</v>
      </c>
      <c r="V45" s="1559" t="s">
        <v>11</v>
      </c>
      <c r="W45" s="1560">
        <f t="shared" si="14"/>
        <v>100</v>
      </c>
      <c r="X45" s="1553"/>
      <c r="Y45" s="340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6"/>
      <c r="Q46" s="1558">
        <f t="shared" si="11"/>
        <v>111</v>
      </c>
      <c r="R46" s="1559" t="s">
        <v>10</v>
      </c>
      <c r="S46" s="1560">
        <f t="shared" si="12"/>
        <v>100</v>
      </c>
      <c r="T46" s="1559" t="s">
        <v>10</v>
      </c>
      <c r="U46" s="1560">
        <f t="shared" si="13"/>
        <v>100</v>
      </c>
      <c r="V46" s="1559" t="s">
        <v>10</v>
      </c>
      <c r="W46" s="1560">
        <f t="shared" si="14"/>
        <v>100</v>
      </c>
      <c r="X46" s="1553"/>
      <c r="Y46" s="3486"/>
      <c r="Z46" s="1561">
        <f t="shared" si="15"/>
        <v>111</v>
      </c>
      <c r="AA46" s="1562">
        <f t="shared" si="3"/>
        <v>1</v>
      </c>
      <c r="AB46" s="1562">
        <f t="shared" si="4"/>
        <v>1</v>
      </c>
      <c r="AC46" s="1562">
        <f t="shared" si="5"/>
        <v>1</v>
      </c>
    </row>
    <row r="47" spans="1:29" ht="15">
      <c r="A47" s="607" t="s">
        <v>736</v>
      </c>
      <c r="B47" s="887"/>
      <c r="C47" s="2589" t="s">
        <v>9</v>
      </c>
      <c r="D47" s="2590"/>
      <c r="E47" s="2591">
        <v>6500</v>
      </c>
      <c r="F47" s="2592"/>
      <c r="G47" s="2593">
        <v>5100</v>
      </c>
      <c r="H47" s="2594"/>
      <c r="I47" s="2591">
        <v>5100</v>
      </c>
      <c r="J47" s="2594"/>
      <c r="K47" s="1591"/>
      <c r="L47" s="2127"/>
      <c r="M47" s="2128"/>
      <c r="N47" s="2117"/>
      <c r="O47" s="2128"/>
      <c r="P47" s="3368" t="str">
        <f>A47</f>
        <v>成交单价（元/平方米）</v>
      </c>
      <c r="Q47" s="3368"/>
      <c r="R47" s="3485">
        <f>E47</f>
        <v>6500</v>
      </c>
      <c r="S47" s="3485"/>
      <c r="T47" s="3485">
        <f>G47</f>
        <v>5100</v>
      </c>
      <c r="U47" s="3485"/>
      <c r="V47" s="3485">
        <f>I47</f>
        <v>5100</v>
      </c>
      <c r="W47" s="3485"/>
      <c r="X47" s="1545"/>
      <c r="Y47" s="1567"/>
      <c r="Z47" s="1545"/>
      <c r="AA47" s="1545"/>
      <c r="AB47" s="1545"/>
      <c r="AC47" s="1545"/>
    </row>
    <row r="48" spans="1:29" ht="15.75" thickBot="1">
      <c r="A48" s="615" t="s">
        <v>2758</v>
      </c>
      <c r="B48" s="888"/>
      <c r="C48" s="2595">
        <f>R49</f>
        <v>4999</v>
      </c>
      <c r="D48" s="2596"/>
      <c r="E48" s="2597">
        <f>R48</f>
        <v>5191</v>
      </c>
      <c r="F48" s="2597"/>
      <c r="G48" s="2595">
        <f>T48</f>
        <v>5212</v>
      </c>
      <c r="H48" s="2596"/>
      <c r="I48" s="2597">
        <f>V48</f>
        <v>4594</v>
      </c>
      <c r="J48" s="2596"/>
      <c r="K48" s="1592"/>
      <c r="L48" s="2127"/>
      <c r="M48" s="2128"/>
      <c r="N48" s="2128"/>
      <c r="O48" s="2128"/>
      <c r="P48" s="3368" t="str">
        <f>A48</f>
        <v>比较价格（元/平方米）</v>
      </c>
      <c r="Q48" s="3368"/>
      <c r="R48" s="3485">
        <f>IF(F1="售价",ROUND(PRODUCT(R47,AA7:AA46),0),ROUND(PRODUCT(R47,AA7:AA46),1))</f>
        <v>5191</v>
      </c>
      <c r="S48" s="3485"/>
      <c r="T48" s="3485">
        <f>IF(F1="售价",ROUND(PRODUCT(T47,AB7:AB46),0),ROUND(PRODUCT(T47,AB7:AB46),1))</f>
        <v>5212</v>
      </c>
      <c r="U48" s="3485"/>
      <c r="V48" s="3485">
        <f>IF(F1="售价",ROUND(PRODUCT(V47,AC7:AC46),0),ROUND(PRODUCT(V47,AC7:AC46),1))</f>
        <v>4594</v>
      </c>
      <c r="W48" s="3485"/>
      <c r="X48" s="1545"/>
      <c r="Y48" s="1545"/>
      <c r="Z48" s="1545"/>
      <c r="AA48" s="1545"/>
      <c r="AB48" s="1545"/>
      <c r="AC48" s="1545"/>
    </row>
    <row r="49" spans="1:29" ht="15.75" thickBot="1">
      <c r="A49" s="621" t="s">
        <v>2926</v>
      </c>
      <c r="B49" s="622"/>
      <c r="C49" s="2598">
        <f>R49</f>
        <v>4999</v>
      </c>
      <c r="D49" s="2598"/>
      <c r="E49" s="2598"/>
      <c r="F49" s="2598"/>
      <c r="G49" s="2598"/>
      <c r="H49" s="2598"/>
      <c r="I49" s="2598"/>
      <c r="J49" s="2598"/>
      <c r="K49" s="1593"/>
      <c r="L49" s="2127"/>
      <c r="M49" s="2128"/>
      <c r="N49" s="2128"/>
      <c r="O49" s="2128"/>
      <c r="P49" s="3365" t="str">
        <f>A49</f>
        <v>估价对象XX用房的比较价格（楼面单价，元/平方米）</v>
      </c>
      <c r="Q49" s="3366"/>
      <c r="R49" s="3484">
        <f>IF(F1="售价",ROUND(AVERAGE(R48:V48),0),ROUND(AVERAGE(R48:V48),1))</f>
        <v>4999</v>
      </c>
      <c r="S49" s="3484"/>
      <c r="T49" s="3484"/>
      <c r="U49" s="3484"/>
      <c r="V49" s="3484"/>
      <c r="W49" s="3484"/>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0.252167212483144</v>
      </c>
      <c r="F52" s="627" t="str">
        <f>IF(OR(E52&gt;=0.3,E52&lt;=-0.3),"超过30%","")</f>
        <v/>
      </c>
      <c r="G52" s="626">
        <f>IF(G47&lt;G48,G48/G47-1,G47/G48-1)</f>
        <v>2.1960784313725501E-2</v>
      </c>
      <c r="H52" s="627" t="str">
        <f>IF(OR(G52&gt;=0.3,G52&lt;=-0.3),"超过30%","")</f>
        <v/>
      </c>
      <c r="I52" s="626">
        <f>IF(I47&lt;I48,I48/I47-1,I47/I48-1)</f>
        <v>0.11014366565084899</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4.0454633018687236E-3</v>
      </c>
      <c r="F53" s="627" t="str">
        <f>IF(OR(E53&gt;=0.2,E53&lt;=-0.2),"超过20%","")</f>
        <v/>
      </c>
      <c r="G53" s="626">
        <f>IF(G48&lt;I48,I48/G48-1,G48/I48-1)</f>
        <v>0.13452329124945583</v>
      </c>
      <c r="H53" s="627" t="str">
        <f>IF(OR(G53&gt;=0.2,G53&lt;=-0.2),"超过20%","")</f>
        <v/>
      </c>
      <c r="I53" s="626">
        <f>IF(I48&lt;E48,E48/I48-1,I48/E48-1)</f>
        <v>0.12995211144971708</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2255</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82" t="s">
        <v>3213</v>
      </c>
      <c r="D100" s="3182" t="s">
        <v>3215</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3" t="s">
        <v>3216</v>
      </c>
      <c r="D105" s="3183" t="s">
        <v>3218</v>
      </c>
      <c r="E105" s="3184" t="s">
        <v>3219</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4" t="s">
        <v>3221</v>
      </c>
      <c r="D107" s="3184" t="s">
        <v>3223</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83" t="s">
        <v>3225</v>
      </c>
      <c r="D109" s="3183" t="s">
        <v>3226</v>
      </c>
      <c r="E109" s="3183" t="s">
        <v>3228</v>
      </c>
      <c r="F109" s="3184" t="s">
        <v>3230</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83" t="s">
        <v>3232</v>
      </c>
      <c r="D114" s="3183" t="s">
        <v>3234</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83" t="s">
        <v>3235</v>
      </c>
      <c r="D116" s="3183" t="s">
        <v>3236</v>
      </c>
      <c r="E116" s="3183" t="s">
        <v>3237</v>
      </c>
      <c r="F116" s="3183" t="s">
        <v>3238</v>
      </c>
      <c r="G116" s="3183" t="s">
        <v>3239</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3" t="s">
        <v>3225</v>
      </c>
      <c r="D122" s="3183" t="s">
        <v>3226</v>
      </c>
      <c r="E122" s="3183" t="s">
        <v>3228</v>
      </c>
      <c r="F122" s="3184" t="s">
        <v>3230</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94</v>
      </c>
      <c r="E123" s="679">
        <f t="shared" si="29"/>
        <v>88</v>
      </c>
      <c r="F123" s="679">
        <f t="shared" si="29"/>
        <v>82</v>
      </c>
      <c r="G123" s="679">
        <f t="shared" si="29"/>
        <v>76</v>
      </c>
      <c r="H123" s="679">
        <f t="shared" si="29"/>
        <v>70</v>
      </c>
      <c r="I123" s="679">
        <f t="shared" si="29"/>
        <v>64</v>
      </c>
      <c r="J123" s="679">
        <f t="shared" si="29"/>
        <v>58</v>
      </c>
      <c r="K123" s="679">
        <f t="shared" si="29"/>
        <v>52</v>
      </c>
      <c r="L123" s="679">
        <f t="shared" si="29"/>
        <v>46</v>
      </c>
      <c r="M123" s="679">
        <f t="shared" si="29"/>
        <v>40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L43" sqref="L4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t="s">
        <v>3005</v>
      </c>
      <c r="E1" s="506"/>
      <c r="F1" s="2760" t="s">
        <v>3212</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519</v>
      </c>
      <c r="B3" s="510">
        <f>C49</f>
        <v>17138</v>
      </c>
      <c r="C3" s="852" t="s">
        <v>722</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521</v>
      </c>
      <c r="B4" s="513"/>
      <c r="C4" s="3374" t="s">
        <v>522</v>
      </c>
      <c r="D4" s="3375"/>
      <c r="E4" s="3408" t="s">
        <v>523</v>
      </c>
      <c r="F4" s="3409"/>
      <c r="G4" s="3374" t="s">
        <v>524</v>
      </c>
      <c r="H4" s="3375"/>
      <c r="I4" s="3374" t="s">
        <v>525</v>
      </c>
      <c r="J4" s="3375"/>
      <c r="K4" s="514" t="s">
        <v>526</v>
      </c>
      <c r="L4" s="2116"/>
      <c r="M4" s="2117"/>
      <c r="N4" s="2117"/>
      <c r="O4" s="2117"/>
      <c r="P4" s="3376" t="s">
        <v>527</v>
      </c>
      <c r="Q4" s="3377"/>
      <c r="R4" s="3382" t="s">
        <v>523</v>
      </c>
      <c r="S4" s="3383"/>
      <c r="T4" s="3382" t="s">
        <v>524</v>
      </c>
      <c r="U4" s="3383"/>
      <c r="V4" s="3369" t="s">
        <v>525</v>
      </c>
      <c r="W4" s="3369"/>
      <c r="X4" s="1553"/>
      <c r="Y4" s="3382" t="s">
        <v>527</v>
      </c>
      <c r="Z4" s="3383"/>
      <c r="AA4" s="3371" t="s">
        <v>523</v>
      </c>
      <c r="AB4" s="3369" t="s">
        <v>524</v>
      </c>
      <c r="AC4" s="3371" t="s">
        <v>525</v>
      </c>
    </row>
    <row r="5" spans="1:29" ht="15">
      <c r="A5" s="515"/>
      <c r="B5" s="516"/>
      <c r="C5" s="3390" t="s">
        <v>2920</v>
      </c>
      <c r="D5" s="3391"/>
      <c r="E5" s="3488" t="s">
        <v>3290</v>
      </c>
      <c r="F5" s="3411"/>
      <c r="G5" s="3487" t="s">
        <v>3291</v>
      </c>
      <c r="H5" s="3391"/>
      <c r="I5" s="3487" t="s">
        <v>3292</v>
      </c>
      <c r="J5" s="3391"/>
      <c r="K5" s="514"/>
      <c r="L5" s="2116"/>
      <c r="M5" s="2117"/>
      <c r="N5" s="2117"/>
      <c r="O5" s="2117"/>
      <c r="P5" s="3378"/>
      <c r="Q5" s="3379"/>
      <c r="R5" s="3384"/>
      <c r="S5" s="3385"/>
      <c r="T5" s="3384"/>
      <c r="U5" s="3385"/>
      <c r="V5" s="3369"/>
      <c r="W5" s="3369"/>
      <c r="X5" s="1553"/>
      <c r="Y5" s="3384"/>
      <c r="Z5" s="3385"/>
      <c r="AA5" s="3372"/>
      <c r="AB5" s="3369"/>
      <c r="AC5" s="3372"/>
    </row>
    <row r="6" spans="1:29" ht="15.75" thickBot="1">
      <c r="A6" s="517"/>
      <c r="B6" s="518"/>
      <c r="C6" s="3388" t="s">
        <v>2924</v>
      </c>
      <c r="D6" s="3389"/>
      <c r="E6" s="3406" t="s">
        <v>2924</v>
      </c>
      <c r="F6" s="3407"/>
      <c r="G6" s="3388" t="s">
        <v>2924</v>
      </c>
      <c r="H6" s="3389"/>
      <c r="I6" s="3388" t="s">
        <v>2924</v>
      </c>
      <c r="J6" s="3389"/>
      <c r="K6" s="514" t="s">
        <v>528</v>
      </c>
      <c r="L6" s="2116"/>
      <c r="M6" s="2117"/>
      <c r="N6" s="2117"/>
      <c r="O6" s="2117"/>
      <c r="P6" s="3380"/>
      <c r="Q6" s="3381"/>
      <c r="R6" s="3384"/>
      <c r="S6" s="3385"/>
      <c r="T6" s="3386"/>
      <c r="U6" s="3387"/>
      <c r="V6" s="3369"/>
      <c r="W6" s="3369"/>
      <c r="X6" s="1553"/>
      <c r="Y6" s="3386"/>
      <c r="Z6" s="3387"/>
      <c r="AA6" s="3373"/>
      <c r="AB6" s="3369"/>
      <c r="AC6" s="3373"/>
    </row>
    <row r="7" spans="1:29" s="1215" customFormat="1" ht="15.75" thickBot="1">
      <c r="A7" s="2865"/>
      <c r="B7" s="2872" t="s">
        <v>529</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399" t="s">
        <v>530</v>
      </c>
      <c r="Q7" s="3401"/>
      <c r="R7" s="1554" t="s">
        <v>8</v>
      </c>
      <c r="S7" s="1555">
        <f t="shared" ref="S7:S15" si="0">F7</f>
        <v>100</v>
      </c>
      <c r="T7" s="1554" t="s">
        <v>8</v>
      </c>
      <c r="U7" s="1555">
        <f t="shared" ref="U7:U15" si="1">H7</f>
        <v>100</v>
      </c>
      <c r="V7" s="1554" t="s">
        <v>8</v>
      </c>
      <c r="W7" s="1555">
        <f t="shared" ref="W7:W15" si="2">J7</f>
        <v>100</v>
      </c>
      <c r="X7" s="1556"/>
      <c r="Y7" s="3399" t="s">
        <v>530</v>
      </c>
      <c r="Z7" s="3400"/>
      <c r="AA7" s="1557">
        <f>D7/F7</f>
        <v>1</v>
      </c>
      <c r="AB7" s="1557">
        <f>D7/H7</f>
        <v>1</v>
      </c>
      <c r="AC7" s="1557">
        <f>D7/J7</f>
        <v>1</v>
      </c>
    </row>
    <row r="8" spans="1:29" s="1215" customFormat="1" ht="15.75" thickBot="1">
      <c r="A8" s="2866"/>
      <c r="B8" s="2873" t="s">
        <v>531</v>
      </c>
      <c r="C8" s="525" t="s">
        <v>576</v>
      </c>
      <c r="D8" s="520">
        <v>100</v>
      </c>
      <c r="E8" s="525" t="s">
        <v>3189</v>
      </c>
      <c r="F8" s="522">
        <f>SUMIF(61:61,E8,62:62)-SUMIF(61:61,C8,62:62)+100</f>
        <v>100</v>
      </c>
      <c r="G8" s="525" t="s">
        <v>3189</v>
      </c>
      <c r="H8" s="520">
        <f>SUMIF(61:61,G8,62:62)-SUMIF(61:61,C8,62:62)+100</f>
        <v>100</v>
      </c>
      <c r="I8" s="525" t="s">
        <v>3189</v>
      </c>
      <c r="J8" s="520">
        <f>SUMIF(61:61,I8,62:62)-SUMIF(61:61,C8,62:62)+100</f>
        <v>100</v>
      </c>
      <c r="K8" s="524"/>
      <c r="L8" s="2118"/>
      <c r="M8" s="2119"/>
      <c r="N8" s="2119"/>
      <c r="O8" s="2119"/>
      <c r="P8" s="3399" t="s">
        <v>533</v>
      </c>
      <c r="Q8" s="3400"/>
      <c r="R8" s="1554" t="s">
        <v>8</v>
      </c>
      <c r="S8" s="1555">
        <f t="shared" si="0"/>
        <v>100</v>
      </c>
      <c r="T8" s="1554" t="s">
        <v>8</v>
      </c>
      <c r="U8" s="1555">
        <f t="shared" si="1"/>
        <v>100</v>
      </c>
      <c r="V8" s="1554" t="s">
        <v>8</v>
      </c>
      <c r="W8" s="1555">
        <f t="shared" si="2"/>
        <v>100</v>
      </c>
      <c r="X8" s="1556"/>
      <c r="Y8" s="3399" t="s">
        <v>533</v>
      </c>
      <c r="Z8" s="3400"/>
      <c r="AA8" s="1557">
        <f t="shared" ref="AA8:AA46" si="3">D8/F8</f>
        <v>1</v>
      </c>
      <c r="AB8" s="1557">
        <f t="shared" ref="AB8:AB46" si="4">D8/H8</f>
        <v>1</v>
      </c>
      <c r="AC8" s="1557">
        <f t="shared" ref="AC8:AC46" si="5">D8/J8</f>
        <v>1</v>
      </c>
    </row>
    <row r="9" spans="1:29" s="1215" customFormat="1" ht="15">
      <c r="A9" s="2867"/>
      <c r="B9" s="2874" t="s">
        <v>2754</v>
      </c>
      <c r="C9" s="3194" t="s">
        <v>3287</v>
      </c>
      <c r="D9" s="254">
        <v>100</v>
      </c>
      <c r="E9" s="860" t="s">
        <v>3005</v>
      </c>
      <c r="F9" s="254">
        <f>SUMIF(63:63,E9,64:64)-SUMIF(63:63,C9,64:64)+100</f>
        <v>100</v>
      </c>
      <c r="G9" s="858" t="s">
        <v>3005</v>
      </c>
      <c r="H9" s="254">
        <f>SUMIF(63:63,G9,64:64)-SUMIF(63:63,C9,64:64)+100</f>
        <v>100</v>
      </c>
      <c r="I9" s="858" t="s">
        <v>3005</v>
      </c>
      <c r="J9" s="254">
        <f>SUMIF(63:63,I9,64:64)-SUMIF(63:63,C9,64:64)+100</f>
        <v>100</v>
      </c>
      <c r="K9" s="524"/>
      <c r="L9" s="2118"/>
      <c r="M9" s="2119"/>
      <c r="N9" s="2119"/>
      <c r="O9" s="2120"/>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8"/>
      <c r="B10" s="2873" t="s">
        <v>2755</v>
      </c>
      <c r="C10" s="861" t="s">
        <v>3288</v>
      </c>
      <c r="D10" s="255">
        <v>100</v>
      </c>
      <c r="E10" s="861" t="s">
        <v>3289</v>
      </c>
      <c r="F10" s="255">
        <f>SUMIF(65:65,E10,66:66)-SUMIF(65:65,C10,66:66)+100</f>
        <v>97</v>
      </c>
      <c r="G10" s="862" t="s">
        <v>3289</v>
      </c>
      <c r="H10" s="255">
        <f>SUMIF(65:65,G10,66:66)-SUMIF(65:65,C10,66:66)+100</f>
        <v>97</v>
      </c>
      <c r="I10" s="861" t="s">
        <v>3289</v>
      </c>
      <c r="J10" s="255">
        <f>SUMIF(65:65,I10,66:66)-SUMIF(65:65,C10,66:66)+100</f>
        <v>97</v>
      </c>
      <c r="K10" s="584">
        <v>3</v>
      </c>
      <c r="L10" s="2121"/>
      <c r="M10" s="2161"/>
      <c r="N10" s="2161"/>
      <c r="O10" s="2122"/>
      <c r="P10" s="3368"/>
      <c r="Q10" s="1146" t="str">
        <f t="shared" si="6"/>
        <v>土地使用年限（年）</v>
      </c>
      <c r="R10" s="1554" t="s">
        <v>8</v>
      </c>
      <c r="S10" s="1555">
        <f t="shared" si="0"/>
        <v>97</v>
      </c>
      <c r="T10" s="1554" t="s">
        <v>8</v>
      </c>
      <c r="U10" s="1555">
        <f t="shared" si="1"/>
        <v>97</v>
      </c>
      <c r="V10" s="1554" t="s">
        <v>8</v>
      </c>
      <c r="W10" s="1555">
        <f t="shared" si="2"/>
        <v>97</v>
      </c>
      <c r="X10" s="1556"/>
      <c r="Y10" s="3314"/>
      <c r="Z10" s="1145" t="str">
        <f t="shared" si="7"/>
        <v>土地使用年限（年）</v>
      </c>
      <c r="AA10" s="1557">
        <f t="shared" si="3"/>
        <v>1.0309278350515463</v>
      </c>
      <c r="AB10" s="1557">
        <f t="shared" si="4"/>
        <v>1.0309278350515463</v>
      </c>
      <c r="AC10" s="1557">
        <f t="shared" si="5"/>
        <v>1.0309278350515463</v>
      </c>
    </row>
    <row r="11" spans="1:29" ht="15">
      <c r="A11" s="2869"/>
      <c r="B11" s="2873" t="s">
        <v>2756</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68"/>
      <c r="Q11" s="1146" t="str">
        <f t="shared" si="6"/>
        <v>容积率</v>
      </c>
      <c r="R11" s="1554" t="s">
        <v>8</v>
      </c>
      <c r="S11" s="1555">
        <f t="shared" si="0"/>
        <v>100</v>
      </c>
      <c r="T11" s="1554" t="s">
        <v>8</v>
      </c>
      <c r="U11" s="1555">
        <f t="shared" si="1"/>
        <v>100</v>
      </c>
      <c r="V11" s="1554" t="s">
        <v>8</v>
      </c>
      <c r="W11" s="1555">
        <f t="shared" si="2"/>
        <v>100</v>
      </c>
      <c r="X11" s="1556"/>
      <c r="Y11" s="3314"/>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71.25">
      <c r="A15" s="2863" t="s">
        <v>2752</v>
      </c>
      <c r="B15" s="166" t="s">
        <v>541</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02" t="s">
        <v>540</v>
      </c>
      <c r="Q15" s="1558" t="str">
        <f t="shared" si="6"/>
        <v>商业繁华度</v>
      </c>
      <c r="R15" s="1559" t="s">
        <v>8</v>
      </c>
      <c r="S15" s="1560">
        <f t="shared" si="0"/>
        <v>106</v>
      </c>
      <c r="T15" s="1559" t="s">
        <v>8</v>
      </c>
      <c r="U15" s="1560">
        <f t="shared" si="1"/>
        <v>106</v>
      </c>
      <c r="V15" s="1559" t="s">
        <v>8</v>
      </c>
      <c r="W15" s="1560">
        <f t="shared" si="2"/>
        <v>106</v>
      </c>
      <c r="X15" s="1553"/>
      <c r="Y15" s="3402" t="s">
        <v>540</v>
      </c>
      <c r="Z15" s="1561" t="str">
        <f t="shared" si="7"/>
        <v>商业繁华度</v>
      </c>
      <c r="AA15" s="1562">
        <f t="shared" si="3"/>
        <v>0.94339622641509435</v>
      </c>
      <c r="AB15" s="1562">
        <f t="shared" si="4"/>
        <v>0.94339622641509435</v>
      </c>
      <c r="AC15" s="1562">
        <f t="shared" si="5"/>
        <v>0.94339622641509435</v>
      </c>
    </row>
    <row r="16" spans="1:29" ht="15">
      <c r="A16" s="532"/>
      <c r="B16" s="869"/>
      <c r="C16" s="576" t="s">
        <v>3185</v>
      </c>
      <c r="D16" s="555"/>
      <c r="E16" s="576" t="s">
        <v>3181</v>
      </c>
      <c r="F16" s="557"/>
      <c r="G16" s="576" t="s">
        <v>3181</v>
      </c>
      <c r="H16" s="559"/>
      <c r="I16" s="576" t="s">
        <v>3181</v>
      </c>
      <c r="J16" s="555"/>
      <c r="K16" s="899"/>
      <c r="L16" s="2125"/>
      <c r="M16" s="2117"/>
      <c r="N16" s="2117"/>
      <c r="O16" s="2124"/>
      <c r="P16" s="3403"/>
      <c r="Q16" s="1558"/>
      <c r="R16" s="1559"/>
      <c r="S16" s="1560"/>
      <c r="T16" s="1559"/>
      <c r="U16" s="1560"/>
      <c r="V16" s="1559"/>
      <c r="W16" s="1560"/>
      <c r="X16" s="1553"/>
      <c r="Y16" s="3403"/>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03"/>
      <c r="Q17" s="1558" t="str">
        <f>B17</f>
        <v>交通便捷度</v>
      </c>
      <c r="R17" s="1559" t="s">
        <v>8</v>
      </c>
      <c r="S17" s="1560">
        <f>F17</f>
        <v>103</v>
      </c>
      <c r="T17" s="1559" t="s">
        <v>8</v>
      </c>
      <c r="U17" s="1560">
        <f>H17</f>
        <v>103</v>
      </c>
      <c r="V17" s="1559" t="s">
        <v>8</v>
      </c>
      <c r="W17" s="1560">
        <f>J17</f>
        <v>103</v>
      </c>
      <c r="X17" s="1553"/>
      <c r="Y17" s="3403"/>
      <c r="Z17" s="1561" t="str">
        <f>Q17</f>
        <v>交通便捷度</v>
      </c>
      <c r="AA17" s="1562">
        <f t="shared" si="3"/>
        <v>0.970873786407767</v>
      </c>
      <c r="AB17" s="1562">
        <f t="shared" si="4"/>
        <v>0.970873786407767</v>
      </c>
      <c r="AC17" s="1562">
        <f t="shared" si="5"/>
        <v>0.970873786407767</v>
      </c>
    </row>
    <row r="18" spans="1:29" ht="15">
      <c r="A18" s="532"/>
      <c r="B18" s="595"/>
      <c r="C18" s="873" t="s">
        <v>3183</v>
      </c>
      <c r="D18" s="559"/>
      <c r="E18" s="568" t="s">
        <v>3181</v>
      </c>
      <c r="F18" s="563"/>
      <c r="G18" s="569" t="s">
        <v>3181</v>
      </c>
      <c r="H18" s="555"/>
      <c r="I18" s="568" t="s">
        <v>3181</v>
      </c>
      <c r="J18" s="555"/>
      <c r="K18" s="899"/>
      <c r="L18" s="2125"/>
      <c r="M18" s="2117"/>
      <c r="N18" s="2117"/>
      <c r="O18" s="2124"/>
      <c r="P18" s="3403"/>
      <c r="Q18" s="1558"/>
      <c r="R18" s="1559"/>
      <c r="S18" s="1560"/>
      <c r="T18" s="1559"/>
      <c r="U18" s="1560"/>
      <c r="V18" s="1559"/>
      <c r="W18" s="1560"/>
      <c r="X18" s="1553"/>
      <c r="Y18" s="3403"/>
      <c r="Z18" s="1561"/>
      <c r="AA18" s="1562">
        <v>1</v>
      </c>
      <c r="AB18" s="1562">
        <v>1</v>
      </c>
      <c r="AC18" s="1562">
        <v>1</v>
      </c>
    </row>
    <row r="19" spans="1:29" ht="256.5">
      <c r="A19" s="532"/>
      <c r="B19" s="2562" t="s">
        <v>2544</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95"/>
      <c r="C20" s="576" t="s">
        <v>3181</v>
      </c>
      <c r="D20" s="555"/>
      <c r="E20" s="556" t="s">
        <v>3181</v>
      </c>
      <c r="F20" s="557"/>
      <c r="G20" s="558" t="s">
        <v>3181</v>
      </c>
      <c r="H20" s="555"/>
      <c r="I20" s="556" t="s">
        <v>3181</v>
      </c>
      <c r="J20" s="555"/>
      <c r="K20" s="899"/>
      <c r="L20" s="2125"/>
      <c r="M20" s="2117"/>
      <c r="N20" s="2117"/>
      <c r="O20" s="2124"/>
      <c r="P20" s="3403"/>
      <c r="Q20" s="1558"/>
      <c r="R20" s="1559"/>
      <c r="S20" s="1560"/>
      <c r="T20" s="1559"/>
      <c r="U20" s="1560"/>
      <c r="V20" s="1559"/>
      <c r="W20" s="1560"/>
      <c r="X20" s="1553"/>
      <c r="Y20" s="3403"/>
      <c r="Z20" s="1561"/>
      <c r="AA20" s="1562">
        <v>1</v>
      </c>
      <c r="AB20" s="1562">
        <v>1</v>
      </c>
      <c r="AC20" s="1562">
        <v>1</v>
      </c>
    </row>
    <row r="21" spans="1:29" ht="42.75">
      <c r="A21" s="532"/>
      <c r="B21" s="255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03"/>
      <c r="Q21" s="2541" t="str">
        <f>B21</f>
        <v>基础设施水平</v>
      </c>
      <c r="R21" s="1559" t="s">
        <v>8</v>
      </c>
      <c r="S21" s="1560">
        <f>F21</f>
        <v>100</v>
      </c>
      <c r="T21" s="1559" t="s">
        <v>8</v>
      </c>
      <c r="U21" s="1560">
        <f>H21</f>
        <v>100</v>
      </c>
      <c r="V21" s="1559" t="s">
        <v>8</v>
      </c>
      <c r="W21" s="1560">
        <f>J21</f>
        <v>100</v>
      </c>
      <c r="X21" s="2543"/>
      <c r="Y21" s="3403"/>
      <c r="Z21" s="2542" t="str">
        <f>Q21</f>
        <v>基础设施水平</v>
      </c>
      <c r="AA21" s="1562">
        <f t="shared" ref="AA21" si="8">D21/F21</f>
        <v>1</v>
      </c>
      <c r="AB21" s="1562">
        <f t="shared" ref="AB21" si="9">D21/H21</f>
        <v>1</v>
      </c>
      <c r="AC21" s="1562">
        <f t="shared" ref="AC21" si="10">D21/J21</f>
        <v>1</v>
      </c>
    </row>
    <row r="22" spans="1:29" ht="15">
      <c r="A22" s="532"/>
      <c r="B22" s="922"/>
      <c r="C22" s="873" t="s">
        <v>3174</v>
      </c>
      <c r="D22" s="555"/>
      <c r="E22" s="576" t="s">
        <v>3174</v>
      </c>
      <c r="F22" s="557"/>
      <c r="G22" s="576" t="s">
        <v>3174</v>
      </c>
      <c r="H22" s="555"/>
      <c r="I22" s="576" t="s">
        <v>3174</v>
      </c>
      <c r="J22" s="555"/>
      <c r="K22" s="2564"/>
      <c r="L22" s="2125"/>
      <c r="M22" s="2117"/>
      <c r="N22" s="2117"/>
      <c r="O22" s="2124"/>
      <c r="P22" s="3403"/>
      <c r="Q22" s="2541"/>
      <c r="R22" s="1559"/>
      <c r="S22" s="1560"/>
      <c r="T22" s="1559"/>
      <c r="U22" s="1560"/>
      <c r="V22" s="1559"/>
      <c r="W22" s="1560"/>
      <c r="X22" s="2543"/>
      <c r="Y22" s="3403"/>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2"/>
      <c r="B24" s="595"/>
      <c r="C24" s="576" t="s">
        <v>3183</v>
      </c>
      <c r="D24" s="555"/>
      <c r="E24" s="556" t="s">
        <v>3183</v>
      </c>
      <c r="F24" s="557"/>
      <c r="G24" s="558" t="s">
        <v>3183</v>
      </c>
      <c r="H24" s="555"/>
      <c r="I24" s="556" t="s">
        <v>3183</v>
      </c>
      <c r="J24" s="555"/>
      <c r="K24" s="899"/>
      <c r="L24" s="2125"/>
      <c r="M24" s="2117"/>
      <c r="N24" s="2117"/>
      <c r="O24" s="2124"/>
      <c r="P24" s="3403"/>
      <c r="Q24" s="1558"/>
      <c r="R24" s="1559"/>
      <c r="S24" s="1560"/>
      <c r="T24" s="1559"/>
      <c r="U24" s="1560"/>
      <c r="V24" s="1559"/>
      <c r="W24" s="1560"/>
      <c r="X24" s="1553"/>
      <c r="Y24" s="3403"/>
      <c r="Z24" s="1561"/>
      <c r="AA24" s="1562">
        <v>1</v>
      </c>
      <c r="AB24" s="1562">
        <v>1</v>
      </c>
      <c r="AC24" s="1562">
        <v>1</v>
      </c>
    </row>
    <row r="25" spans="1:29" ht="15">
      <c r="A25" s="532"/>
      <c r="B25" s="527" t="s">
        <v>547</v>
      </c>
      <c r="C25" s="583" t="s">
        <v>3246</v>
      </c>
      <c r="D25" s="540">
        <v>100</v>
      </c>
      <c r="E25" s="583" t="s">
        <v>3246</v>
      </c>
      <c r="F25" s="575">
        <f>SUMIF(86:86,E25,87:87)-SUMIF(86:86,C25,87:87)+100</f>
        <v>100</v>
      </c>
      <c r="G25" s="583" t="s">
        <v>3246</v>
      </c>
      <c r="H25" s="540">
        <f>SUMIF(86:86,G25,87:87)-SUMIF(86:86,C25,87:87)+100</f>
        <v>100</v>
      </c>
      <c r="I25" s="583" t="s">
        <v>3246</v>
      </c>
      <c r="J25" s="540">
        <f>SUMIF(86:86,I25,87:87)-SUMIF(86:86,C25,87:87)+100</f>
        <v>100</v>
      </c>
      <c r="K25" s="584">
        <v>2</v>
      </c>
      <c r="L25" s="2125"/>
      <c r="M25" s="2117"/>
      <c r="N25" s="2117"/>
      <c r="O25" s="2124"/>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2"/>
      <c r="B26" s="877" t="s">
        <v>758</v>
      </c>
      <c r="C26" s="3196" t="s">
        <v>3251</v>
      </c>
      <c r="D26" s="540">
        <v>100</v>
      </c>
      <c r="E26" s="3196" t="s">
        <v>3251</v>
      </c>
      <c r="F26" s="575">
        <f>SUMIF(88:88,E26,89:89)-SUMIF(88:88,C26,89:89)+100</f>
        <v>100</v>
      </c>
      <c r="G26" s="3196" t="s">
        <v>3285</v>
      </c>
      <c r="H26" s="540">
        <f>SUMIF(88:88,G26,89:89)-SUMIF(88:88,C26,89:89)+100</f>
        <v>102</v>
      </c>
      <c r="I26" s="3196" t="s">
        <v>3285</v>
      </c>
      <c r="J26" s="540">
        <f>SUMIF(88:88,I26,89:89)-SUMIF(88:88,C26,89:89)+100</f>
        <v>102</v>
      </c>
      <c r="K26" s="581"/>
      <c r="L26" s="2125"/>
      <c r="M26" s="2117"/>
      <c r="N26" s="2117"/>
      <c r="O26" s="2124"/>
      <c r="P26" s="3403"/>
      <c r="Q26" s="1558" t="str">
        <f t="shared" si="11"/>
        <v>平面位置/可视性</v>
      </c>
      <c r="R26" s="1559" t="s">
        <v>8</v>
      </c>
      <c r="S26" s="1560">
        <f>F26</f>
        <v>100</v>
      </c>
      <c r="T26" s="1559" t="s">
        <v>8</v>
      </c>
      <c r="U26" s="1560">
        <f>H26</f>
        <v>102</v>
      </c>
      <c r="V26" s="1559" t="s">
        <v>8</v>
      </c>
      <c r="W26" s="1560">
        <f>J26</f>
        <v>102</v>
      </c>
      <c r="X26" s="1553"/>
      <c r="Y26" s="3403"/>
      <c r="Z26" s="1561" t="str">
        <f>Q26</f>
        <v>平面位置/可视性</v>
      </c>
      <c r="AA26" s="1562">
        <f t="shared" si="3"/>
        <v>1</v>
      </c>
      <c r="AB26" s="1562">
        <f t="shared" si="4"/>
        <v>0.98039215686274506</v>
      </c>
      <c r="AC26" s="1562">
        <f t="shared" si="5"/>
        <v>0.98039215686274506</v>
      </c>
    </row>
    <row r="27" spans="1:29" s="1215" customFormat="1" ht="15">
      <c r="A27" s="536"/>
      <c r="B27" s="871" t="s">
        <v>759</v>
      </c>
      <c r="C27" s="901" t="s">
        <v>3183</v>
      </c>
      <c r="D27" s="875">
        <v>100</v>
      </c>
      <c r="E27" s="901" t="s">
        <v>3181</v>
      </c>
      <c r="F27" s="876">
        <f>SUMIF(90:90,E27,91:91)-SUMIF(90:90,C27,91:91)+100</f>
        <v>102</v>
      </c>
      <c r="G27" s="901" t="s">
        <v>3181</v>
      </c>
      <c r="H27" s="875">
        <f>SUMIF(90:90,G27,91:91)-SUMIF(90:90,C27,91:91)+100</f>
        <v>102</v>
      </c>
      <c r="I27" s="901" t="s">
        <v>3181</v>
      </c>
      <c r="J27" s="875">
        <f>SUMIF(90:90,I27,91:91)-SUMIF(90:90,C27,91:91)+100</f>
        <v>102</v>
      </c>
      <c r="K27" s="584">
        <v>2</v>
      </c>
      <c r="L27" s="2118"/>
      <c r="M27" s="2119"/>
      <c r="N27" s="2119"/>
      <c r="O27" s="2120"/>
      <c r="P27" s="3403"/>
      <c r="Q27" s="1146" t="str">
        <f t="shared" si="11"/>
        <v>人流量</v>
      </c>
      <c r="R27" s="1554" t="s">
        <v>8</v>
      </c>
      <c r="S27" s="1555">
        <f>F27</f>
        <v>102</v>
      </c>
      <c r="T27" s="1554" t="s">
        <v>8</v>
      </c>
      <c r="U27" s="1555">
        <f>H27</f>
        <v>102</v>
      </c>
      <c r="V27" s="1554" t="s">
        <v>8</v>
      </c>
      <c r="W27" s="1555">
        <f>J27</f>
        <v>102</v>
      </c>
      <c r="X27" s="1556"/>
      <c r="Y27" s="3403"/>
      <c r="Z27" s="1145" t="str">
        <f>Q27</f>
        <v>人流量</v>
      </c>
      <c r="AA27" s="1562">
        <f>D27/F27</f>
        <v>0.98039215686274506</v>
      </c>
      <c r="AB27" s="1562">
        <f>D27/H27</f>
        <v>0.98039215686274506</v>
      </c>
      <c r="AC27" s="1562">
        <f>D27/J27</f>
        <v>0.98039215686274506</v>
      </c>
    </row>
    <row r="28" spans="1:29" ht="15">
      <c r="A28" s="532"/>
      <c r="B28" s="527" t="s">
        <v>761</v>
      </c>
      <c r="C28" s="583" t="s">
        <v>3286</v>
      </c>
      <c r="D28" s="540">
        <v>100</v>
      </c>
      <c r="E28" s="583" t="s">
        <v>3286</v>
      </c>
      <c r="F28" s="575">
        <f>SUMIF(92:92,E28,93:93)-SUMIF(92:92,C28,93:93)+100</f>
        <v>100</v>
      </c>
      <c r="G28" s="583" t="s">
        <v>3286</v>
      </c>
      <c r="H28" s="540">
        <f>SUMIF(92:92,G28,93:93)-SUMIF(92:92,C28,93:93)+100</f>
        <v>100</v>
      </c>
      <c r="I28" s="583" t="s">
        <v>3286</v>
      </c>
      <c r="J28" s="540">
        <f>SUMIF(92:92,I28,93:93)-SUMIF(92:92,C28,93:93)+100</f>
        <v>100</v>
      </c>
      <c r="K28" s="581"/>
      <c r="L28" s="2125"/>
      <c r="M28" s="2117"/>
      <c r="N28" s="2117"/>
      <c r="O28" s="2124"/>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60" t="s">
        <v>2753</v>
      </c>
      <c r="B32" s="172" t="s">
        <v>762</v>
      </c>
      <c r="C32" s="878" t="s">
        <v>3261</v>
      </c>
      <c r="D32" s="597">
        <v>100</v>
      </c>
      <c r="E32" s="878" t="s">
        <v>3261</v>
      </c>
      <c r="F32" s="575">
        <f>SUMIF(100:100,E32,101:101)-SUMIF(100:100,C32,101:101)+100</f>
        <v>100</v>
      </c>
      <c r="G32" s="878" t="s">
        <v>3258</v>
      </c>
      <c r="H32" s="540">
        <f>SUMIF(100:100,G32,101:101)-SUMIF(100:100,C32,101:101)+100</f>
        <v>104</v>
      </c>
      <c r="I32" s="878" t="s">
        <v>3258</v>
      </c>
      <c r="J32" s="597">
        <f>SUMIF(100:100,I32,101:101)-SUMIF(100:100,C32,101:101)+100</f>
        <v>104</v>
      </c>
      <c r="K32" s="584">
        <v>2</v>
      </c>
      <c r="L32" s="2125"/>
      <c r="M32" s="2117"/>
      <c r="N32" s="2117"/>
      <c r="O32" s="2124"/>
      <c r="P32" s="3404" t="s">
        <v>550</v>
      </c>
      <c r="Q32" s="1558" t="str">
        <f t="shared" si="11"/>
        <v>商业类型</v>
      </c>
      <c r="R32" s="1559" t="s">
        <v>8</v>
      </c>
      <c r="S32" s="1560">
        <f t="shared" si="12"/>
        <v>100</v>
      </c>
      <c r="T32" s="1559" t="s">
        <v>8</v>
      </c>
      <c r="U32" s="1560">
        <f t="shared" si="13"/>
        <v>104</v>
      </c>
      <c r="V32" s="1559" t="s">
        <v>8</v>
      </c>
      <c r="W32" s="1560">
        <f t="shared" si="14"/>
        <v>104</v>
      </c>
      <c r="X32" s="1553"/>
      <c r="Y32" s="3405" t="s">
        <v>550</v>
      </c>
      <c r="Z32" s="1561" t="str">
        <f t="shared" si="15"/>
        <v>商业类型</v>
      </c>
      <c r="AA32" s="1562">
        <f t="shared" si="3"/>
        <v>1</v>
      </c>
      <c r="AB32" s="1562">
        <f t="shared" si="4"/>
        <v>0.96153846153846156</v>
      </c>
      <c r="AC32" s="1562">
        <f t="shared" si="5"/>
        <v>0.96153846153846156</v>
      </c>
    </row>
    <row r="33" spans="1:29" s="1334"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05"/>
      <c r="Q33" s="1590" t="str">
        <f t="shared" si="11"/>
        <v>项目建筑规模</v>
      </c>
      <c r="R33" s="1563" t="s">
        <v>8</v>
      </c>
      <c r="S33" s="1564">
        <f t="shared" si="12"/>
        <v>100</v>
      </c>
      <c r="T33" s="1563" t="s">
        <v>8</v>
      </c>
      <c r="U33" s="1564">
        <f t="shared" si="13"/>
        <v>100</v>
      </c>
      <c r="V33" s="1563" t="s">
        <v>8</v>
      </c>
      <c r="W33" s="1564">
        <f t="shared" si="14"/>
        <v>100</v>
      </c>
      <c r="X33" s="1565"/>
      <c r="Y33" s="3405"/>
      <c r="Z33" s="1566" t="str">
        <f t="shared" si="15"/>
        <v>项目建筑规模</v>
      </c>
      <c r="AA33" s="1562">
        <f t="shared" si="3"/>
        <v>1</v>
      </c>
      <c r="AB33" s="1562">
        <f t="shared" si="4"/>
        <v>1</v>
      </c>
      <c r="AC33" s="1562">
        <f t="shared" si="5"/>
        <v>1</v>
      </c>
    </row>
    <row r="34" spans="1:29" ht="15">
      <c r="A34" s="594"/>
      <c r="B34" s="527" t="s">
        <v>727</v>
      </c>
      <c r="C34" s="881" t="s">
        <v>3217</v>
      </c>
      <c r="D34" s="540">
        <v>100</v>
      </c>
      <c r="E34" s="882" t="s">
        <v>3217</v>
      </c>
      <c r="F34" s="575">
        <f>SUMIF(105:105,E34,106:106)-SUMIF(105:105,C34,106:106)+100</f>
        <v>100</v>
      </c>
      <c r="G34" s="881" t="s">
        <v>3217</v>
      </c>
      <c r="H34" s="540">
        <f>SUMIF(105:105,G34,106:106)-SUMIF(105:105,C34,106:106)+100</f>
        <v>100</v>
      </c>
      <c r="I34" s="881" t="s">
        <v>3217</v>
      </c>
      <c r="J34" s="540">
        <f>SUMIF(105:105,I34,106:106)-SUMIF(105:105,C34,106:106)+100</f>
        <v>100</v>
      </c>
      <c r="K34" s="584">
        <v>2</v>
      </c>
      <c r="L34" s="2125"/>
      <c r="M34" s="2117"/>
      <c r="N34" s="2117"/>
      <c r="O34" s="2124"/>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4"/>
      <c r="B35" s="527" t="s">
        <v>763</v>
      </c>
      <c r="C35" s="599" t="s">
        <v>3224</v>
      </c>
      <c r="D35" s="540">
        <v>100</v>
      </c>
      <c r="E35" s="599" t="s">
        <v>3224</v>
      </c>
      <c r="F35" s="575">
        <f>SUMIF(107:107,E35,108:108)-SUMIF(107:107,C35,108:108)+100</f>
        <v>100</v>
      </c>
      <c r="G35" s="599" t="s">
        <v>3224</v>
      </c>
      <c r="H35" s="540">
        <f>SUMIF(107:107,G35,108:108)-SUMIF(107:107,C35,108:108)+100</f>
        <v>100</v>
      </c>
      <c r="I35" s="599" t="s">
        <v>3224</v>
      </c>
      <c r="J35" s="540">
        <f>SUMIF(107:107,I35,108:108)-SUMIF(107:107,C35,108:108)+100</f>
        <v>100</v>
      </c>
      <c r="K35" s="584">
        <v>2</v>
      </c>
      <c r="L35" s="2125"/>
      <c r="M35" s="2117"/>
      <c r="N35" s="2117"/>
      <c r="O35" s="2124"/>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4"/>
      <c r="B36" s="527" t="s">
        <v>764</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05"/>
      <c r="Q36" s="1558" t="str">
        <f t="shared" si="11"/>
        <v>成新度</v>
      </c>
      <c r="R36" s="1559" t="s">
        <v>8</v>
      </c>
      <c r="S36" s="1560">
        <f t="shared" si="12"/>
        <v>99</v>
      </c>
      <c r="T36" s="1559" t="s">
        <v>8</v>
      </c>
      <c r="U36" s="1560">
        <f t="shared" si="13"/>
        <v>99</v>
      </c>
      <c r="V36" s="1559" t="s">
        <v>8</v>
      </c>
      <c r="W36" s="1560">
        <f t="shared" si="14"/>
        <v>99</v>
      </c>
      <c r="X36" s="1553"/>
      <c r="Y36" s="3405"/>
      <c r="Z36" s="1561" t="str">
        <f t="shared" si="15"/>
        <v>成新度</v>
      </c>
      <c r="AA36" s="1562">
        <f t="shared" si="3"/>
        <v>1.0101010101010102</v>
      </c>
      <c r="AB36" s="1562">
        <f t="shared" si="4"/>
        <v>1.0101010101010102</v>
      </c>
      <c r="AC36" s="1562">
        <f t="shared" si="5"/>
        <v>1.0101010101010102</v>
      </c>
    </row>
    <row r="37" spans="1:29" s="1215" customFormat="1" ht="15">
      <c r="A37" s="600"/>
      <c r="B37" s="1878" t="s">
        <v>2563</v>
      </c>
      <c r="C37" s="599" t="s">
        <v>3174</v>
      </c>
      <c r="D37" s="255">
        <v>100</v>
      </c>
      <c r="E37" s="599" t="s">
        <v>3174</v>
      </c>
      <c r="F37" s="575">
        <f>SUMIF(112:112,E37,113:113)-SUMIF(112:112,C37,113:113)+100</f>
        <v>100</v>
      </c>
      <c r="G37" s="599" t="s">
        <v>3174</v>
      </c>
      <c r="H37" s="540">
        <f>SUMIF(112:112,G37,113:113)-SUMIF(112:112,C37,113:113)+100</f>
        <v>100</v>
      </c>
      <c r="I37" s="599" t="s">
        <v>3174</v>
      </c>
      <c r="J37" s="540">
        <f>SUMIF(112:112,I37,113:113)-SUMIF(112:112,C37,113:113)+100</f>
        <v>100</v>
      </c>
      <c r="K37" s="584">
        <v>2</v>
      </c>
      <c r="L37" s="2118"/>
      <c r="M37" s="2119"/>
      <c r="N37" s="2119"/>
      <c r="O37" s="2120"/>
      <c r="P37" s="3405"/>
      <c r="Q37" s="1146" t="str">
        <f t="shared" si="11"/>
        <v>市政基础设施</v>
      </c>
      <c r="R37" s="1554" t="s">
        <v>8</v>
      </c>
      <c r="S37" s="1555">
        <f t="shared" si="12"/>
        <v>100</v>
      </c>
      <c r="T37" s="1554" t="s">
        <v>8</v>
      </c>
      <c r="U37" s="1555">
        <f t="shared" si="13"/>
        <v>100</v>
      </c>
      <c r="V37" s="1554" t="s">
        <v>8</v>
      </c>
      <c r="W37" s="1555">
        <f t="shared" si="14"/>
        <v>100</v>
      </c>
      <c r="X37" s="1556"/>
      <c r="Y37" s="3405"/>
      <c r="Z37" s="1145" t="str">
        <f t="shared" si="15"/>
        <v>市政基础设施</v>
      </c>
      <c r="AA37" s="1557">
        <f t="shared" si="3"/>
        <v>1</v>
      </c>
      <c r="AB37" s="1557">
        <f t="shared" si="4"/>
        <v>1</v>
      </c>
      <c r="AC37" s="1557">
        <f t="shared" si="5"/>
        <v>1</v>
      </c>
    </row>
    <row r="38" spans="1:29" ht="15">
      <c r="A38" s="594"/>
      <c r="B38" s="527" t="s">
        <v>765</v>
      </c>
      <c r="C38" s="599" t="s">
        <v>3275</v>
      </c>
      <c r="D38" s="540">
        <v>100</v>
      </c>
      <c r="E38" s="599" t="s">
        <v>3275</v>
      </c>
      <c r="F38" s="575">
        <f>SUMIF(114:114,E38,115:115)-SUMIF(114:114,C38,115:115)+100</f>
        <v>100</v>
      </c>
      <c r="G38" s="599" t="s">
        <v>3275</v>
      </c>
      <c r="H38" s="540">
        <f>SUMIF(114:114,G38,115:115)-SUMIF(114:114,C38,115:115)+100</f>
        <v>100</v>
      </c>
      <c r="I38" s="599" t="s">
        <v>3275</v>
      </c>
      <c r="J38" s="540">
        <f>SUMIF(114:114,I38,115:115)-SUMIF(114:114,C38,115:115)+100</f>
        <v>100</v>
      </c>
      <c r="K38" s="584">
        <v>2</v>
      </c>
      <c r="L38" s="2125"/>
      <c r="M38" s="2117"/>
      <c r="N38" s="2117"/>
      <c r="O38" s="2124"/>
      <c r="P38" s="3405" t="s">
        <v>766</v>
      </c>
      <c r="Q38" s="1558" t="str">
        <f t="shared" si="11"/>
        <v>业态</v>
      </c>
      <c r="R38" s="1559" t="s">
        <v>8</v>
      </c>
      <c r="S38" s="1560">
        <f t="shared" si="12"/>
        <v>100</v>
      </c>
      <c r="T38" s="1559" t="s">
        <v>8</v>
      </c>
      <c r="U38" s="1560">
        <f t="shared" si="13"/>
        <v>100</v>
      </c>
      <c r="V38" s="1559" t="s">
        <v>8</v>
      </c>
      <c r="W38" s="1560">
        <f t="shared" si="14"/>
        <v>100</v>
      </c>
      <c r="X38" s="1553"/>
      <c r="Y38" s="3405" t="s">
        <v>766</v>
      </c>
      <c r="Z38" s="1561" t="str">
        <f t="shared" si="15"/>
        <v>业态</v>
      </c>
      <c r="AA38" s="1562">
        <f t="shared" si="3"/>
        <v>1</v>
      </c>
      <c r="AB38" s="1562">
        <f t="shared" si="4"/>
        <v>1</v>
      </c>
      <c r="AC38" s="1562">
        <f t="shared" si="5"/>
        <v>1</v>
      </c>
    </row>
    <row r="39" spans="1:29" ht="15">
      <c r="A39" s="594"/>
      <c r="B39" s="527" t="s">
        <v>767</v>
      </c>
      <c r="C39" s="599" t="s">
        <v>3279</v>
      </c>
      <c r="D39" s="540">
        <v>100</v>
      </c>
      <c r="E39" s="599" t="s">
        <v>3279</v>
      </c>
      <c r="F39" s="575">
        <f>SUMIF(116:116,E39,117:117)-SUMIF(116:116,C39,117:117)+100</f>
        <v>100</v>
      </c>
      <c r="G39" s="599" t="s">
        <v>3279</v>
      </c>
      <c r="H39" s="540">
        <f>SUMIF(116:116,G39,117:117)-SUMIF(116:116,C39,117:117)+100</f>
        <v>100</v>
      </c>
      <c r="I39" s="599" t="s">
        <v>3279</v>
      </c>
      <c r="J39" s="540">
        <f>SUMIF(116:116,I39,117:117)-SUMIF(116:116,C39,117:117)+100</f>
        <v>100</v>
      </c>
      <c r="K39" s="584">
        <v>2</v>
      </c>
      <c r="L39" s="2125"/>
      <c r="M39" s="2117"/>
      <c r="N39" s="2117"/>
      <c r="O39" s="2124"/>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4" customFormat="1" ht="15">
      <c r="A41" s="603"/>
      <c r="B41" s="904" t="s">
        <v>769</v>
      </c>
      <c r="C41" s="583" t="s">
        <v>3169</v>
      </c>
      <c r="D41" s="540">
        <v>100</v>
      </c>
      <c r="E41" s="583" t="s">
        <v>3169</v>
      </c>
      <c r="F41" s="575">
        <f>SUMIF(120:120,E41,121:121)-SUMIF(120:120,C41,121:121)+100</f>
        <v>100</v>
      </c>
      <c r="G41" s="583" t="s">
        <v>3169</v>
      </c>
      <c r="H41" s="540">
        <f>SUMIF(120:120,G41,121:121)-SUMIF(120:120,C41,121:121)+100</f>
        <v>100</v>
      </c>
      <c r="I41" s="583" t="s">
        <v>3169</v>
      </c>
      <c r="J41" s="540">
        <f>SUMIF(120:120,I41,121:121)-SUMIF(120:120,C41,121:121)+100</f>
        <v>100</v>
      </c>
      <c r="K41" s="584">
        <v>2</v>
      </c>
      <c r="L41" s="2123"/>
      <c r="M41" s="2154"/>
      <c r="N41" s="2154"/>
      <c r="O41" s="2126"/>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4"/>
      <c r="B42" s="527" t="s">
        <v>770</v>
      </c>
      <c r="C42" s="599" t="s">
        <v>3229</v>
      </c>
      <c r="D42" s="540">
        <v>100</v>
      </c>
      <c r="E42" s="599" t="s">
        <v>3229</v>
      </c>
      <c r="F42" s="575">
        <f>SUMIF(122:122,E42,123:123)-SUMIF(122:122,C42,123:123)+100</f>
        <v>100</v>
      </c>
      <c r="G42" s="599" t="s">
        <v>3227</v>
      </c>
      <c r="H42" s="540">
        <f>SUMIF(122:122,G42,123:123)-SUMIF(122:122,C42,123:123)+100</f>
        <v>103</v>
      </c>
      <c r="I42" s="599" t="s">
        <v>3227</v>
      </c>
      <c r="J42" s="540">
        <f>SUMIF(122:122,I42,123:123)-SUMIF(122:122,C42,123:123)+100</f>
        <v>103</v>
      </c>
      <c r="K42" s="584">
        <v>3</v>
      </c>
      <c r="L42" s="2125"/>
      <c r="M42" s="2117"/>
      <c r="N42" s="2117"/>
      <c r="O42" s="2124"/>
      <c r="P42" s="3405"/>
      <c r="Q42" s="1558" t="str">
        <f t="shared" si="11"/>
        <v>内部装修</v>
      </c>
      <c r="R42" s="1559" t="s">
        <v>8</v>
      </c>
      <c r="S42" s="1560">
        <f t="shared" si="12"/>
        <v>100</v>
      </c>
      <c r="T42" s="1559" t="s">
        <v>8</v>
      </c>
      <c r="U42" s="1560">
        <f t="shared" si="13"/>
        <v>103</v>
      </c>
      <c r="V42" s="1559" t="s">
        <v>8</v>
      </c>
      <c r="W42" s="1560">
        <f t="shared" si="14"/>
        <v>103</v>
      </c>
      <c r="X42" s="1553"/>
      <c r="Y42" s="3405"/>
      <c r="Z42" s="1561" t="str">
        <f t="shared" si="15"/>
        <v>内部装修</v>
      </c>
      <c r="AA42" s="1562">
        <f t="shared" si="3"/>
        <v>1</v>
      </c>
      <c r="AB42" s="1562">
        <f t="shared" si="4"/>
        <v>0.970873786407767</v>
      </c>
      <c r="AC42" s="1562">
        <f t="shared" si="5"/>
        <v>0.970873786407767</v>
      </c>
    </row>
    <row r="43" spans="1:29" ht="27">
      <c r="A43" s="594"/>
      <c r="B43" s="527" t="s">
        <v>735</v>
      </c>
      <c r="C43" s="599" t="s">
        <v>3181</v>
      </c>
      <c r="D43" s="540">
        <v>100</v>
      </c>
      <c r="E43" s="599" t="s">
        <v>3181</v>
      </c>
      <c r="F43" s="575">
        <f>SUMIF(124:124,E43,125:125)-SUMIF(124:124,C43,125:125)+100</f>
        <v>100</v>
      </c>
      <c r="G43" s="599" t="s">
        <v>3181</v>
      </c>
      <c r="H43" s="540">
        <f>SUMIF(124:124,G43,125:125)-SUMIF(124:124,C43,125:125)+100</f>
        <v>100</v>
      </c>
      <c r="I43" s="599" t="s">
        <v>3181</v>
      </c>
      <c r="J43" s="540">
        <f>SUMIF(124:124,I43,125:125)-SUMIF(124:124,C43,125:125)+100</f>
        <v>100</v>
      </c>
      <c r="K43" s="584">
        <v>2</v>
      </c>
      <c r="L43" s="2125"/>
      <c r="M43" s="2117"/>
      <c r="N43" s="2117"/>
      <c r="O43" s="2124"/>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05"/>
      <c r="Q44" s="1146">
        <f t="shared" si="11"/>
        <v>111</v>
      </c>
      <c r="R44" s="1554" t="s">
        <v>8</v>
      </c>
      <c r="S44" s="1555">
        <f t="shared" si="12"/>
        <v>100</v>
      </c>
      <c r="T44" s="1554" t="s">
        <v>8</v>
      </c>
      <c r="U44" s="1555">
        <f t="shared" si="13"/>
        <v>100</v>
      </c>
      <c r="V44" s="1554" t="s">
        <v>8</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6"/>
      <c r="Q46" s="1558">
        <f t="shared" si="11"/>
        <v>111</v>
      </c>
      <c r="R46" s="1559" t="s">
        <v>8</v>
      </c>
      <c r="S46" s="1560">
        <f t="shared" si="12"/>
        <v>100</v>
      </c>
      <c r="T46" s="1559" t="s">
        <v>8</v>
      </c>
      <c r="U46" s="1560">
        <f t="shared" si="13"/>
        <v>100</v>
      </c>
      <c r="V46" s="1559" t="s">
        <v>8</v>
      </c>
      <c r="W46" s="1560">
        <f t="shared" si="14"/>
        <v>100</v>
      </c>
      <c r="X46" s="1553"/>
      <c r="Y46" s="3486"/>
      <c r="Z46" s="1561">
        <f t="shared" si="15"/>
        <v>111</v>
      </c>
      <c r="AA46" s="1562">
        <f t="shared" si="3"/>
        <v>1</v>
      </c>
      <c r="AB46" s="1562">
        <f t="shared" si="4"/>
        <v>1</v>
      </c>
      <c r="AC46" s="1562">
        <f t="shared" si="5"/>
        <v>1</v>
      </c>
    </row>
    <row r="47" spans="1:29" ht="15">
      <c r="A47" s="607" t="s">
        <v>736</v>
      </c>
      <c r="B47" s="887"/>
      <c r="C47" s="2589" t="s">
        <v>1</v>
      </c>
      <c r="D47" s="2590"/>
      <c r="E47" s="2591">
        <v>20000</v>
      </c>
      <c r="F47" s="2592"/>
      <c r="G47" s="2593">
        <v>20000</v>
      </c>
      <c r="H47" s="2594"/>
      <c r="I47" s="2591">
        <v>18222</v>
      </c>
      <c r="J47" s="2594"/>
      <c r="K47" s="1596"/>
      <c r="L47" s="2127"/>
      <c r="M47" s="2128"/>
      <c r="N47" s="2117"/>
      <c r="O47" s="2128"/>
      <c r="P47" s="3368" t="str">
        <f>A47</f>
        <v>成交单价（元/平方米）</v>
      </c>
      <c r="Q47" s="3368"/>
      <c r="R47" s="3485">
        <f>E47</f>
        <v>20000</v>
      </c>
      <c r="S47" s="3485"/>
      <c r="T47" s="3485">
        <f>G47</f>
        <v>20000</v>
      </c>
      <c r="U47" s="3485"/>
      <c r="V47" s="3485">
        <f>I47</f>
        <v>18222</v>
      </c>
      <c r="W47" s="3485"/>
      <c r="X47" s="1545"/>
      <c r="Y47" s="1567"/>
      <c r="Z47" s="1545"/>
      <c r="AA47" s="1545"/>
      <c r="AB47" s="1545"/>
      <c r="AC47" s="1545"/>
    </row>
    <row r="48" spans="1:29" ht="15.75" thickBot="1">
      <c r="A48" s="615" t="s">
        <v>2758</v>
      </c>
      <c r="B48" s="888"/>
      <c r="C48" s="2595">
        <f>R49</f>
        <v>17138</v>
      </c>
      <c r="D48" s="2596"/>
      <c r="E48" s="2597">
        <f>R48</f>
        <v>18702</v>
      </c>
      <c r="F48" s="2597"/>
      <c r="G48" s="2595">
        <f>T48</f>
        <v>17116</v>
      </c>
      <c r="H48" s="2596"/>
      <c r="I48" s="2597">
        <f>V48</f>
        <v>15595</v>
      </c>
      <c r="J48" s="2596"/>
      <c r="K48" s="1597"/>
      <c r="L48" s="2127"/>
      <c r="M48" s="2128"/>
      <c r="N48" s="2117"/>
      <c r="O48" s="2128"/>
      <c r="P48" s="3368" t="str">
        <f>A48</f>
        <v>比较价格（元/平方米）</v>
      </c>
      <c r="Q48" s="3368"/>
      <c r="R48" s="3485">
        <f>IF(F1="售价",ROUND(PRODUCT(R47,AA7:AA46),0),ROUND(PRODUCT(R47,AA7:AA46),1))</f>
        <v>18702</v>
      </c>
      <c r="S48" s="3485"/>
      <c r="T48" s="3485">
        <f>IF(F1="售价",ROUND(PRODUCT(T47,AB7:AB46),0),ROUND(PRODUCT(T47,AB7:AB46),1))</f>
        <v>17116</v>
      </c>
      <c r="U48" s="3485"/>
      <c r="V48" s="3485">
        <f>IF(F1="售价",ROUND(PRODUCT(V47,AC7:AC46),0),ROUND(PRODUCT(V47,AC7:AC46),1))</f>
        <v>15595</v>
      </c>
      <c r="W48" s="3485"/>
      <c r="X48" s="1545"/>
      <c r="Y48" s="1545"/>
      <c r="Z48" s="1545"/>
      <c r="AA48" s="1545"/>
      <c r="AB48" s="1545"/>
      <c r="AC48" s="1545"/>
    </row>
    <row r="49" spans="1:29" ht="15.75" thickBot="1">
      <c r="A49" s="621" t="s">
        <v>2926</v>
      </c>
      <c r="B49" s="622"/>
      <c r="C49" s="2598">
        <f>R49</f>
        <v>17138</v>
      </c>
      <c r="D49" s="2598"/>
      <c r="E49" s="2598"/>
      <c r="F49" s="2598"/>
      <c r="G49" s="2598"/>
      <c r="H49" s="2598"/>
      <c r="I49" s="2598"/>
      <c r="J49" s="2598"/>
      <c r="K49" s="1598"/>
      <c r="L49" s="2127"/>
      <c r="M49" s="2128"/>
      <c r="N49" s="2117"/>
      <c r="O49" s="2128"/>
      <c r="P49" s="3365" t="str">
        <f>A49</f>
        <v>估价对象XX用房的比较价格（楼面单价，元/平方米）</v>
      </c>
      <c r="Q49" s="3366"/>
      <c r="R49" s="3484">
        <f>IF(F1="售价",ROUND(AVERAGE(R48:V48),0),ROUND(AVERAGE(R48:V48),1))</f>
        <v>17138</v>
      </c>
      <c r="S49" s="3484"/>
      <c r="T49" s="3484"/>
      <c r="U49" s="3484"/>
      <c r="V49" s="3484"/>
      <c r="W49" s="3484"/>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3183" t="s">
        <v>3244</v>
      </c>
      <c r="D86" s="3183" t="s">
        <v>3245</v>
      </c>
      <c r="E86" s="3183" t="s">
        <v>3247</v>
      </c>
      <c r="F86" s="3183" t="s">
        <v>3248</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3249</v>
      </c>
      <c r="D88" s="3183" t="s">
        <v>3250</v>
      </c>
      <c r="E88" s="3183" t="s">
        <v>3251</v>
      </c>
      <c r="F88" s="3195" t="s">
        <v>3252</v>
      </c>
      <c r="G88" s="3183" t="s">
        <v>3253</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3249</v>
      </c>
      <c r="D90" s="3183" t="s">
        <v>3250</v>
      </c>
      <c r="E90" s="3183" t="s">
        <v>3251</v>
      </c>
      <c r="F90" s="3195" t="s">
        <v>3252</v>
      </c>
      <c r="G90" s="3183" t="s">
        <v>3253</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3254</v>
      </c>
      <c r="D92" s="688" t="s">
        <v>3255</v>
      </c>
      <c r="E92" s="688" t="s">
        <v>3256</v>
      </c>
      <c r="F92" s="688" t="s">
        <v>3257</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3182" t="s">
        <v>3259</v>
      </c>
      <c r="D100" s="3182" t="s">
        <v>3260</v>
      </c>
      <c r="E100" s="3182" t="s">
        <v>3262</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3" t="s">
        <v>3263</v>
      </c>
      <c r="D105" s="3183" t="s">
        <v>3264</v>
      </c>
      <c r="E105" s="3184" t="s">
        <v>3265</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3183" t="s">
        <v>3266</v>
      </c>
      <c r="D107" s="3183" t="s">
        <v>3267</v>
      </c>
      <c r="E107" s="3183" t="s">
        <v>3268</v>
      </c>
      <c r="F107" s="3184" t="s">
        <v>3269</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3183" t="s">
        <v>3270</v>
      </c>
      <c r="D112" s="3183" t="s">
        <v>3271</v>
      </c>
      <c r="E112" s="3183" t="s">
        <v>3272</v>
      </c>
      <c r="F112" s="3183" t="s">
        <v>3273</v>
      </c>
      <c r="G112" s="3183" t="s">
        <v>3274</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3183" t="s">
        <v>3276</v>
      </c>
      <c r="D114" s="3183" t="s">
        <v>3277</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3183" t="s">
        <v>3278</v>
      </c>
      <c r="D116" s="3183" t="s">
        <v>3280</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3184" t="s">
        <v>3281</v>
      </c>
      <c r="D120" s="3184" t="s">
        <v>3282</v>
      </c>
      <c r="E120" s="3184" t="s">
        <v>3283</v>
      </c>
      <c r="F120" s="3184" t="s">
        <v>3284</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3" t="s">
        <v>3266</v>
      </c>
      <c r="D122" s="3183" t="s">
        <v>3267</v>
      </c>
      <c r="E122" s="3183" t="s">
        <v>3268</v>
      </c>
      <c r="F122" s="3184" t="s">
        <v>3269</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6" t="s">
        <v>721</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521</v>
      </c>
      <c r="B4" s="513"/>
      <c r="C4" s="3374" t="s">
        <v>522</v>
      </c>
      <c r="D4" s="3375"/>
      <c r="E4" s="3408" t="s">
        <v>523</v>
      </c>
      <c r="F4" s="3409"/>
      <c r="G4" s="3374" t="s">
        <v>524</v>
      </c>
      <c r="H4" s="3375"/>
      <c r="I4" s="3374" t="s">
        <v>525</v>
      </c>
      <c r="J4" s="3375"/>
      <c r="K4" s="514" t="s">
        <v>526</v>
      </c>
      <c r="L4" s="2116"/>
      <c r="M4" s="2117"/>
      <c r="N4" s="2117"/>
      <c r="O4" s="2117"/>
      <c r="P4" s="3490" t="s">
        <v>527</v>
      </c>
      <c r="Q4" s="3377"/>
      <c r="R4" s="3382" t="s">
        <v>523</v>
      </c>
      <c r="S4" s="3383"/>
      <c r="T4" s="3382" t="s">
        <v>524</v>
      </c>
      <c r="U4" s="3383"/>
      <c r="V4" s="3369" t="s">
        <v>525</v>
      </c>
      <c r="W4" s="3369"/>
      <c r="X4" s="1553"/>
      <c r="Y4" s="3382" t="s">
        <v>527</v>
      </c>
      <c r="Z4" s="3383"/>
      <c r="AA4" s="3371" t="s">
        <v>523</v>
      </c>
      <c r="AB4" s="3371" t="s">
        <v>524</v>
      </c>
      <c r="AC4" s="3371" t="s">
        <v>525</v>
      </c>
    </row>
    <row r="5" spans="1:29" ht="15">
      <c r="A5" s="515"/>
      <c r="B5" s="516"/>
      <c r="C5" s="3390" t="s">
        <v>2920</v>
      </c>
      <c r="D5" s="3391"/>
      <c r="E5" s="3410" t="s">
        <v>2921</v>
      </c>
      <c r="F5" s="3411"/>
      <c r="G5" s="3390" t="s">
        <v>2922</v>
      </c>
      <c r="H5" s="3391"/>
      <c r="I5" s="3390" t="s">
        <v>2923</v>
      </c>
      <c r="J5" s="3391"/>
      <c r="K5" s="514"/>
      <c r="L5" s="2116"/>
      <c r="M5" s="2117"/>
      <c r="N5" s="2117"/>
      <c r="O5" s="2117"/>
      <c r="P5" s="3491"/>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6"/>
      <c r="M6" s="2117"/>
      <c r="N6" s="2117"/>
      <c r="O6" s="2117"/>
      <c r="P6" s="3492"/>
      <c r="Q6" s="3381"/>
      <c r="R6" s="3384"/>
      <c r="S6" s="3385"/>
      <c r="T6" s="3386"/>
      <c r="U6" s="3387"/>
      <c r="V6" s="3369"/>
      <c r="W6" s="3369"/>
      <c r="X6" s="1553"/>
      <c r="Y6" s="3386"/>
      <c r="Z6" s="3387"/>
      <c r="AA6" s="3373"/>
      <c r="AB6" s="3373"/>
      <c r="AC6" s="3373"/>
    </row>
    <row r="7" spans="1:29" s="1215" customFormat="1" ht="15.75" thickBot="1">
      <c r="A7" s="2865"/>
      <c r="B7" s="2872" t="s">
        <v>529</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1"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1" t="s">
        <v>533</v>
      </c>
      <c r="Q8" s="3400"/>
      <c r="R8" s="1554" t="s">
        <v>8</v>
      </c>
      <c r="S8" s="1555">
        <f t="shared" si="0"/>
        <v>0</v>
      </c>
      <c r="T8" s="1554" t="s">
        <v>8</v>
      </c>
      <c r="U8" s="1555">
        <f t="shared" si="1"/>
        <v>0</v>
      </c>
      <c r="V8" s="1554" t="s">
        <v>8</v>
      </c>
      <c r="W8" s="1555">
        <f t="shared" si="2"/>
        <v>0</v>
      </c>
      <c r="X8" s="1556"/>
      <c r="Y8" s="3399" t="s">
        <v>533</v>
      </c>
      <c r="Z8" s="3400"/>
      <c r="AA8" s="1557" t="e">
        <f t="shared" ref="AA8:AA47" si="3">D8/F8</f>
        <v>#DIV/0!</v>
      </c>
      <c r="AB8" s="1557" t="e">
        <f t="shared" ref="AB8:AB47" si="4">D8/H8</f>
        <v>#DIV/0!</v>
      </c>
      <c r="AC8" s="1557" t="e">
        <f t="shared" ref="AC8:AC47" si="5">D8/J8</f>
        <v>#DIV/0!</v>
      </c>
    </row>
    <row r="9" spans="1:29" s="1215" customFormat="1" ht="15">
      <c r="A9" s="2867"/>
      <c r="B9" s="2874" t="s">
        <v>2754</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8"/>
      <c r="B10" s="2873" t="s">
        <v>2755</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69"/>
      <c r="B11" s="2873"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15">
      <c r="A15" s="2863"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2" t="s">
        <v>540</v>
      </c>
      <c r="Q15" s="1558" t="str">
        <f t="shared" si="6"/>
        <v>办公集聚程度</v>
      </c>
      <c r="R15" s="1559" t="s">
        <v>8</v>
      </c>
      <c r="S15" s="1560">
        <f t="shared" si="0"/>
        <v>100</v>
      </c>
      <c r="T15" s="1559" t="s">
        <v>8</v>
      </c>
      <c r="U15" s="1560">
        <f t="shared" si="1"/>
        <v>100</v>
      </c>
      <c r="V15" s="1559" t="s">
        <v>8</v>
      </c>
      <c r="W15" s="1560">
        <f t="shared" si="2"/>
        <v>100</v>
      </c>
      <c r="X15" s="1553"/>
      <c r="Y15" s="340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03"/>
      <c r="Q16" s="1558"/>
      <c r="R16" s="1559"/>
      <c r="S16" s="1560"/>
      <c r="T16" s="1559"/>
      <c r="U16" s="1560"/>
      <c r="V16" s="1559"/>
      <c r="W16" s="1560"/>
      <c r="X16" s="1553"/>
      <c r="Y16" s="3403"/>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03"/>
      <c r="Q18" s="1558"/>
      <c r="R18" s="1559"/>
      <c r="S18" s="1560"/>
      <c r="T18" s="1559"/>
      <c r="U18" s="1560"/>
      <c r="V18" s="1559"/>
      <c r="W18" s="1560"/>
      <c r="X18" s="1553"/>
      <c r="Y18" s="3403"/>
      <c r="Z18" s="1561"/>
      <c r="AA18" s="1562">
        <v>1</v>
      </c>
      <c r="AB18" s="1562">
        <v>1</v>
      </c>
      <c r="AC18" s="1562">
        <v>1</v>
      </c>
    </row>
    <row r="19" spans="1:29" ht="256.5">
      <c r="A19" s="532"/>
      <c r="B19" s="2565" t="s">
        <v>2544</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03"/>
      <c r="Q20" s="1558"/>
      <c r="R20" s="1559"/>
      <c r="S20" s="1560"/>
      <c r="T20" s="1559"/>
      <c r="U20" s="1560"/>
      <c r="V20" s="1559"/>
      <c r="W20" s="1560"/>
      <c r="X20" s="1553"/>
      <c r="Y20" s="3403"/>
      <c r="Z20" s="1561"/>
      <c r="AA20" s="1562">
        <v>1</v>
      </c>
      <c r="AB20" s="1562">
        <v>1</v>
      </c>
      <c r="AC20" s="1562">
        <v>1</v>
      </c>
    </row>
    <row r="21" spans="1:29" ht="42.75">
      <c r="A21" s="532"/>
      <c r="B21" s="255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03"/>
      <c r="Q21" s="2541" t="str">
        <f>B21</f>
        <v>基础设施水平</v>
      </c>
      <c r="R21" s="1559" t="s">
        <v>8</v>
      </c>
      <c r="S21" s="1560">
        <f>F21</f>
        <v>100</v>
      </c>
      <c r="T21" s="1559" t="s">
        <v>8</v>
      </c>
      <c r="U21" s="1560">
        <f>H21</f>
        <v>100</v>
      </c>
      <c r="V21" s="1559" t="s">
        <v>8</v>
      </c>
      <c r="W21" s="1560">
        <f>J21</f>
        <v>100</v>
      </c>
      <c r="X21" s="2543"/>
      <c r="Y21" s="3403"/>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03"/>
      <c r="Q22" s="2541"/>
      <c r="R22" s="1559"/>
      <c r="S22" s="1560"/>
      <c r="T22" s="1559"/>
      <c r="U22" s="1560"/>
      <c r="V22" s="1559"/>
      <c r="W22" s="1560"/>
      <c r="X22" s="2543"/>
      <c r="Y22" s="3403"/>
      <c r="Z22" s="2542"/>
      <c r="AA22" s="1562">
        <v>1</v>
      </c>
      <c r="AB22" s="1562">
        <v>1</v>
      </c>
      <c r="AC22" s="1562">
        <v>1</v>
      </c>
    </row>
    <row r="23" spans="1:29" ht="156.75">
      <c r="A23" s="532"/>
      <c r="B23" s="560" t="s">
        <v>778</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03"/>
      <c r="Q24" s="1558"/>
      <c r="R24" s="1559"/>
      <c r="S24" s="1560"/>
      <c r="T24" s="1559"/>
      <c r="U24" s="1560"/>
      <c r="V24" s="1559"/>
      <c r="W24" s="1560"/>
      <c r="X24" s="1553"/>
      <c r="Y24" s="3403"/>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03"/>
      <c r="Q26" s="1558"/>
      <c r="R26" s="1559"/>
      <c r="S26" s="1560"/>
      <c r="T26" s="1559"/>
      <c r="U26" s="1560"/>
      <c r="V26" s="1559"/>
      <c r="W26" s="1560"/>
      <c r="X26" s="1553"/>
      <c r="Y26" s="340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03"/>
      <c r="Q28" s="1146" t="str">
        <f t="shared" si="11"/>
        <v>朝向</v>
      </c>
      <c r="R28" s="1554" t="s">
        <v>8</v>
      </c>
      <c r="S28" s="1555">
        <f>F28</f>
        <v>100</v>
      </c>
      <c r="T28" s="1554" t="s">
        <v>8</v>
      </c>
      <c r="U28" s="1555">
        <f>H28</f>
        <v>100</v>
      </c>
      <c r="V28" s="1554" t="s">
        <v>8</v>
      </c>
      <c r="W28" s="1555">
        <f>J28</f>
        <v>100</v>
      </c>
      <c r="X28" s="1556"/>
      <c r="Y28" s="3403"/>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60"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04" t="s">
        <v>550</v>
      </c>
      <c r="Q33" s="1558" t="str">
        <f t="shared" si="11"/>
        <v>建筑类型</v>
      </c>
      <c r="R33" s="1559" t="s">
        <v>8</v>
      </c>
      <c r="S33" s="1560">
        <f t="shared" si="12"/>
        <v>100</v>
      </c>
      <c r="T33" s="1559" t="s">
        <v>8</v>
      </c>
      <c r="U33" s="1560">
        <f t="shared" si="13"/>
        <v>100</v>
      </c>
      <c r="V33" s="1559" t="s">
        <v>8</v>
      </c>
      <c r="W33" s="1560">
        <f t="shared" si="14"/>
        <v>100</v>
      </c>
      <c r="X33" s="1553"/>
      <c r="Y33" s="3405"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05"/>
      <c r="Q38" s="1146" t="str">
        <f t="shared" si="11"/>
        <v>写字楼等级</v>
      </c>
      <c r="R38" s="1554" t="s">
        <v>8</v>
      </c>
      <c r="S38" s="1555">
        <f t="shared" si="12"/>
        <v>100</v>
      </c>
      <c r="T38" s="1554" t="s">
        <v>8</v>
      </c>
      <c r="U38" s="1555">
        <f t="shared" si="13"/>
        <v>100</v>
      </c>
      <c r="V38" s="1554" t="s">
        <v>8</v>
      </c>
      <c r="W38" s="1555">
        <f t="shared" si="14"/>
        <v>100</v>
      </c>
      <c r="X38" s="1556"/>
      <c r="Y38" s="3405"/>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05" t="s">
        <v>550</v>
      </c>
      <c r="Q39" s="1558" t="str">
        <f t="shared" si="11"/>
        <v>物业管理</v>
      </c>
      <c r="R39" s="1559" t="s">
        <v>8</v>
      </c>
      <c r="S39" s="1560">
        <f t="shared" si="12"/>
        <v>100</v>
      </c>
      <c r="T39" s="1559" t="s">
        <v>8</v>
      </c>
      <c r="U39" s="1560">
        <f t="shared" si="13"/>
        <v>100</v>
      </c>
      <c r="V39" s="1559" t="s">
        <v>8</v>
      </c>
      <c r="W39" s="1560">
        <f t="shared" si="14"/>
        <v>100</v>
      </c>
      <c r="X39" s="1553"/>
      <c r="Y39" s="3405" t="s">
        <v>550</v>
      </c>
      <c r="Z39" s="1561" t="str">
        <f t="shared" si="15"/>
        <v>物业管理</v>
      </c>
      <c r="AA39" s="1562">
        <f t="shared" si="3"/>
        <v>1</v>
      </c>
      <c r="AB39" s="1562">
        <f t="shared" si="4"/>
        <v>1</v>
      </c>
      <c r="AC39" s="1562">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05"/>
      <c r="Q45" s="1146">
        <f t="shared" si="11"/>
        <v>111</v>
      </c>
      <c r="R45" s="1554" t="s">
        <v>8</v>
      </c>
      <c r="S45" s="1555">
        <f t="shared" si="12"/>
        <v>100</v>
      </c>
      <c r="T45" s="1554" t="s">
        <v>8</v>
      </c>
      <c r="U45" s="1555">
        <f t="shared" si="13"/>
        <v>100</v>
      </c>
      <c r="V45" s="1554" t="s">
        <v>8</v>
      </c>
      <c r="W45" s="1555">
        <f t="shared" si="14"/>
        <v>100</v>
      </c>
      <c r="X45" s="1556"/>
      <c r="Y45" s="340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6"/>
      <c r="Q47" s="1558">
        <f t="shared" si="11"/>
        <v>111</v>
      </c>
      <c r="R47" s="1559" t="s">
        <v>8</v>
      </c>
      <c r="S47" s="1560">
        <f t="shared" si="12"/>
        <v>100</v>
      </c>
      <c r="T47" s="1559" t="s">
        <v>8</v>
      </c>
      <c r="U47" s="1560">
        <f t="shared" si="13"/>
        <v>100</v>
      </c>
      <c r="V47" s="1559" t="s">
        <v>8</v>
      </c>
      <c r="W47" s="1560">
        <f t="shared" si="14"/>
        <v>100</v>
      </c>
      <c r="X47" s="1553"/>
      <c r="Y47" s="3486"/>
      <c r="Z47" s="1561">
        <f t="shared" si="15"/>
        <v>111</v>
      </c>
      <c r="AA47" s="1562">
        <f t="shared" si="3"/>
        <v>1</v>
      </c>
      <c r="AB47" s="1562">
        <f t="shared" si="4"/>
        <v>1</v>
      </c>
      <c r="AC47" s="1562">
        <f t="shared" si="5"/>
        <v>1</v>
      </c>
    </row>
    <row r="48" spans="1:29" ht="15">
      <c r="A48" s="607" t="s">
        <v>736</v>
      </c>
      <c r="B48" s="887"/>
      <c r="C48" s="2589" t="s">
        <v>1</v>
      </c>
      <c r="D48" s="2590"/>
      <c r="E48" s="2591"/>
      <c r="F48" s="2592"/>
      <c r="G48" s="2593"/>
      <c r="H48" s="2594"/>
      <c r="I48" s="2591"/>
      <c r="J48" s="2594"/>
      <c r="K48" s="1596"/>
      <c r="L48" s="2127"/>
      <c r="M48" s="2117"/>
      <c r="N48" s="2117"/>
      <c r="O48" s="2117"/>
      <c r="P48" s="3366" t="str">
        <f>A48</f>
        <v>成交单价（元/平方米）</v>
      </c>
      <c r="Q48" s="3368"/>
      <c r="R48" s="3485">
        <f>E48</f>
        <v>0</v>
      </c>
      <c r="S48" s="3485"/>
      <c r="T48" s="3485">
        <f>G48</f>
        <v>0</v>
      </c>
      <c r="U48" s="3485"/>
      <c r="V48" s="3485">
        <f>I48</f>
        <v>0</v>
      </c>
      <c r="W48" s="3485"/>
      <c r="X48" s="1545"/>
      <c r="Y48" s="1567"/>
      <c r="Z48" s="1545"/>
      <c r="AA48" s="1545"/>
      <c r="AB48" s="1545"/>
      <c r="AC48" s="1545"/>
    </row>
    <row r="49" spans="1:29" ht="15.75" thickBot="1">
      <c r="A49" s="615" t="s">
        <v>2758</v>
      </c>
      <c r="B49" s="888"/>
      <c r="C49" s="2595" t="e">
        <f>R50</f>
        <v>#DIV/0!</v>
      </c>
      <c r="D49" s="2596"/>
      <c r="E49" s="2597" t="e">
        <f>R49</f>
        <v>#DIV/0!</v>
      </c>
      <c r="F49" s="2597"/>
      <c r="G49" s="2595" t="e">
        <f>T49</f>
        <v>#DIV/0!</v>
      </c>
      <c r="H49" s="2596"/>
      <c r="I49" s="2597" t="e">
        <f>V49</f>
        <v>#DIV/0!</v>
      </c>
      <c r="J49" s="2596"/>
      <c r="K49" s="1597"/>
      <c r="L49" s="2127"/>
      <c r="M49" s="2117"/>
      <c r="N49" s="2117"/>
      <c r="O49" s="2117"/>
      <c r="P49" s="3366" t="str">
        <f>A49</f>
        <v>比较价格（元/平方米）</v>
      </c>
      <c r="Q49" s="3368"/>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5"/>
      <c r="Y49" s="1545"/>
      <c r="Z49" s="1545"/>
      <c r="AA49" s="1545"/>
      <c r="AB49" s="1545"/>
      <c r="AC49" s="1545"/>
    </row>
    <row r="50" spans="1:29" ht="15.75" thickBot="1">
      <c r="A50" s="621" t="s">
        <v>2926</v>
      </c>
      <c r="B50" s="622"/>
      <c r="C50" s="2598" t="e">
        <f>R50</f>
        <v>#DIV/0!</v>
      </c>
      <c r="D50" s="2598"/>
      <c r="E50" s="2598"/>
      <c r="F50" s="2598"/>
      <c r="G50" s="2598"/>
      <c r="H50" s="2598"/>
      <c r="I50" s="2598"/>
      <c r="J50" s="2598"/>
      <c r="K50" s="1598"/>
      <c r="L50" s="2127"/>
      <c r="M50" s="2117"/>
      <c r="N50" s="2117"/>
      <c r="O50" s="2117"/>
      <c r="P50" s="3489" t="str">
        <f>A50</f>
        <v>估价对象XX用房的比较价格（楼面单价，元/平方米）</v>
      </c>
      <c r="Q50" s="3366"/>
      <c r="R50" s="3484" t="e">
        <f>IF(F1="售价",ROUND(AVERAGE(R49:V49),0),ROUND(AVERAGE(R49:V49),1))</f>
        <v>#DIV/0!</v>
      </c>
      <c r="S50" s="3484"/>
      <c r="T50" s="3484"/>
      <c r="U50" s="3484"/>
      <c r="V50" s="3484"/>
      <c r="W50" s="3484"/>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574</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521</v>
      </c>
      <c r="B4" s="513"/>
      <c r="C4" s="3374" t="s">
        <v>522</v>
      </c>
      <c r="D4" s="3375"/>
      <c r="E4" s="3408" t="s">
        <v>523</v>
      </c>
      <c r="F4" s="3409"/>
      <c r="G4" s="3374" t="s">
        <v>524</v>
      </c>
      <c r="H4" s="3375"/>
      <c r="I4" s="3374" t="s">
        <v>525</v>
      </c>
      <c r="J4" s="3375"/>
      <c r="K4" s="514" t="s">
        <v>526</v>
      </c>
      <c r="L4" s="2116"/>
      <c r="M4" s="2117"/>
      <c r="N4" s="2117"/>
      <c r="O4" s="2117"/>
      <c r="P4" s="3376" t="s">
        <v>527</v>
      </c>
      <c r="Q4" s="3377"/>
      <c r="R4" s="3382" t="s">
        <v>523</v>
      </c>
      <c r="S4" s="3383"/>
      <c r="T4" s="3382" t="s">
        <v>524</v>
      </c>
      <c r="U4" s="3383"/>
      <c r="V4" s="3369" t="s">
        <v>525</v>
      </c>
      <c r="W4" s="3369"/>
      <c r="X4" s="1553"/>
      <c r="Y4" s="3382" t="s">
        <v>527</v>
      </c>
      <c r="Z4" s="3383"/>
      <c r="AA4" s="3371" t="s">
        <v>523</v>
      </c>
      <c r="AB4" s="3372" t="s">
        <v>524</v>
      </c>
      <c r="AC4" s="3371" t="s">
        <v>525</v>
      </c>
    </row>
    <row r="5" spans="1:29" ht="15">
      <c r="A5" s="515"/>
      <c r="B5" s="516"/>
      <c r="C5" s="3390" t="s">
        <v>2920</v>
      </c>
      <c r="D5" s="3391"/>
      <c r="E5" s="3410" t="s">
        <v>2921</v>
      </c>
      <c r="F5" s="3411"/>
      <c r="G5" s="3390" t="s">
        <v>2922</v>
      </c>
      <c r="H5" s="3391"/>
      <c r="I5" s="3390" t="s">
        <v>2923</v>
      </c>
      <c r="J5" s="3391"/>
      <c r="K5" s="514"/>
      <c r="L5" s="2116"/>
      <c r="M5" s="2117"/>
      <c r="N5" s="2117"/>
      <c r="O5" s="2117"/>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6"/>
      <c r="M6" s="2117"/>
      <c r="N6" s="2117"/>
      <c r="O6" s="2117"/>
      <c r="P6" s="3380"/>
      <c r="Q6" s="3381"/>
      <c r="R6" s="3384"/>
      <c r="S6" s="3385"/>
      <c r="T6" s="3386"/>
      <c r="U6" s="3387"/>
      <c r="V6" s="3369"/>
      <c r="W6" s="3369"/>
      <c r="X6" s="1553"/>
      <c r="Y6" s="3386"/>
      <c r="Z6" s="3387"/>
      <c r="AA6" s="3373"/>
      <c r="AB6" s="3373"/>
      <c r="AC6" s="3373"/>
    </row>
    <row r="7" spans="1:29" s="1215" customFormat="1" ht="15.75" thickBot="1">
      <c r="A7" s="2865"/>
      <c r="B7" s="2872" t="s">
        <v>529</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99" t="s">
        <v>533</v>
      </c>
      <c r="Q8" s="3400"/>
      <c r="R8" s="1554" t="s">
        <v>8</v>
      </c>
      <c r="S8" s="1555">
        <f t="shared" si="0"/>
        <v>0</v>
      </c>
      <c r="T8" s="1554" t="s">
        <v>8</v>
      </c>
      <c r="U8" s="1555">
        <f t="shared" si="1"/>
        <v>0</v>
      </c>
      <c r="V8" s="1554" t="s">
        <v>8</v>
      </c>
      <c r="W8" s="1555">
        <f t="shared" si="2"/>
        <v>0</v>
      </c>
      <c r="X8" s="1556"/>
      <c r="Y8" s="3399" t="s">
        <v>533</v>
      </c>
      <c r="Z8" s="3400"/>
      <c r="AA8" s="1557" t="e">
        <f t="shared" ref="AA8:AA40" si="3">D8/F8</f>
        <v>#DIV/0!</v>
      </c>
      <c r="AB8" s="1557" t="e">
        <f t="shared" ref="AB8:AB40" si="4">D8/H8</f>
        <v>#DIV/0!</v>
      </c>
      <c r="AC8" s="1557" t="e">
        <f t="shared" ref="AC8:AC40" si="5">D8/J8</f>
        <v>#DIV/0!</v>
      </c>
    </row>
    <row r="9" spans="1:29" s="1215" customFormat="1" ht="15">
      <c r="A9" s="2867"/>
      <c r="B9" s="2874" t="s">
        <v>2754</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8"/>
      <c r="B10" s="2873" t="s">
        <v>2755</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69"/>
      <c r="B11" s="2873"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57">
      <c r="A15" s="2863"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2" t="s">
        <v>540</v>
      </c>
      <c r="Q15" s="1558" t="str">
        <f t="shared" si="6"/>
        <v>产业集聚程度</v>
      </c>
      <c r="R15" s="1559" t="s">
        <v>8</v>
      </c>
      <c r="S15" s="1560">
        <f t="shared" si="0"/>
        <v>100</v>
      </c>
      <c r="T15" s="1559" t="s">
        <v>8</v>
      </c>
      <c r="U15" s="1560">
        <f t="shared" si="1"/>
        <v>100</v>
      </c>
      <c r="V15" s="1559" t="s">
        <v>8</v>
      </c>
      <c r="W15" s="1560">
        <f t="shared" si="2"/>
        <v>100</v>
      </c>
      <c r="X15" s="1553"/>
      <c r="Y15" s="340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03"/>
      <c r="Q18" s="1558"/>
      <c r="R18" s="1559"/>
      <c r="S18" s="1560"/>
      <c r="T18" s="1559"/>
      <c r="U18" s="1560"/>
      <c r="V18" s="1559"/>
      <c r="W18" s="1560"/>
      <c r="X18" s="1553"/>
      <c r="Y18" s="3403"/>
      <c r="Z18" s="1561"/>
      <c r="AA18" s="1562">
        <v>1</v>
      </c>
      <c r="AB18" s="1562">
        <v>1</v>
      </c>
      <c r="AC18" s="1562">
        <v>1</v>
      </c>
    </row>
    <row r="19" spans="1:29" ht="42.75">
      <c r="A19" s="532"/>
      <c r="B19" s="256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03"/>
      <c r="Q20" s="1558"/>
      <c r="R20" s="1559"/>
      <c r="S20" s="1560"/>
      <c r="T20" s="1559"/>
      <c r="U20" s="1560"/>
      <c r="V20" s="1559"/>
      <c r="W20" s="1560"/>
      <c r="X20" s="1553"/>
      <c r="Y20" s="3403"/>
      <c r="Z20" s="1561"/>
      <c r="AA20" s="1562">
        <v>1</v>
      </c>
      <c r="AB20" s="1562">
        <v>1</v>
      </c>
      <c r="AC20" s="1562">
        <v>1</v>
      </c>
    </row>
    <row r="21" spans="1:29" ht="28.5">
      <c r="A21" s="532"/>
      <c r="B21" s="255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03"/>
      <c r="Q21" s="2541" t="str">
        <f>B21</f>
        <v>基础设施水平</v>
      </c>
      <c r="R21" s="1559" t="s">
        <v>8</v>
      </c>
      <c r="S21" s="1560">
        <f>F21</f>
        <v>100</v>
      </c>
      <c r="T21" s="1559" t="s">
        <v>8</v>
      </c>
      <c r="U21" s="1560">
        <f>H21</f>
        <v>100</v>
      </c>
      <c r="V21" s="1559" t="s">
        <v>8</v>
      </c>
      <c r="W21" s="1560">
        <f>J21</f>
        <v>100</v>
      </c>
      <c r="X21" s="2543"/>
      <c r="Y21" s="3403"/>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03"/>
      <c r="Q22" s="2541"/>
      <c r="R22" s="1559"/>
      <c r="S22" s="1560"/>
      <c r="T22" s="1559"/>
      <c r="U22" s="1560"/>
      <c r="V22" s="1559"/>
      <c r="W22" s="1560"/>
      <c r="X22" s="2543"/>
      <c r="Y22" s="3403"/>
      <c r="Z22" s="2542"/>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03"/>
      <c r="Q24" s="1558"/>
      <c r="R24" s="1559"/>
      <c r="S24" s="1560"/>
      <c r="T24" s="1559"/>
      <c r="U24" s="1560"/>
      <c r="V24" s="1559"/>
      <c r="W24" s="1560"/>
      <c r="X24" s="1553"/>
      <c r="Y24" s="340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3"/>
      <c r="Q27" s="1146">
        <f t="shared" si="11"/>
        <v>111</v>
      </c>
      <c r="R27" s="1554" t="s">
        <v>8</v>
      </c>
      <c r="S27" s="1555">
        <f>F27</f>
        <v>100</v>
      </c>
      <c r="T27" s="1554" t="s">
        <v>8</v>
      </c>
      <c r="U27" s="1555">
        <f>H27</f>
        <v>100</v>
      </c>
      <c r="V27" s="1554" t="s">
        <v>8</v>
      </c>
      <c r="W27" s="1555">
        <f>J27</f>
        <v>100</v>
      </c>
      <c r="X27" s="1556"/>
      <c r="Y27" s="3403"/>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60"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04" t="s">
        <v>550</v>
      </c>
      <c r="Q29" s="1558" t="str">
        <f t="shared" si="11"/>
        <v>建筑类型</v>
      </c>
      <c r="R29" s="1559" t="s">
        <v>8</v>
      </c>
      <c r="S29" s="1560">
        <f t="shared" si="12"/>
        <v>100</v>
      </c>
      <c r="T29" s="1559" t="s">
        <v>8</v>
      </c>
      <c r="U29" s="1560">
        <f t="shared" si="13"/>
        <v>100</v>
      </c>
      <c r="V29" s="1559" t="s">
        <v>8</v>
      </c>
      <c r="W29" s="1560">
        <f t="shared" si="14"/>
        <v>100</v>
      </c>
      <c r="X29" s="1553"/>
      <c r="Y29" s="3405"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05"/>
      <c r="Q34" s="1146" t="str">
        <f t="shared" si="11"/>
        <v>物业管理</v>
      </c>
      <c r="R34" s="1554" t="s">
        <v>8</v>
      </c>
      <c r="S34" s="1555">
        <f t="shared" si="12"/>
        <v>100</v>
      </c>
      <c r="T34" s="1554" t="s">
        <v>8</v>
      </c>
      <c r="U34" s="1555">
        <f t="shared" si="13"/>
        <v>100</v>
      </c>
      <c r="V34" s="1554" t="s">
        <v>8</v>
      </c>
      <c r="W34" s="1555">
        <f t="shared" si="14"/>
        <v>100</v>
      </c>
      <c r="X34" s="1556"/>
      <c r="Y34" s="3405"/>
      <c r="Z34" s="1145" t="str">
        <f t="shared" si="15"/>
        <v>物业管理</v>
      </c>
      <c r="AA34" s="1557">
        <f t="shared" si="3"/>
        <v>1</v>
      </c>
      <c r="AB34" s="1557">
        <f t="shared" si="4"/>
        <v>1</v>
      </c>
      <c r="AC34" s="1557">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05" t="s">
        <v>550</v>
      </c>
      <c r="Q35" s="1558" t="str">
        <f t="shared" si="11"/>
        <v>市政基础设施</v>
      </c>
      <c r="R35" s="1559" t="s">
        <v>8</v>
      </c>
      <c r="S35" s="1560">
        <f t="shared" si="12"/>
        <v>100</v>
      </c>
      <c r="T35" s="1559" t="s">
        <v>8</v>
      </c>
      <c r="U35" s="1560">
        <f t="shared" si="13"/>
        <v>100</v>
      </c>
      <c r="V35" s="1559" t="s">
        <v>8</v>
      </c>
      <c r="W35" s="1560">
        <f t="shared" si="14"/>
        <v>100</v>
      </c>
      <c r="X35" s="1553"/>
      <c r="Y35" s="340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86"/>
      <c r="Q40" s="1558">
        <f t="shared" si="11"/>
        <v>111</v>
      </c>
      <c r="R40" s="1559" t="s">
        <v>8</v>
      </c>
      <c r="S40" s="1560">
        <f t="shared" si="12"/>
        <v>100</v>
      </c>
      <c r="T40" s="1559" t="s">
        <v>8</v>
      </c>
      <c r="U40" s="1560">
        <f t="shared" si="13"/>
        <v>100</v>
      </c>
      <c r="V40" s="1559" t="s">
        <v>8</v>
      </c>
      <c r="W40" s="1560">
        <f t="shared" si="14"/>
        <v>100</v>
      </c>
      <c r="X40" s="1553"/>
      <c r="Y40" s="3486"/>
      <c r="Z40" s="1561">
        <f t="shared" si="15"/>
        <v>111</v>
      </c>
      <c r="AA40" s="1562">
        <f t="shared" si="3"/>
        <v>1</v>
      </c>
      <c r="AB40" s="1562">
        <f t="shared" si="4"/>
        <v>1</v>
      </c>
      <c r="AC40" s="1562">
        <f t="shared" si="5"/>
        <v>1</v>
      </c>
    </row>
    <row r="41" spans="1:29" ht="15">
      <c r="A41" s="607" t="s">
        <v>736</v>
      </c>
      <c r="B41" s="887"/>
      <c r="C41" s="2589" t="s">
        <v>1</v>
      </c>
      <c r="D41" s="2590"/>
      <c r="E41" s="2591"/>
      <c r="F41" s="2592"/>
      <c r="G41" s="2593"/>
      <c r="H41" s="2594"/>
      <c r="I41" s="2591"/>
      <c r="J41" s="2594"/>
      <c r="K41" s="1596"/>
      <c r="L41" s="2127"/>
      <c r="M41" s="2128"/>
      <c r="N41" s="2117"/>
      <c r="O41" s="2128"/>
      <c r="P41" s="3368" t="str">
        <f>A41</f>
        <v>成交单价（元/平方米）</v>
      </c>
      <c r="Q41" s="3368"/>
      <c r="R41" s="3485">
        <f>E41</f>
        <v>0</v>
      </c>
      <c r="S41" s="3485"/>
      <c r="T41" s="3485">
        <f>G41</f>
        <v>0</v>
      </c>
      <c r="U41" s="3485"/>
      <c r="V41" s="3485">
        <f>I41</f>
        <v>0</v>
      </c>
      <c r="W41" s="3485"/>
      <c r="X41" s="1545"/>
      <c r="Y41" s="1567"/>
      <c r="Z41" s="1545"/>
      <c r="AA41" s="1545"/>
      <c r="AB41" s="1545"/>
      <c r="AC41" s="1545"/>
    </row>
    <row r="42" spans="1:29" ht="15.75" thickBot="1">
      <c r="A42" s="615" t="s">
        <v>2758</v>
      </c>
      <c r="B42" s="888"/>
      <c r="C42" s="2595" t="e">
        <f>R43</f>
        <v>#DIV/0!</v>
      </c>
      <c r="D42" s="2596"/>
      <c r="E42" s="2597" t="e">
        <f>R42</f>
        <v>#DIV/0!</v>
      </c>
      <c r="F42" s="2597"/>
      <c r="G42" s="2595" t="e">
        <f>T42</f>
        <v>#DIV/0!</v>
      </c>
      <c r="H42" s="2596"/>
      <c r="I42" s="2597" t="e">
        <f>V42</f>
        <v>#DIV/0!</v>
      </c>
      <c r="J42" s="2596"/>
      <c r="K42" s="1597"/>
      <c r="L42" s="2127"/>
      <c r="M42" s="2128"/>
      <c r="N42" s="2117"/>
      <c r="O42" s="2128"/>
      <c r="P42" s="3368" t="str">
        <f>A42</f>
        <v>比较价格（元/平方米）</v>
      </c>
      <c r="Q42" s="3368"/>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5"/>
      <c r="Y42" s="1545"/>
      <c r="Z42" s="1545"/>
      <c r="AA42" s="1545"/>
      <c r="AB42" s="1545"/>
      <c r="AC42" s="1545"/>
    </row>
    <row r="43" spans="1:29" ht="15.75" thickBot="1">
      <c r="A43" s="621" t="s">
        <v>2926</v>
      </c>
      <c r="B43" s="622"/>
      <c r="C43" s="2598" t="e">
        <f>R43</f>
        <v>#DIV/0!</v>
      </c>
      <c r="D43" s="2598"/>
      <c r="E43" s="2598"/>
      <c r="F43" s="2598"/>
      <c r="G43" s="2598"/>
      <c r="H43" s="2598"/>
      <c r="I43" s="2598"/>
      <c r="J43" s="2598"/>
      <c r="K43" s="1598"/>
      <c r="L43" s="2127"/>
      <c r="M43" s="2128"/>
      <c r="N43" s="2128"/>
      <c r="O43" s="2128"/>
      <c r="P43" s="3365" t="str">
        <f>A43</f>
        <v>估价对象XX用房的比较价格（楼面单价，元/平方米）</v>
      </c>
      <c r="Q43" s="3366"/>
      <c r="R43" s="3484" t="e">
        <f>IF(F1="售价",ROUND(AVERAGE(R42:V42),0),ROUND(AVERAGE(R42:V42),1))</f>
        <v>#DIV/0!</v>
      </c>
      <c r="S43" s="3484"/>
      <c r="T43" s="3484"/>
      <c r="U43" s="3484"/>
      <c r="V43" s="3484"/>
      <c r="W43" s="3484"/>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574</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2556</v>
      </c>
      <c r="C76" s="2560" t="s">
        <v>2557</v>
      </c>
      <c r="D76" s="2560" t="s">
        <v>2558</v>
      </c>
      <c r="E76" s="2560" t="s">
        <v>2559</v>
      </c>
      <c r="F76" s="2560" t="s">
        <v>2560</v>
      </c>
      <c r="G76" s="2560" t="s">
        <v>2561</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797</v>
      </c>
      <c r="B4" s="513"/>
      <c r="C4" s="3374" t="s">
        <v>798</v>
      </c>
      <c r="D4" s="3375"/>
      <c r="E4" s="3374" t="s">
        <v>799</v>
      </c>
      <c r="F4" s="3375"/>
      <c r="G4" s="3374" t="s">
        <v>800</v>
      </c>
      <c r="H4" s="3375"/>
      <c r="I4" s="3374" t="s">
        <v>801</v>
      </c>
      <c r="J4" s="3375"/>
      <c r="K4" s="514" t="s">
        <v>802</v>
      </c>
      <c r="L4" s="2116"/>
      <c r="M4" s="2117"/>
      <c r="N4" s="2117"/>
      <c r="O4" s="2117"/>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ht="15">
      <c r="A5" s="515"/>
      <c r="B5" s="516"/>
      <c r="C5" s="3390" t="s">
        <v>2920</v>
      </c>
      <c r="D5" s="3391"/>
      <c r="E5" s="3390" t="s">
        <v>2921</v>
      </c>
      <c r="F5" s="3391"/>
      <c r="G5" s="3390" t="s">
        <v>2922</v>
      </c>
      <c r="H5" s="3391"/>
      <c r="I5" s="3390" t="s">
        <v>2923</v>
      </c>
      <c r="J5" s="3391"/>
      <c r="K5" s="514"/>
      <c r="L5" s="2116"/>
      <c r="M5" s="2117"/>
      <c r="N5" s="2117"/>
      <c r="O5" s="2117"/>
      <c r="P5" s="3378"/>
      <c r="Q5" s="3379"/>
      <c r="R5" s="3384"/>
      <c r="S5" s="3385"/>
      <c r="T5" s="3384"/>
      <c r="U5" s="3385"/>
      <c r="V5" s="3369"/>
      <c r="W5" s="3369"/>
      <c r="X5" s="1553"/>
      <c r="Y5" s="3384"/>
      <c r="Z5" s="3385"/>
      <c r="AA5" s="3372"/>
      <c r="AB5" s="3372"/>
      <c r="AC5" s="3372"/>
    </row>
    <row r="6" spans="1:29" ht="15.75" thickBot="1">
      <c r="A6" s="517"/>
      <c r="B6" s="518"/>
      <c r="C6" s="3388" t="s">
        <v>2924</v>
      </c>
      <c r="D6" s="3389"/>
      <c r="E6" s="3392" t="s">
        <v>2924</v>
      </c>
      <c r="F6" s="3393"/>
      <c r="G6" s="3388" t="s">
        <v>2924</v>
      </c>
      <c r="H6" s="3389"/>
      <c r="I6" s="3388" t="s">
        <v>2924</v>
      </c>
      <c r="J6" s="3389"/>
      <c r="K6" s="514" t="s">
        <v>528</v>
      </c>
      <c r="L6" s="2116"/>
      <c r="M6" s="2117"/>
      <c r="N6" s="2117"/>
      <c r="O6" s="2117"/>
      <c r="P6" s="3380"/>
      <c r="Q6" s="3381"/>
      <c r="R6" s="3384"/>
      <c r="S6" s="3385"/>
      <c r="T6" s="3386"/>
      <c r="U6" s="3387"/>
      <c r="V6" s="3369"/>
      <c r="W6" s="3369"/>
      <c r="X6" s="1553"/>
      <c r="Y6" s="3386"/>
      <c r="Z6" s="3387"/>
      <c r="AA6" s="3373"/>
      <c r="AB6" s="3373"/>
      <c r="AC6" s="3373"/>
    </row>
    <row r="7" spans="1:29" s="1215" customFormat="1" ht="15.75" thickBot="1">
      <c r="A7" s="2865"/>
      <c r="B7" s="2872" t="s">
        <v>529</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99" t="s">
        <v>533</v>
      </c>
      <c r="Q8" s="3400"/>
      <c r="R8" s="1554" t="s">
        <v>8</v>
      </c>
      <c r="S8" s="1555">
        <f t="shared" si="0"/>
        <v>0</v>
      </c>
      <c r="T8" s="1554" t="s">
        <v>8</v>
      </c>
      <c r="U8" s="1555">
        <f t="shared" si="1"/>
        <v>0</v>
      </c>
      <c r="V8" s="1554" t="s">
        <v>8</v>
      </c>
      <c r="W8" s="1555">
        <f t="shared" si="2"/>
        <v>0</v>
      </c>
      <c r="X8" s="1556"/>
      <c r="Y8" s="3399" t="s">
        <v>533</v>
      </c>
      <c r="Z8" s="3400"/>
      <c r="AA8" s="1557" t="e">
        <f t="shared" ref="AA8:AA36" si="3">D8/F8</f>
        <v>#DIV/0!</v>
      </c>
      <c r="AB8" s="1557" t="e">
        <f t="shared" ref="AB8:AB36" si="4">D8/H8</f>
        <v>#DIV/0!</v>
      </c>
      <c r="AC8" s="1557" t="e">
        <f t="shared" ref="AC8:AC36" si="5">D8/J8</f>
        <v>#DIV/0!</v>
      </c>
    </row>
    <row r="9" spans="1:29" s="1215" customFormat="1" ht="15">
      <c r="A9" s="2867"/>
      <c r="B9" s="2874" t="s">
        <v>2754</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7">
      <c r="A10" s="2868"/>
      <c r="B10" s="2873" t="s">
        <v>2755</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14">
      <c r="A14" s="2863" t="s">
        <v>2752</v>
      </c>
      <c r="B14" s="547" t="s">
        <v>543</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03"/>
      <c r="Q15" s="1558"/>
      <c r="R15" s="1559"/>
      <c r="S15" s="1560"/>
      <c r="T15" s="1559"/>
      <c r="U15" s="1560"/>
      <c r="V15" s="1559"/>
      <c r="W15" s="1560"/>
      <c r="X15" s="1553"/>
      <c r="Y15" s="3403"/>
      <c r="Z15" s="1561"/>
      <c r="AA15" s="1562">
        <v>1</v>
      </c>
      <c r="AB15" s="1562">
        <v>1</v>
      </c>
      <c r="AC15" s="1562">
        <v>1</v>
      </c>
    </row>
    <row r="16" spans="1:29" ht="256.5">
      <c r="A16" s="515"/>
      <c r="B16" s="2565" t="s">
        <v>2544</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03"/>
      <c r="Q17" s="1558"/>
      <c r="R17" s="1559"/>
      <c r="S17" s="1560"/>
      <c r="T17" s="1559"/>
      <c r="U17" s="1560"/>
      <c r="V17" s="1559"/>
      <c r="W17" s="1560"/>
      <c r="X17" s="1553"/>
      <c r="Y17" s="3403"/>
      <c r="Z17" s="1561"/>
      <c r="AA17" s="1562">
        <v>1</v>
      </c>
      <c r="AB17" s="1562">
        <v>1</v>
      </c>
      <c r="AC17" s="1562">
        <v>1</v>
      </c>
    </row>
    <row r="18" spans="1:29" ht="42.75">
      <c r="A18" s="515"/>
      <c r="B18" s="255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03"/>
      <c r="Q18" s="2541" t="str">
        <f>B18</f>
        <v>基础设施水平</v>
      </c>
      <c r="R18" s="1559" t="s">
        <v>8</v>
      </c>
      <c r="S18" s="1560">
        <f>F18</f>
        <v>100</v>
      </c>
      <c r="T18" s="1559" t="s">
        <v>8</v>
      </c>
      <c r="U18" s="1560">
        <f>H18</f>
        <v>100</v>
      </c>
      <c r="V18" s="1559" t="s">
        <v>8</v>
      </c>
      <c r="W18" s="1560">
        <f>J18</f>
        <v>100</v>
      </c>
      <c r="X18" s="2543"/>
      <c r="Y18" s="3403"/>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03"/>
      <c r="Q19" s="2541"/>
      <c r="R19" s="1559"/>
      <c r="S19" s="1560"/>
      <c r="T19" s="1559"/>
      <c r="U19" s="1560"/>
      <c r="V19" s="1559"/>
      <c r="W19" s="1560"/>
      <c r="X19" s="2543"/>
      <c r="Y19" s="3403"/>
      <c r="Z19" s="2542"/>
      <c r="AA19" s="1562">
        <v>1</v>
      </c>
      <c r="AB19" s="1562">
        <v>1</v>
      </c>
      <c r="AC19" s="1562">
        <v>1</v>
      </c>
    </row>
    <row r="20" spans="1:29" ht="156.75">
      <c r="A20" s="515"/>
      <c r="B20" s="560" t="s">
        <v>804</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03"/>
      <c r="Q21" s="1558"/>
      <c r="R21" s="1559"/>
      <c r="S21" s="1560"/>
      <c r="T21" s="1559"/>
      <c r="U21" s="1560"/>
      <c r="V21" s="1559"/>
      <c r="W21" s="1560"/>
      <c r="X21" s="1553"/>
      <c r="Y21" s="340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0"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0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05"/>
      <c r="Q31" s="1146" t="str">
        <f t="shared" si="11"/>
        <v>停车位面积</v>
      </c>
      <c r="R31" s="1554" t="s">
        <v>8</v>
      </c>
      <c r="S31" s="1555" t="e">
        <f t="shared" si="12"/>
        <v>#N/A</v>
      </c>
      <c r="T31" s="1554" t="s">
        <v>8</v>
      </c>
      <c r="U31" s="1555" t="e">
        <f t="shared" si="13"/>
        <v>#N/A</v>
      </c>
      <c r="V31" s="1554" t="s">
        <v>8</v>
      </c>
      <c r="W31" s="1555" t="e">
        <f t="shared" si="14"/>
        <v>#N/A</v>
      </c>
      <c r="X31" s="1556"/>
      <c r="Y31" s="3405"/>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05" t="s">
        <v>550</v>
      </c>
      <c r="Q32" s="1558" t="str">
        <f t="shared" si="11"/>
        <v>车位类型</v>
      </c>
      <c r="R32" s="1559" t="s">
        <v>8</v>
      </c>
      <c r="S32" s="1560">
        <f t="shared" si="12"/>
        <v>100</v>
      </c>
      <c r="T32" s="1559" t="s">
        <v>8</v>
      </c>
      <c r="U32" s="1560">
        <f t="shared" si="13"/>
        <v>100</v>
      </c>
      <c r="V32" s="1559" t="s">
        <v>8</v>
      </c>
      <c r="W32" s="1560">
        <f t="shared" si="14"/>
        <v>100</v>
      </c>
      <c r="X32" s="1553"/>
      <c r="Y32" s="340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5">
      <c r="A37" s="1829" t="s">
        <v>2075</v>
      </c>
      <c r="B37" s="1830" t="s">
        <v>2076</v>
      </c>
      <c r="C37" s="2589" t="s">
        <v>1</v>
      </c>
      <c r="D37" s="2590"/>
      <c r="E37" s="2591"/>
      <c r="F37" s="2592"/>
      <c r="G37" s="2593"/>
      <c r="H37" s="2594"/>
      <c r="I37" s="2591"/>
      <c r="J37" s="2594"/>
      <c r="K37" s="1596"/>
      <c r="L37" s="2127"/>
      <c r="M37" s="2128"/>
      <c r="N37" s="2117"/>
      <c r="O37" s="2128"/>
      <c r="P37" s="3368" t="str">
        <f>A37</f>
        <v>成交单价</v>
      </c>
      <c r="Q37" s="3368"/>
      <c r="R37" s="3485">
        <f>E37</f>
        <v>0</v>
      </c>
      <c r="S37" s="3485"/>
      <c r="T37" s="3485">
        <f>G37</f>
        <v>0</v>
      </c>
      <c r="U37" s="3485"/>
      <c r="V37" s="3485">
        <f>I37</f>
        <v>0</v>
      </c>
      <c r="W37" s="3485"/>
      <c r="X37" s="1545"/>
      <c r="Y37" s="1567"/>
      <c r="Z37" s="1545"/>
      <c r="AA37" s="1545"/>
      <c r="AB37" s="1545"/>
      <c r="AC37" s="1545"/>
    </row>
    <row r="38" spans="1:29" ht="15.75" thickBot="1">
      <c r="A38" s="615" t="s">
        <v>2758</v>
      </c>
      <c r="B38" s="888"/>
      <c r="C38" s="2595" t="e">
        <f>R39</f>
        <v>#DIV/0!</v>
      </c>
      <c r="D38" s="2596"/>
      <c r="E38" s="2597" t="e">
        <f>R38</f>
        <v>#DIV/0!</v>
      </c>
      <c r="F38" s="2597"/>
      <c r="G38" s="2595" t="e">
        <f>T38</f>
        <v>#DIV/0!</v>
      </c>
      <c r="H38" s="2596"/>
      <c r="I38" s="2597" t="e">
        <f>V38</f>
        <v>#DIV/0!</v>
      </c>
      <c r="J38" s="2596"/>
      <c r="K38" s="1597"/>
      <c r="L38" s="2127"/>
      <c r="M38" s="2128"/>
      <c r="N38" s="2128"/>
      <c r="O38" s="2128"/>
      <c r="P38" s="3368" t="str">
        <f>A38</f>
        <v>比较价格（元/平方米）</v>
      </c>
      <c r="Q38" s="3368"/>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5"/>
      <c r="Y38" s="1545"/>
      <c r="Z38" s="1545"/>
      <c r="AA38" s="1545"/>
      <c r="AB38" s="1545"/>
      <c r="AC38" s="1545"/>
    </row>
    <row r="39" spans="1:29" ht="15.75" thickBot="1">
      <c r="A39" s="621" t="s">
        <v>2926</v>
      </c>
      <c r="B39" s="622"/>
      <c r="C39" s="2598" t="e">
        <f>R39</f>
        <v>#DIV/0!</v>
      </c>
      <c r="D39" s="2598"/>
      <c r="E39" s="2598"/>
      <c r="F39" s="2598"/>
      <c r="G39" s="2598"/>
      <c r="H39" s="2598"/>
      <c r="I39" s="2598"/>
      <c r="J39" s="2598"/>
      <c r="K39" s="1598"/>
      <c r="L39" s="2127"/>
      <c r="M39" s="2128"/>
      <c r="N39" s="2128"/>
      <c r="O39" s="2128"/>
      <c r="P39" s="3365" t="str">
        <f>A39</f>
        <v>估价对象XX用房的比较价格（楼面单价，元/平方米）</v>
      </c>
      <c r="Q39" s="3366"/>
      <c r="R39" s="3484" t="e">
        <f>IF(F1="售价",ROUND(AVERAGE(R38:V38),0),ROUND(AVERAGE(R38:V38),1))</f>
        <v>#DIV/0!</v>
      </c>
      <c r="S39" s="3484"/>
      <c r="T39" s="3484"/>
      <c r="U39" s="3484"/>
      <c r="V39" s="3484"/>
      <c r="W39" s="3484"/>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574</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797</v>
      </c>
      <c r="B4" s="513"/>
      <c r="C4" s="3374" t="s">
        <v>798</v>
      </c>
      <c r="D4" s="3375"/>
      <c r="E4" s="3408" t="s">
        <v>799</v>
      </c>
      <c r="F4" s="3409"/>
      <c r="G4" s="3374" t="s">
        <v>800</v>
      </c>
      <c r="H4" s="3375"/>
      <c r="I4" s="3374" t="s">
        <v>801</v>
      </c>
      <c r="J4" s="3375"/>
      <c r="K4" s="514" t="s">
        <v>802</v>
      </c>
      <c r="L4" s="2116"/>
      <c r="M4" s="2117"/>
      <c r="N4" s="2117"/>
      <c r="O4" s="2117"/>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ht="15">
      <c r="A5" s="515"/>
      <c r="B5" s="516"/>
      <c r="C5" s="3390" t="s">
        <v>2920</v>
      </c>
      <c r="D5" s="3391"/>
      <c r="E5" s="3410" t="s">
        <v>2921</v>
      </c>
      <c r="F5" s="3411"/>
      <c r="G5" s="3390" t="s">
        <v>2922</v>
      </c>
      <c r="H5" s="3391"/>
      <c r="I5" s="3390" t="s">
        <v>2923</v>
      </c>
      <c r="J5" s="3391"/>
      <c r="K5" s="514"/>
      <c r="L5" s="2116"/>
      <c r="M5" s="2117"/>
      <c r="N5" s="2117"/>
      <c r="O5" s="2117"/>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6"/>
      <c r="M6" s="2117"/>
      <c r="N6" s="2117"/>
      <c r="O6" s="2117"/>
      <c r="P6" s="3380"/>
      <c r="Q6" s="3381"/>
      <c r="R6" s="3384"/>
      <c r="S6" s="3385"/>
      <c r="T6" s="3386"/>
      <c r="U6" s="3387"/>
      <c r="V6" s="3369"/>
      <c r="W6" s="3369"/>
      <c r="X6" s="1553"/>
      <c r="Y6" s="3386"/>
      <c r="Z6" s="3387"/>
      <c r="AA6" s="3373"/>
      <c r="AB6" s="3373"/>
      <c r="AC6" s="3373"/>
    </row>
    <row r="7" spans="1:29" s="1215" customFormat="1" ht="15.75" thickBot="1">
      <c r="A7" s="2865"/>
      <c r="B7" s="2872" t="s">
        <v>529</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99" t="s">
        <v>533</v>
      </c>
      <c r="Q8" s="3400"/>
      <c r="R8" s="1554" t="s">
        <v>8</v>
      </c>
      <c r="S8" s="1555">
        <f t="shared" si="0"/>
        <v>0</v>
      </c>
      <c r="T8" s="1554" t="s">
        <v>8</v>
      </c>
      <c r="U8" s="1555">
        <f t="shared" si="1"/>
        <v>0</v>
      </c>
      <c r="V8" s="1554" t="s">
        <v>8</v>
      </c>
      <c r="W8" s="1555">
        <f t="shared" si="2"/>
        <v>0</v>
      </c>
      <c r="X8" s="1556"/>
      <c r="Y8" s="3399" t="s">
        <v>533</v>
      </c>
      <c r="Z8" s="3400"/>
      <c r="AA8" s="1557" t="e">
        <f t="shared" ref="AA8:AA34" si="3">D8/F8</f>
        <v>#DIV/0!</v>
      </c>
      <c r="AB8" s="1557" t="e">
        <f t="shared" ref="AB8:AB34" si="4">D8/H8</f>
        <v>#DIV/0!</v>
      </c>
      <c r="AC8" s="1557" t="e">
        <f t="shared" ref="AC8:AC34" si="5">D8/J8</f>
        <v>#DIV/0!</v>
      </c>
    </row>
    <row r="9" spans="1:29" s="1215" customFormat="1" ht="15">
      <c r="A9" s="2867"/>
      <c r="B9" s="2874" t="s">
        <v>2754</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7">
      <c r="A10" s="2868"/>
      <c r="B10" s="2873" t="s">
        <v>2755</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14">
      <c r="A14" s="2863" t="s">
        <v>2752</v>
      </c>
      <c r="B14" s="166" t="s">
        <v>543</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03"/>
      <c r="Q15" s="1558"/>
      <c r="R15" s="1559"/>
      <c r="S15" s="1560"/>
      <c r="T15" s="1559"/>
      <c r="U15" s="1560"/>
      <c r="V15" s="1559"/>
      <c r="W15" s="1560"/>
      <c r="X15" s="1553"/>
      <c r="Y15" s="3403"/>
      <c r="Z15" s="1561"/>
      <c r="AA15" s="1562">
        <v>1</v>
      </c>
      <c r="AB15" s="1562">
        <v>1</v>
      </c>
      <c r="AC15" s="1562">
        <v>1</v>
      </c>
    </row>
    <row r="16" spans="1:29" ht="256.5">
      <c r="A16" s="532"/>
      <c r="B16" s="2565" t="s">
        <v>2544</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03"/>
      <c r="Q17" s="1558"/>
      <c r="R17" s="1559"/>
      <c r="S17" s="1560"/>
      <c r="T17" s="1559"/>
      <c r="U17" s="1560"/>
      <c r="V17" s="1559"/>
      <c r="W17" s="1560"/>
      <c r="X17" s="1553"/>
      <c r="Y17" s="3403"/>
      <c r="Z17" s="1561"/>
      <c r="AA17" s="1562">
        <v>1</v>
      </c>
      <c r="AB17" s="1562">
        <v>1</v>
      </c>
      <c r="AC17" s="1562">
        <v>1</v>
      </c>
    </row>
    <row r="18" spans="1:29" ht="42.75">
      <c r="A18" s="532"/>
      <c r="B18" s="255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03"/>
      <c r="Q18" s="2541" t="str">
        <f>B18</f>
        <v>基础设施水平</v>
      </c>
      <c r="R18" s="1559" t="s">
        <v>8</v>
      </c>
      <c r="S18" s="1560">
        <f>F18</f>
        <v>100</v>
      </c>
      <c r="T18" s="1559" t="s">
        <v>8</v>
      </c>
      <c r="U18" s="1560">
        <f>H18</f>
        <v>100</v>
      </c>
      <c r="V18" s="1559" t="s">
        <v>8</v>
      </c>
      <c r="W18" s="1560">
        <f>J18</f>
        <v>100</v>
      </c>
      <c r="X18" s="2543"/>
      <c r="Y18" s="3403"/>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03"/>
      <c r="Q19" s="2541"/>
      <c r="R19" s="1559"/>
      <c r="S19" s="1560"/>
      <c r="T19" s="1559"/>
      <c r="U19" s="1560"/>
      <c r="V19" s="1559"/>
      <c r="W19" s="1560"/>
      <c r="X19" s="2543"/>
      <c r="Y19" s="3403"/>
      <c r="Z19" s="2542"/>
      <c r="AA19" s="1562">
        <v>1</v>
      </c>
      <c r="AB19" s="1562">
        <v>1</v>
      </c>
      <c r="AC19" s="1562">
        <v>1</v>
      </c>
    </row>
    <row r="20" spans="1:29" ht="156.75">
      <c r="A20" s="532"/>
      <c r="B20" s="871" t="s">
        <v>804</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03"/>
      <c r="Q21" s="1558"/>
      <c r="R21" s="1559"/>
      <c r="S21" s="1560"/>
      <c r="T21" s="1559"/>
      <c r="U21" s="1560"/>
      <c r="V21" s="1559"/>
      <c r="W21" s="1560"/>
      <c r="X21" s="1553"/>
      <c r="Y21" s="340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0"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0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05"/>
      <c r="Q31" s="1146" t="str">
        <f t="shared" si="11"/>
        <v>是否封闭</v>
      </c>
      <c r="R31" s="1554" t="s">
        <v>8</v>
      </c>
      <c r="S31" s="1555">
        <f t="shared" si="12"/>
        <v>100</v>
      </c>
      <c r="T31" s="1554" t="s">
        <v>8</v>
      </c>
      <c r="U31" s="1555">
        <f t="shared" si="13"/>
        <v>100</v>
      </c>
      <c r="V31" s="1554" t="s">
        <v>8</v>
      </c>
      <c r="W31" s="1555">
        <f t="shared" si="14"/>
        <v>100</v>
      </c>
      <c r="X31" s="1556"/>
      <c r="Y31" s="3405"/>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05" t="s">
        <v>550</v>
      </c>
      <c r="Q32" s="1558">
        <f t="shared" si="11"/>
        <v>111</v>
      </c>
      <c r="R32" s="1559" t="s">
        <v>8</v>
      </c>
      <c r="S32" s="1560">
        <f t="shared" si="12"/>
        <v>100</v>
      </c>
      <c r="T32" s="1559" t="s">
        <v>8</v>
      </c>
      <c r="U32" s="1560">
        <f t="shared" si="13"/>
        <v>100</v>
      </c>
      <c r="V32" s="1559" t="s">
        <v>8</v>
      </c>
      <c r="W32" s="1560">
        <f t="shared" si="14"/>
        <v>100</v>
      </c>
      <c r="X32" s="1553"/>
      <c r="Y32" s="340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5">
      <c r="A35" s="607" t="s">
        <v>736</v>
      </c>
      <c r="B35" s="887"/>
      <c r="C35" s="2589" t="s">
        <v>1</v>
      </c>
      <c r="D35" s="2590"/>
      <c r="E35" s="2591"/>
      <c r="F35" s="2592"/>
      <c r="G35" s="2593"/>
      <c r="H35" s="2594"/>
      <c r="I35" s="2591"/>
      <c r="J35" s="2594"/>
      <c r="K35" s="1596"/>
      <c r="L35" s="2127"/>
      <c r="M35" s="2128"/>
      <c r="N35" s="2117"/>
      <c r="O35" s="2128"/>
      <c r="P35" s="3368" t="str">
        <f>A35</f>
        <v>成交单价（元/平方米）</v>
      </c>
      <c r="Q35" s="3368"/>
      <c r="R35" s="3485">
        <f>E35</f>
        <v>0</v>
      </c>
      <c r="S35" s="3485"/>
      <c r="T35" s="3485">
        <f>G35</f>
        <v>0</v>
      </c>
      <c r="U35" s="3485"/>
      <c r="V35" s="3485">
        <f>I35</f>
        <v>0</v>
      </c>
      <c r="W35" s="3485"/>
      <c r="X35" s="1545"/>
      <c r="Y35" s="1567"/>
      <c r="Z35" s="1545"/>
      <c r="AA35" s="1545"/>
      <c r="AB35" s="1545"/>
      <c r="AC35" s="1545"/>
    </row>
    <row r="36" spans="1:29" ht="15.75" thickBot="1">
      <c r="A36" s="615" t="s">
        <v>2758</v>
      </c>
      <c r="B36" s="888"/>
      <c r="C36" s="2595" t="e">
        <f>R37</f>
        <v>#DIV/0!</v>
      </c>
      <c r="D36" s="2596"/>
      <c r="E36" s="2597" t="e">
        <f>R36</f>
        <v>#DIV/0!</v>
      </c>
      <c r="F36" s="2597"/>
      <c r="G36" s="2595" t="e">
        <f>T36</f>
        <v>#DIV/0!</v>
      </c>
      <c r="H36" s="2596"/>
      <c r="I36" s="2597" t="e">
        <f>V36</f>
        <v>#DIV/0!</v>
      </c>
      <c r="J36" s="2596"/>
      <c r="K36" s="1597"/>
      <c r="L36" s="2127"/>
      <c r="M36" s="2128"/>
      <c r="N36" s="2117"/>
      <c r="O36" s="2128"/>
      <c r="P36" s="3368" t="str">
        <f>A36</f>
        <v>比较价格（元/平方米）</v>
      </c>
      <c r="Q36" s="3368"/>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5"/>
      <c r="Y36" s="1545"/>
      <c r="Z36" s="1545"/>
      <c r="AA36" s="1545"/>
      <c r="AB36" s="1545"/>
      <c r="AC36" s="1545"/>
    </row>
    <row r="37" spans="1:29" ht="15.75" thickBot="1">
      <c r="A37" s="621" t="s">
        <v>2926</v>
      </c>
      <c r="B37" s="622"/>
      <c r="C37" s="2598" t="e">
        <f>R37</f>
        <v>#DIV/0!</v>
      </c>
      <c r="D37" s="2598"/>
      <c r="E37" s="2598"/>
      <c r="F37" s="2598"/>
      <c r="G37" s="2598"/>
      <c r="H37" s="2598"/>
      <c r="I37" s="2598"/>
      <c r="J37" s="2598"/>
      <c r="K37" s="1598"/>
      <c r="L37" s="2127"/>
      <c r="M37" s="2128"/>
      <c r="N37" s="2128"/>
      <c r="O37" s="2128"/>
      <c r="P37" s="3365" t="str">
        <f>A37</f>
        <v>估价对象XX用房的比较价格（楼面单价，元/平方米）</v>
      </c>
      <c r="Q37" s="3366"/>
      <c r="R37" s="3484" t="e">
        <f>IF(F1="售价",ROUND(AVERAGE(R36:V36),0),ROUND(AVERAGE(R36:V36),1))</f>
        <v>#DIV/0!</v>
      </c>
      <c r="S37" s="3484"/>
      <c r="T37" s="3484"/>
      <c r="U37" s="3484"/>
      <c r="V37" s="3484"/>
      <c r="W37" s="3484"/>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574</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6" sqref="U6"/>
    </sheetView>
  </sheetViews>
  <sheetFormatPr defaultColWidth="9" defaultRowHeight="12.75"/>
  <cols>
    <col min="1" max="1" width="11.5" style="1245" customWidth="1"/>
    <col min="2" max="2" width="9.25" style="1213" customWidth="1"/>
    <col min="3" max="3" width="6.75" style="1213" customWidth="1"/>
    <col min="4" max="4" width="9" style="1213"/>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2301</v>
      </c>
      <c r="C1" s="3496" t="s">
        <v>2302</v>
      </c>
      <c r="D1" s="3497"/>
      <c r="E1" s="3497"/>
      <c r="F1" s="3497"/>
      <c r="G1" s="3497"/>
      <c r="H1" s="3497"/>
      <c r="I1" s="3497"/>
      <c r="J1" s="3497"/>
      <c r="K1" s="3497"/>
      <c r="L1" s="3497"/>
      <c r="M1" s="3497"/>
      <c r="N1" s="3497"/>
      <c r="O1" s="3497"/>
      <c r="P1" s="3497"/>
      <c r="Q1" s="3497"/>
      <c r="R1" s="3497"/>
      <c r="S1" s="3498"/>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2304</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9" t="s">
        <v>3305</v>
      </c>
      <c r="C5" s="2235" t="s">
        <v>3313</v>
      </c>
      <c r="D5" s="2236" t="s">
        <v>3310</v>
      </c>
      <c r="E5" s="2236" t="s">
        <v>3309</v>
      </c>
      <c r="F5" s="2236" t="s">
        <v>3308</v>
      </c>
      <c r="G5" s="2236" t="s">
        <v>3307</v>
      </c>
      <c r="H5" s="2236" t="s">
        <v>3306</v>
      </c>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2919</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2918</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2930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2917</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2916</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 ca="1">S22</f>
        <v>50805</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5">
        <f ca="1">R22</f>
        <v>1052</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483000</v>
      </c>
      <c r="C22" s="3493" t="s">
        <v>20</v>
      </c>
      <c r="D22" s="3494"/>
      <c r="E22" s="3494"/>
      <c r="F22" s="3494"/>
      <c r="G22" s="3494"/>
      <c r="H22" s="3494"/>
      <c r="I22" s="3494"/>
      <c r="J22" s="3494"/>
      <c r="K22" s="3494"/>
      <c r="L22" s="3494"/>
      <c r="M22" s="3494"/>
      <c r="N22" s="3494"/>
      <c r="O22" s="3494"/>
      <c r="P22" s="3494"/>
      <c r="Q22" s="3495"/>
      <c r="R22" s="490">
        <f ca="1">ROUND(S22*10000/B22,0)</f>
        <v>1052</v>
      </c>
      <c r="S22" s="53">
        <f ca="1">SUM(S24:S10000)</f>
        <v>50805</v>
      </c>
    </row>
    <row r="23" spans="1:45" s="1599" customFormat="1" ht="24">
      <c r="A23" s="17" t="s">
        <v>831</v>
      </c>
      <c r="B23" s="17" t="s">
        <v>832</v>
      </c>
      <c r="C23" s="17" t="s">
        <v>833</v>
      </c>
      <c r="D23" s="17" t="str">
        <f>B5</f>
        <v>土地面积</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3311</v>
      </c>
      <c r="E24" s="961">
        <v>1</v>
      </c>
      <c r="F24" s="962"/>
      <c r="G24" s="961">
        <v>1</v>
      </c>
      <c r="H24" s="962"/>
      <c r="I24" s="961">
        <v>1</v>
      </c>
      <c r="J24" s="962"/>
      <c r="K24" s="961">
        <v>1</v>
      </c>
      <c r="L24" s="962"/>
      <c r="M24" s="961">
        <v>1</v>
      </c>
      <c r="N24" s="962"/>
      <c r="O24" s="961">
        <v>1</v>
      </c>
      <c r="P24" s="962"/>
      <c r="Q24" s="961">
        <v>1</v>
      </c>
      <c r="R24" s="963">
        <f ca="1">结果表!N38</f>
        <v>1049</v>
      </c>
      <c r="S24" s="961">
        <f t="shared" ref="S24:S54" ca="1" si="11">ROUND(R24*B24/10000,0)</f>
        <v>12682</v>
      </c>
      <c r="T24" s="1956"/>
      <c r="U24" s="1956"/>
      <c r="V24" s="1956"/>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3312</v>
      </c>
      <c r="E25" s="53">
        <f>(SUMIF($5:$5,D25,$6:$6)-SUMIF($5:$5,$D$24,$6:$6)+100)/100</f>
        <v>1.01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1059</v>
      </c>
      <c r="S25" s="799">
        <f t="shared" ca="1" si="11"/>
        <v>14678</v>
      </c>
    </row>
    <row r="26" spans="1:45">
      <c r="A26" s="964">
        <v>3</v>
      </c>
      <c r="B26" s="137">
        <v>114900</v>
      </c>
      <c r="C26" s="53">
        <f t="shared" ref="C26:C89" si="12">IF(B26="",1,(LOOKUP(B26,$3:$3,$4:$4)-LOOKUP($B$24,$3:$3,$4:$4)+100)/100)</f>
        <v>1</v>
      </c>
      <c r="D26" s="962" t="s">
        <v>3311</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1049</v>
      </c>
      <c r="S26" s="799">
        <f t="shared" ca="1" si="11"/>
        <v>12053</v>
      </c>
    </row>
    <row r="27" spans="1:45">
      <c r="A27" s="964">
        <v>4</v>
      </c>
      <c r="B27" s="137">
        <v>108600</v>
      </c>
      <c r="C27" s="53">
        <f t="shared" si="12"/>
        <v>1</v>
      </c>
      <c r="D27" s="962" t="s">
        <v>3311</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1049</v>
      </c>
      <c r="S27" s="799">
        <f t="shared" ca="1" si="11"/>
        <v>11392</v>
      </c>
    </row>
    <row r="28" spans="1:45">
      <c r="A28" s="964"/>
      <c r="B28" s="137"/>
      <c r="C28" s="53">
        <f t="shared" si="12"/>
        <v>1</v>
      </c>
      <c r="D28" s="962"/>
      <c r="E28" s="53">
        <f t="shared" si="13"/>
        <v>0.01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0.01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0.01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0.01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0.01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0.01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0.01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0.01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0.01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0.01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0.01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0.01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0.01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0.01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0.01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0.01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0.01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0.01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0.01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0.01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0.01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0.01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0.01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0.01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0.01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0.01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0.01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0.01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0.01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0.01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0.01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0.01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0.01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0.01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0.01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0.01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0.01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0.01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0.01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0.01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0.01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0.01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0.01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0.01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0.01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0.01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0.01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0.01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0.01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0.01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0.01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0.01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0.01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0.01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0.01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0.01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0.01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0.01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0.01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0.01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0.01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0.01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0.01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0.01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0.01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0.01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0.01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0.01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0.01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0.01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0.01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0.01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0.01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0.01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0.01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0.01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0.01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0.01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0.01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0.01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0.01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0.01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0.01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0.01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0.01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0.01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0.01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0.01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0.01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0.01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0.01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0.01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0.01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0.01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0.01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0.01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0.01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0.01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0.01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0.01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0.01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0.01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0.01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0.01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0.01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0.01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0.01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0.01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0.01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0.01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0.01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0.01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0.01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0.01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0.01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0.01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0.01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0.01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0.01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0.01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0.01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0.01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0.01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0.01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0.01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0.01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0.01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0.01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0.01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0.01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0.01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0.01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0.01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0.01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0.01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0.01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0.01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0.01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0.01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0.01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0.01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0.01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0.01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0.01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0.01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0.01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0.01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0.01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0.01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0.01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0.01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0.01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0.01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0.01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0.01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0.01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0.01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0.01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0.01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0.01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0.01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0.01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0.01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0.01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0.01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0.01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0.01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0.01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0.01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0.01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0.01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0.01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0.01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0.01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0.01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0.01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0.01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0.01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0.01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0.01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0.01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0.01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0.01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0.01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0.01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0.01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0.01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0.01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0.01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0.01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0.01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0.01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0.01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0.01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0.01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0.01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0.01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0.01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0.01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0.01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0.01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0.01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0.01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0.01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0.01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0.01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0.01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0.01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0.01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0.01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0.01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0.01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0.01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0.01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0.01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0.01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0.01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0.01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0.01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0.01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0.01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0.01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0.01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0.01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0.01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0.01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0.01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0.01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0.01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0.01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0.01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0.01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0.01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0.01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0.01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0.01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0.01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0.01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0.01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0.01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0.01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0.01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0.01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0.01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0.01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0.01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0.01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0.01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0.01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0.01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0.01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0.01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0.01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0.01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0.01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0.01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0.01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0.01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0.01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0.01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0.01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0.01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0.01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0.01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0.01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0.01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0.01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0.01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0.01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0.01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0.01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0.01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0.01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0.01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0.01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0.01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0.01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0.01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0.01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0.01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0.01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0.01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0.01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0.01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0.01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0.01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0.01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0.01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0.01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0.01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0.01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0.01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0.01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0.01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0.01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0.01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0.01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0.01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0.01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0.01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0.01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0.01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0.01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0.01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0.01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0.01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0.01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0.01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0.01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0.01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0.01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0.01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0.01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0.01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0.01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0.01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0.01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0.01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0.01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0.01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0.01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0.01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0.01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0.01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0.01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0.01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0.01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0.01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0.01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0.01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0.01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0.01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0.01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0.01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0.01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0.01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0.01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0.01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0.01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0.01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0.01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0.01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0.01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0.01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0.01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0.01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0.01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0.01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0.01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0.01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0.01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0.01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0.01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0.01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0.01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0.01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0.01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0.01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0.01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0.01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0.01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0.01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0.01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0.01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0.01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0.01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0.01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0.01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0.01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0.01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0.01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0.01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0.01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0.01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0.01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0.01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0.01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0.01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0.01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0.01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0.01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0.01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0.01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0.01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0.01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0.01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0.01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0.01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0.01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0.01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0.01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0.01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0.01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0.01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0.01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0.01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0.01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0.01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0.01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0.01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0.01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0.01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0.01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0.01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0.01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0.01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0.01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0.01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0.01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0.01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0.01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0.01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0.01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0.01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0.01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0.01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0.01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0.01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0.01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0.01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0.01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0.01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0.01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0.01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0.01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0.01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0.01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0.01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0.01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0.01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0.01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0.01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0.01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0.01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0.01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0.01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0.01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0.01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0.01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0.01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0.01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0.01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0.01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0.01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0.01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0.01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0.01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0.01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0.01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0.01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0.01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0.01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0.01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0.01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0.01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0.01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0.01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0.01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0.01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0.01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0.01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0.01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0.01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0.01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0.01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0.01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0.01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0.01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0.01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0.01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0.01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0.01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0.01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0.01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0.01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0.01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0.01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0.01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0.01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0.01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0.01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0.01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0.01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0.01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0.01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0.01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0.01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0.01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0.01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0.01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0.01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0.01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0.01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0.01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0.01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0.01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0.01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1904</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93.75">
      <c r="A7" s="2826" t="s">
        <v>2746</v>
      </c>
    </row>
    <row r="8" spans="1:4" ht="18.75">
      <c r="A8" s="1777" t="s">
        <v>1905</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2019年7月17日（评估专业人员勘察现场之日）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2747</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1.5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C1" workbookViewId="0">
      <selection activeCell="A20" sqref="A20"/>
    </sheetView>
  </sheetViews>
  <sheetFormatPr defaultRowHeight="13.5"/>
  <cols>
    <col min="1" max="1" width="51.875" style="2892" customWidth="1"/>
    <col min="2" max="2" width="6.25" style="2892" customWidth="1"/>
    <col min="3" max="5" width="13.875" style="2892" customWidth="1"/>
    <col min="6" max="6" width="24.8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4">
      <c r="A1" s="2892" t="s">
        <v>3025</v>
      </c>
      <c r="B1" s="2892" t="s">
        <v>3026</v>
      </c>
      <c r="C1" s="2892" t="s">
        <v>3027</v>
      </c>
      <c r="D1" s="2892" t="s">
        <v>3028</v>
      </c>
      <c r="E1" s="2892" t="s">
        <v>3029</v>
      </c>
      <c r="F1" s="2892" t="s">
        <v>2030</v>
      </c>
      <c r="G1" s="2892" t="s">
        <v>3030</v>
      </c>
      <c r="H1" s="2892" t="s">
        <v>3031</v>
      </c>
      <c r="I1" s="2892" t="s">
        <v>3032</v>
      </c>
      <c r="J1" s="2892" t="s">
        <v>3033</v>
      </c>
      <c r="K1" s="2892" t="s">
        <v>3034</v>
      </c>
      <c r="L1" s="2892" t="s">
        <v>3035</v>
      </c>
      <c r="M1" s="2892" t="s">
        <v>3036</v>
      </c>
      <c r="N1" s="2892" t="s">
        <v>3037</v>
      </c>
    </row>
    <row r="2" spans="1:14">
      <c r="A2" s="2892" t="s">
        <v>3038</v>
      </c>
      <c r="B2" s="2892" t="s">
        <v>3039</v>
      </c>
      <c r="C2" s="2892" t="s">
        <v>3040</v>
      </c>
      <c r="D2" s="2892">
        <v>53975</v>
      </c>
      <c r="E2" s="2892">
        <v>134937.5</v>
      </c>
      <c r="F2" s="2892" t="s">
        <v>3041</v>
      </c>
      <c r="G2" s="2892" t="s">
        <v>3042</v>
      </c>
      <c r="H2" s="2892" t="s">
        <v>3043</v>
      </c>
      <c r="I2" s="2892">
        <v>18000</v>
      </c>
      <c r="J2" s="2892">
        <v>18010</v>
      </c>
      <c r="K2" s="2892">
        <v>1334.69</v>
      </c>
      <c r="L2" s="2892">
        <v>0.06</v>
      </c>
      <c r="M2" s="2892" t="s">
        <v>3044</v>
      </c>
      <c r="N2" s="2892" t="s">
        <v>3045</v>
      </c>
    </row>
    <row r="3" spans="1:14" s="3181" customFormat="1">
      <c r="A3" s="3181" t="s">
        <v>3046</v>
      </c>
      <c r="B3" s="3181" t="s">
        <v>3039</v>
      </c>
      <c r="C3" s="3181" t="s">
        <v>3040</v>
      </c>
      <c r="D3" s="3181">
        <v>46061</v>
      </c>
      <c r="E3" s="3181">
        <v>115152.5</v>
      </c>
      <c r="F3" s="3181" t="s">
        <v>3041</v>
      </c>
      <c r="G3" s="3181" t="s">
        <v>3042</v>
      </c>
      <c r="H3" s="3181" t="s">
        <v>3043</v>
      </c>
      <c r="I3" s="3181">
        <v>15400</v>
      </c>
      <c r="J3" s="3181">
        <v>15410</v>
      </c>
      <c r="K3" s="3181">
        <v>1338.23</v>
      </c>
      <c r="L3" s="3181">
        <v>0.06</v>
      </c>
      <c r="M3" s="3181" t="s">
        <v>3044</v>
      </c>
      <c r="N3" s="3181" t="s">
        <v>3045</v>
      </c>
    </row>
    <row r="4" spans="1:14">
      <c r="A4" s="2892" t="s">
        <v>3047</v>
      </c>
      <c r="B4" s="2892" t="s">
        <v>3039</v>
      </c>
      <c r="C4" s="2892" t="s">
        <v>3040</v>
      </c>
      <c r="D4" s="2892">
        <v>49971</v>
      </c>
      <c r="E4" s="2892">
        <v>124927.5</v>
      </c>
      <c r="F4" s="2892" t="s">
        <v>3041</v>
      </c>
      <c r="G4" s="2892" t="s">
        <v>3042</v>
      </c>
      <c r="H4" s="2892" t="s">
        <v>3043</v>
      </c>
      <c r="I4" s="2892">
        <v>16500</v>
      </c>
      <c r="J4" s="2892">
        <v>16510</v>
      </c>
      <c r="K4" s="2892">
        <v>1321.56</v>
      </c>
      <c r="L4" s="2892">
        <v>0.06</v>
      </c>
      <c r="M4" s="2892" t="s">
        <v>3044</v>
      </c>
      <c r="N4" s="2892" t="s">
        <v>3045</v>
      </c>
    </row>
    <row r="5" spans="1:14">
      <c r="A5" s="2892" t="s">
        <v>3048</v>
      </c>
      <c r="B5" s="2892" t="s">
        <v>3039</v>
      </c>
      <c r="C5" s="2892" t="s">
        <v>3040</v>
      </c>
      <c r="D5" s="2892">
        <v>39442</v>
      </c>
      <c r="E5" s="2892">
        <v>98605</v>
      </c>
      <c r="F5" s="2892" t="s">
        <v>3041</v>
      </c>
      <c r="G5" s="2892" t="s">
        <v>3042</v>
      </c>
      <c r="H5" s="2892" t="s">
        <v>3043</v>
      </c>
      <c r="I5" s="2892">
        <v>13200</v>
      </c>
      <c r="J5" s="2892">
        <v>13210</v>
      </c>
      <c r="K5" s="2892">
        <v>1339.69</v>
      </c>
      <c r="L5" s="2892">
        <v>0.08</v>
      </c>
      <c r="M5" s="2892" t="s">
        <v>3044</v>
      </c>
      <c r="N5" s="2892" t="s">
        <v>3045</v>
      </c>
    </row>
    <row r="6" spans="1:14" s="3181" customFormat="1">
      <c r="A6" s="3181" t="s">
        <v>3049</v>
      </c>
      <c r="B6" s="3181" t="s">
        <v>3039</v>
      </c>
      <c r="C6" s="3181" t="s">
        <v>3040</v>
      </c>
      <c r="D6" s="3181">
        <v>46433</v>
      </c>
      <c r="E6" s="3181">
        <v>116082.5</v>
      </c>
      <c r="F6" s="3181" t="s">
        <v>3041</v>
      </c>
      <c r="G6" s="3181" t="s">
        <v>3042</v>
      </c>
      <c r="H6" s="3181" t="s">
        <v>3043</v>
      </c>
      <c r="I6" s="3181">
        <v>15500</v>
      </c>
      <c r="J6" s="3181">
        <v>15510</v>
      </c>
      <c r="K6" s="3181">
        <v>1336.11</v>
      </c>
      <c r="L6" s="3181">
        <v>0.06</v>
      </c>
      <c r="M6" s="3181" t="s">
        <v>3044</v>
      </c>
      <c r="N6" s="3181" t="s">
        <v>3045</v>
      </c>
    </row>
    <row r="7" spans="1:14">
      <c r="A7" s="2892" t="s">
        <v>3050</v>
      </c>
      <c r="B7" s="2892" t="s">
        <v>3039</v>
      </c>
      <c r="C7" s="2892" t="s">
        <v>3040</v>
      </c>
      <c r="D7" s="2892">
        <v>51786</v>
      </c>
      <c r="E7" s="2892">
        <v>145000.79999999999</v>
      </c>
      <c r="F7" s="2892" t="s">
        <v>3051</v>
      </c>
      <c r="G7" s="2892" t="s">
        <v>3042</v>
      </c>
      <c r="H7" s="2892" t="s">
        <v>3052</v>
      </c>
      <c r="I7" s="2892">
        <v>19650</v>
      </c>
      <c r="J7" s="2892">
        <v>19660</v>
      </c>
      <c r="K7" s="2892">
        <v>1355.84</v>
      </c>
      <c r="L7" s="2892">
        <v>0.05</v>
      </c>
      <c r="M7" s="2892" t="s">
        <v>3053</v>
      </c>
      <c r="N7" s="2892" t="s">
        <v>3045</v>
      </c>
    </row>
    <row r="8" spans="1:14">
      <c r="A8" s="2892" t="s">
        <v>3054</v>
      </c>
      <c r="B8" s="2892" t="s">
        <v>3039</v>
      </c>
      <c r="C8" s="2892" t="s">
        <v>3040</v>
      </c>
      <c r="D8" s="2892">
        <v>33730</v>
      </c>
      <c r="E8" s="2892">
        <v>94444</v>
      </c>
      <c r="F8" s="2892" t="s">
        <v>3051</v>
      </c>
      <c r="G8" s="2892" t="s">
        <v>3042</v>
      </c>
      <c r="H8" s="2892" t="s">
        <v>3052</v>
      </c>
      <c r="I8" s="2892">
        <v>12350</v>
      </c>
      <c r="J8" s="2892">
        <v>13560</v>
      </c>
      <c r="K8" s="2892">
        <v>1435.76</v>
      </c>
      <c r="L8" s="2892">
        <v>9.8000000000000007</v>
      </c>
      <c r="M8" s="2892" t="s">
        <v>3053</v>
      </c>
      <c r="N8" s="2892" t="s">
        <v>3045</v>
      </c>
    </row>
    <row r="9" spans="1:14">
      <c r="A9" s="2892" t="s">
        <v>3055</v>
      </c>
      <c r="B9" s="2892" t="s">
        <v>3039</v>
      </c>
      <c r="C9" s="2892" t="s">
        <v>3040</v>
      </c>
      <c r="D9" s="2892">
        <v>33595</v>
      </c>
      <c r="E9" s="2892">
        <v>94066</v>
      </c>
      <c r="F9" s="2892" t="s">
        <v>3051</v>
      </c>
      <c r="G9" s="2892" t="s">
        <v>3042</v>
      </c>
      <c r="H9" s="2892" t="s">
        <v>3052</v>
      </c>
      <c r="I9" s="2892">
        <v>13600</v>
      </c>
      <c r="J9" s="2892">
        <v>13610</v>
      </c>
      <c r="K9" s="2892">
        <v>1446.85</v>
      </c>
      <c r="L9" s="2892">
        <v>7.0000000000000007E-2</v>
      </c>
      <c r="M9" s="2892" t="s">
        <v>3053</v>
      </c>
      <c r="N9" s="2892" t="s">
        <v>3045</v>
      </c>
    </row>
    <row r="10" spans="1:14">
      <c r="A10" s="2892" t="s">
        <v>3056</v>
      </c>
      <c r="B10" s="2892" t="s">
        <v>3039</v>
      </c>
      <c r="C10" s="2892" t="s">
        <v>3040</v>
      </c>
      <c r="D10" s="2892">
        <v>44350</v>
      </c>
      <c r="E10" s="2892">
        <v>124180</v>
      </c>
      <c r="F10" s="2892" t="s">
        <v>3051</v>
      </c>
      <c r="G10" s="2892" t="s">
        <v>3042</v>
      </c>
      <c r="H10" s="2892" t="s">
        <v>3052</v>
      </c>
      <c r="I10" s="2892">
        <v>16600</v>
      </c>
      <c r="J10" s="2892">
        <v>18810</v>
      </c>
      <c r="K10" s="2892">
        <v>1514.74</v>
      </c>
      <c r="L10" s="2892">
        <v>13.31</v>
      </c>
      <c r="M10" s="2892" t="s">
        <v>3057</v>
      </c>
      <c r="N10" s="2892" t="s">
        <v>3045</v>
      </c>
    </row>
    <row r="11" spans="1:14">
      <c r="A11" s="2892" t="s">
        <v>3058</v>
      </c>
      <c r="B11" s="2892" t="s">
        <v>3039</v>
      </c>
      <c r="C11" s="2892" t="s">
        <v>3040</v>
      </c>
      <c r="D11" s="2892">
        <v>8746.57</v>
      </c>
      <c r="E11" s="2892">
        <v>34986.28</v>
      </c>
      <c r="F11" s="2892" t="s">
        <v>3059</v>
      </c>
      <c r="G11" s="2892" t="s">
        <v>3042</v>
      </c>
      <c r="H11" s="2892" t="s">
        <v>3060</v>
      </c>
      <c r="I11" s="2892">
        <v>2900</v>
      </c>
      <c r="J11" s="2892">
        <v>2950</v>
      </c>
      <c r="K11" s="2892">
        <v>843.19</v>
      </c>
      <c r="L11" s="2892">
        <v>1.72</v>
      </c>
      <c r="M11" s="2892" t="s">
        <v>3061</v>
      </c>
      <c r="N11" s="2892" t="s">
        <v>3045</v>
      </c>
    </row>
    <row r="12" spans="1:14">
      <c r="A12" s="2892" t="s">
        <v>3062</v>
      </c>
      <c r="B12" s="2892" t="s">
        <v>3039</v>
      </c>
      <c r="C12" s="2892" t="s">
        <v>3040</v>
      </c>
      <c r="D12" s="2892">
        <v>15660.68</v>
      </c>
      <c r="E12" s="2892">
        <v>42283.839999999997</v>
      </c>
      <c r="F12" s="2892" t="s">
        <v>3063</v>
      </c>
      <c r="G12" s="2892" t="s">
        <v>3042</v>
      </c>
      <c r="H12" s="2892" t="s">
        <v>3060</v>
      </c>
      <c r="I12" s="2892">
        <v>1550</v>
      </c>
      <c r="J12" s="2892">
        <v>1550</v>
      </c>
      <c r="K12" s="2892">
        <v>366.56</v>
      </c>
      <c r="L12" s="2892">
        <v>0</v>
      </c>
      <c r="M12" s="2892" t="s">
        <v>3064</v>
      </c>
      <c r="N12" s="2892" t="s">
        <v>3045</v>
      </c>
    </row>
    <row r="13" spans="1:14" s="3193" customFormat="1">
      <c r="A13" s="3193" t="s">
        <v>3065</v>
      </c>
      <c r="B13" s="3193" t="s">
        <v>3039</v>
      </c>
      <c r="C13" s="3193" t="s">
        <v>3040</v>
      </c>
      <c r="D13" s="3193">
        <v>994.97</v>
      </c>
      <c r="E13" s="3193">
        <v>1253.6600000000001</v>
      </c>
      <c r="F13" s="3193" t="s">
        <v>3066</v>
      </c>
      <c r="G13" s="3193" t="s">
        <v>3042</v>
      </c>
      <c r="H13" s="3193" t="s">
        <v>3060</v>
      </c>
      <c r="I13" s="3193">
        <v>110</v>
      </c>
      <c r="J13" s="3193">
        <v>130</v>
      </c>
      <c r="K13" s="3193">
        <v>1036.96</v>
      </c>
      <c r="L13" s="3193">
        <v>18.18</v>
      </c>
      <c r="M13" s="3193" t="s">
        <v>3067</v>
      </c>
      <c r="N13" s="3193" t="s">
        <v>3045</v>
      </c>
    </row>
    <row r="14" spans="1:14" s="3499" customFormat="1">
      <c r="A14" s="3499" t="s">
        <v>3068</v>
      </c>
      <c r="B14" s="3499" t="s">
        <v>3039</v>
      </c>
      <c r="C14" s="3499" t="s">
        <v>3040</v>
      </c>
      <c r="D14" s="3499">
        <v>50497</v>
      </c>
      <c r="E14" s="3499">
        <v>126242.5</v>
      </c>
      <c r="F14" s="3499" t="s">
        <v>3041</v>
      </c>
      <c r="G14" s="3499" t="s">
        <v>3042</v>
      </c>
      <c r="H14" s="3499" t="s">
        <v>3069</v>
      </c>
      <c r="I14" s="3499">
        <v>12900</v>
      </c>
      <c r="J14" s="3499">
        <v>12910</v>
      </c>
      <c r="K14" s="3499">
        <v>1022.63</v>
      </c>
      <c r="L14" s="3499">
        <v>0.08</v>
      </c>
      <c r="M14" s="3499" t="s">
        <v>3070</v>
      </c>
      <c r="N14" s="3499" t="s">
        <v>3045</v>
      </c>
    </row>
    <row r="15" spans="1:14">
      <c r="A15" s="2892" t="s">
        <v>3071</v>
      </c>
      <c r="B15" s="2892" t="s">
        <v>3039</v>
      </c>
      <c r="C15" s="2892" t="s">
        <v>3040</v>
      </c>
      <c r="D15" s="2892">
        <v>40330</v>
      </c>
      <c r="E15" s="2892">
        <v>100825</v>
      </c>
      <c r="F15" s="2892" t="s">
        <v>3072</v>
      </c>
      <c r="G15" s="2892" t="s">
        <v>3042</v>
      </c>
      <c r="H15" s="2892" t="s">
        <v>3073</v>
      </c>
      <c r="I15" s="2892">
        <v>12100</v>
      </c>
      <c r="J15" s="2892">
        <v>12100</v>
      </c>
      <c r="K15" s="2892">
        <v>1200.0899999999999</v>
      </c>
      <c r="L15" s="2892">
        <v>0</v>
      </c>
      <c r="M15" s="2892" t="s">
        <v>3074</v>
      </c>
      <c r="N15" s="2892" t="s">
        <v>3045</v>
      </c>
    </row>
    <row r="16" spans="1:14">
      <c r="A16" s="2892" t="s">
        <v>3075</v>
      </c>
      <c r="B16" s="2892" t="s">
        <v>3039</v>
      </c>
      <c r="C16" s="2892" t="s">
        <v>3040</v>
      </c>
      <c r="D16" s="2892">
        <v>40330</v>
      </c>
      <c r="E16" s="2892">
        <v>100825</v>
      </c>
      <c r="F16" s="2892" t="s">
        <v>3072</v>
      </c>
      <c r="G16" s="2892" t="s">
        <v>3042</v>
      </c>
      <c r="H16" s="2892" t="s">
        <v>3073</v>
      </c>
      <c r="I16" s="2892">
        <v>12100</v>
      </c>
      <c r="J16" s="2892">
        <v>12100</v>
      </c>
      <c r="K16" s="2892">
        <v>1200.0899999999999</v>
      </c>
      <c r="L16" s="2892">
        <v>0</v>
      </c>
      <c r="M16" s="2892" t="s">
        <v>3074</v>
      </c>
      <c r="N16" s="2892" t="s">
        <v>3045</v>
      </c>
    </row>
    <row r="17" spans="1:14" s="3499" customFormat="1">
      <c r="A17" s="3499" t="s">
        <v>3076</v>
      </c>
      <c r="B17" s="3499" t="s">
        <v>3039</v>
      </c>
      <c r="C17" s="3499" t="s">
        <v>3040</v>
      </c>
      <c r="D17" s="3499">
        <v>123952</v>
      </c>
      <c r="E17" s="3499">
        <v>247904</v>
      </c>
      <c r="F17" s="3499" t="s">
        <v>3077</v>
      </c>
      <c r="G17" s="3499" t="s">
        <v>3042</v>
      </c>
      <c r="H17" s="3499" t="s">
        <v>3078</v>
      </c>
      <c r="I17" s="3499">
        <v>28672</v>
      </c>
      <c r="J17" s="3499">
        <v>29392</v>
      </c>
      <c r="K17" s="3499">
        <v>1185.6099999999999</v>
      </c>
      <c r="L17" s="3499">
        <v>2.5099999999999998</v>
      </c>
      <c r="M17" s="3499" t="s">
        <v>3079</v>
      </c>
      <c r="N17" s="3499" t="s">
        <v>3080</v>
      </c>
    </row>
    <row r="18" spans="1:14" s="3193" customFormat="1">
      <c r="A18" s="3193" t="s">
        <v>3081</v>
      </c>
      <c r="B18" s="3193" t="s">
        <v>3039</v>
      </c>
      <c r="C18" s="3193" t="s">
        <v>3040</v>
      </c>
      <c r="D18" s="3193">
        <v>119592</v>
      </c>
      <c r="E18" s="3193">
        <v>221245.2</v>
      </c>
      <c r="F18" s="3193" t="s">
        <v>3082</v>
      </c>
      <c r="G18" s="3193" t="s">
        <v>3042</v>
      </c>
      <c r="H18" s="3193" t="s">
        <v>3078</v>
      </c>
      <c r="I18" s="3193">
        <v>26070</v>
      </c>
      <c r="J18" s="3193">
        <v>26730</v>
      </c>
      <c r="K18" s="3193">
        <v>1208.1600000000001</v>
      </c>
      <c r="L18" s="3193">
        <v>2.5299999999999998</v>
      </c>
      <c r="M18" s="3193" t="s">
        <v>3079</v>
      </c>
      <c r="N18" s="3193" t="s">
        <v>3080</v>
      </c>
    </row>
    <row r="19" spans="1:14">
      <c r="A19" s="2892" t="s">
        <v>3083</v>
      </c>
      <c r="B19" s="2892" t="s">
        <v>3039</v>
      </c>
      <c r="C19" s="2892" t="s">
        <v>3084</v>
      </c>
      <c r="D19" s="2892">
        <v>85344</v>
      </c>
      <c r="E19" s="2892">
        <v>227015</v>
      </c>
      <c r="F19" s="2892" t="s">
        <v>3085</v>
      </c>
      <c r="G19" s="2892" t="s">
        <v>3042</v>
      </c>
      <c r="H19" s="2892" t="s">
        <v>3078</v>
      </c>
      <c r="I19" s="2892">
        <v>20145</v>
      </c>
      <c r="J19" s="2892">
        <v>20655</v>
      </c>
      <c r="K19" s="2892">
        <v>909.85</v>
      </c>
      <c r="L19" s="2892">
        <v>2.5299999999999998</v>
      </c>
      <c r="M19" s="2892" t="s">
        <v>3079</v>
      </c>
      <c r="N19" s="2892" t="s">
        <v>3080</v>
      </c>
    </row>
    <row r="20" spans="1:14" s="3499" customFormat="1">
      <c r="A20" s="3499" t="s">
        <v>3086</v>
      </c>
      <c r="B20" s="3499" t="s">
        <v>3039</v>
      </c>
      <c r="C20" s="3499" t="s">
        <v>3040</v>
      </c>
      <c r="D20" s="3499">
        <v>116919</v>
      </c>
      <c r="E20" s="3499">
        <v>222146.1</v>
      </c>
      <c r="F20" s="3499" t="s">
        <v>3087</v>
      </c>
      <c r="G20" s="3499" t="s">
        <v>3042</v>
      </c>
      <c r="H20" s="3499" t="s">
        <v>3078</v>
      </c>
      <c r="I20" s="3499">
        <v>23203</v>
      </c>
      <c r="J20" s="3499">
        <v>23783</v>
      </c>
      <c r="K20" s="3499">
        <v>1070.5899999999999</v>
      </c>
      <c r="L20" s="3499">
        <v>2.5</v>
      </c>
      <c r="M20" s="3499" t="s">
        <v>3079</v>
      </c>
      <c r="N20" s="3499" t="s">
        <v>3080</v>
      </c>
    </row>
    <row r="21" spans="1:14">
      <c r="A21" s="2892" t="s">
        <v>3088</v>
      </c>
      <c r="B21" s="2892" t="s">
        <v>3039</v>
      </c>
      <c r="C21" s="2892" t="s">
        <v>3040</v>
      </c>
      <c r="D21" s="2892">
        <v>68368</v>
      </c>
      <c r="E21" s="2892">
        <v>123746.1</v>
      </c>
      <c r="F21" s="2892" t="s">
        <v>3089</v>
      </c>
      <c r="G21" s="2892" t="s">
        <v>3042</v>
      </c>
      <c r="H21" s="2892" t="s">
        <v>3078</v>
      </c>
      <c r="I21" s="2892">
        <v>13647</v>
      </c>
      <c r="J21" s="2892">
        <v>13987</v>
      </c>
      <c r="K21" s="2892">
        <v>1130.29</v>
      </c>
      <c r="L21" s="2892">
        <v>2.4900000000000002</v>
      </c>
      <c r="M21" s="2892" t="s">
        <v>3079</v>
      </c>
      <c r="N21" s="2892" t="s">
        <v>3080</v>
      </c>
    </row>
    <row r="22" spans="1:14">
      <c r="A22" s="2892" t="s">
        <v>3090</v>
      </c>
      <c r="B22" s="2892" t="s">
        <v>3039</v>
      </c>
      <c r="C22" s="2892" t="s">
        <v>3040</v>
      </c>
      <c r="D22" s="2892">
        <v>56710</v>
      </c>
      <c r="E22" s="2892">
        <v>198485</v>
      </c>
      <c r="F22" s="2892" t="s">
        <v>3091</v>
      </c>
      <c r="G22" s="2892" t="s">
        <v>3042</v>
      </c>
      <c r="H22" s="2892" t="s">
        <v>3092</v>
      </c>
      <c r="I22" s="2892">
        <v>17200</v>
      </c>
      <c r="J22" s="2892">
        <v>17210</v>
      </c>
      <c r="K22" s="2892">
        <v>867.07</v>
      </c>
      <c r="L22" s="2892">
        <v>0.06</v>
      </c>
      <c r="M22" s="2892" t="s">
        <v>2990</v>
      </c>
      <c r="N22" s="2892" t="s">
        <v>3045</v>
      </c>
    </row>
    <row r="23" spans="1:14">
      <c r="A23" s="2892" t="s">
        <v>3093</v>
      </c>
      <c r="B23" s="2892" t="s">
        <v>3039</v>
      </c>
      <c r="C23" s="2892" t="s">
        <v>3040</v>
      </c>
      <c r="D23" s="2892">
        <v>49574</v>
      </c>
      <c r="E23" s="2892">
        <v>173509</v>
      </c>
      <c r="F23" s="2892" t="s">
        <v>3091</v>
      </c>
      <c r="G23" s="2892" t="s">
        <v>3042</v>
      </c>
      <c r="H23" s="2892" t="s">
        <v>3092</v>
      </c>
      <c r="I23" s="2892">
        <v>15000</v>
      </c>
      <c r="J23" s="2892">
        <v>15010</v>
      </c>
      <c r="K23" s="2892">
        <v>865.08</v>
      </c>
      <c r="L23" s="2892">
        <v>7.0000000000000007E-2</v>
      </c>
      <c r="M23" s="2892" t="s">
        <v>2990</v>
      </c>
      <c r="N23" s="2892" t="s">
        <v>3045</v>
      </c>
    </row>
    <row r="24" spans="1:14">
      <c r="A24" s="2892" t="s">
        <v>3094</v>
      </c>
      <c r="B24" s="2892" t="s">
        <v>3039</v>
      </c>
      <c r="C24" s="2892" t="s">
        <v>3040</v>
      </c>
      <c r="D24" s="2892">
        <v>12970</v>
      </c>
      <c r="E24" s="2892">
        <v>67184.600000000006</v>
      </c>
      <c r="F24" s="2892" t="s">
        <v>3095</v>
      </c>
      <c r="G24" s="2892" t="s">
        <v>3042</v>
      </c>
      <c r="H24" s="2892" t="s">
        <v>3096</v>
      </c>
      <c r="I24" s="2892">
        <v>7600</v>
      </c>
      <c r="J24" s="2892">
        <v>7820</v>
      </c>
      <c r="K24" s="2892">
        <v>1163.96</v>
      </c>
      <c r="L24" s="2892">
        <v>2.89</v>
      </c>
      <c r="M24" s="2892" t="s">
        <v>3097</v>
      </c>
      <c r="N24" s="2892" t="s">
        <v>3045</v>
      </c>
    </row>
    <row r="25" spans="1:14">
      <c r="A25" s="2892" t="s">
        <v>3098</v>
      </c>
      <c r="B25" s="2892" t="s">
        <v>3039</v>
      </c>
      <c r="C25" s="2892" t="s">
        <v>3040</v>
      </c>
      <c r="D25" s="2892">
        <v>5327</v>
      </c>
      <c r="E25" s="2892">
        <v>22320.13</v>
      </c>
      <c r="F25" s="2892" t="s">
        <v>3099</v>
      </c>
      <c r="G25" s="2892" t="s">
        <v>3042</v>
      </c>
      <c r="H25" s="2892" t="s">
        <v>3096</v>
      </c>
      <c r="I25" s="2892">
        <v>1880</v>
      </c>
      <c r="J25" s="2892">
        <v>2200</v>
      </c>
      <c r="K25" s="2892">
        <v>985.65</v>
      </c>
      <c r="L25" s="2892">
        <v>17.02</v>
      </c>
      <c r="M25" s="2892" t="s">
        <v>3100</v>
      </c>
      <c r="N25" s="2892" t="s">
        <v>3045</v>
      </c>
    </row>
    <row r="26" spans="1:14">
      <c r="A26" s="2892" t="s">
        <v>3101</v>
      </c>
      <c r="B26" s="2892" t="s">
        <v>3039</v>
      </c>
      <c r="C26" s="2892" t="s">
        <v>3040</v>
      </c>
      <c r="D26" s="2892">
        <v>50239</v>
      </c>
      <c r="E26" s="2892">
        <v>175836.5</v>
      </c>
      <c r="F26" s="2892" t="s">
        <v>3091</v>
      </c>
      <c r="G26" s="2892" t="s">
        <v>3042</v>
      </c>
      <c r="H26" s="2892" t="s">
        <v>3102</v>
      </c>
      <c r="I26" s="2892">
        <v>12510</v>
      </c>
      <c r="J26" s="2892">
        <v>12510</v>
      </c>
      <c r="K26" s="2892">
        <v>711.46</v>
      </c>
      <c r="L26" s="2892">
        <v>0</v>
      </c>
      <c r="M26" s="2892" t="s">
        <v>3103</v>
      </c>
      <c r="N26" s="2892" t="s">
        <v>3045</v>
      </c>
    </row>
    <row r="27" spans="1:14">
      <c r="A27" s="2892" t="s">
        <v>3104</v>
      </c>
      <c r="B27" s="2892" t="s">
        <v>3039</v>
      </c>
      <c r="C27" s="2892" t="s">
        <v>3040</v>
      </c>
      <c r="D27" s="2892">
        <v>5708.02</v>
      </c>
      <c r="E27" s="2892">
        <v>18265.66</v>
      </c>
      <c r="F27" s="2892" t="s">
        <v>3105</v>
      </c>
      <c r="G27" s="2892" t="s">
        <v>3042</v>
      </c>
      <c r="H27" s="2892" t="s">
        <v>3106</v>
      </c>
      <c r="I27" s="2892">
        <v>600</v>
      </c>
      <c r="J27" s="2892">
        <v>720</v>
      </c>
      <c r="K27" s="2892">
        <v>394.18</v>
      </c>
      <c r="L27" s="2892">
        <v>20</v>
      </c>
      <c r="M27" s="2892" t="s">
        <v>3107</v>
      </c>
      <c r="N27" s="2892" t="s">
        <v>3045</v>
      </c>
    </row>
    <row r="28" spans="1:14" s="3193" customFormat="1">
      <c r="A28" s="3193" t="s">
        <v>3108</v>
      </c>
      <c r="B28" s="3193" t="s">
        <v>3039</v>
      </c>
      <c r="C28" s="3193" t="s">
        <v>3040</v>
      </c>
      <c r="D28" s="3193">
        <v>29570.1</v>
      </c>
      <c r="E28" s="3193">
        <v>73925.25</v>
      </c>
      <c r="F28" s="3193" t="s">
        <v>3072</v>
      </c>
      <c r="G28" s="3193" t="s">
        <v>3042</v>
      </c>
      <c r="H28" s="3193" t="s">
        <v>3106</v>
      </c>
      <c r="I28" s="3193">
        <v>6200</v>
      </c>
      <c r="J28" s="3193">
        <v>11710</v>
      </c>
      <c r="K28" s="3193">
        <v>1584.02</v>
      </c>
      <c r="L28" s="3193">
        <v>88.87</v>
      </c>
      <c r="M28" s="3193" t="s">
        <v>3109</v>
      </c>
      <c r="N28" s="3193" t="s">
        <v>3045</v>
      </c>
    </row>
    <row r="29" spans="1:14">
      <c r="A29" s="2892" t="s">
        <v>3110</v>
      </c>
      <c r="B29" s="2892" t="s">
        <v>3039</v>
      </c>
      <c r="C29" s="2892" t="s">
        <v>3040</v>
      </c>
      <c r="D29" s="2892">
        <v>47152</v>
      </c>
      <c r="E29" s="2892">
        <v>94304</v>
      </c>
      <c r="F29" s="2892" t="s">
        <v>3111</v>
      </c>
      <c r="G29" s="2892" t="s">
        <v>3042</v>
      </c>
      <c r="H29" s="2892" t="s">
        <v>3112</v>
      </c>
      <c r="I29" s="2892">
        <v>7000</v>
      </c>
      <c r="J29" s="2892">
        <v>7080</v>
      </c>
      <c r="K29" s="2892">
        <v>750.75</v>
      </c>
      <c r="L29" s="2892">
        <v>1.1399999999999999</v>
      </c>
      <c r="M29" s="2892" t="s">
        <v>3113</v>
      </c>
      <c r="N29" s="2892" t="s">
        <v>3045</v>
      </c>
    </row>
    <row r="30" spans="1:14">
      <c r="A30" s="2892" t="s">
        <v>3114</v>
      </c>
      <c r="B30" s="2892" t="s">
        <v>3039</v>
      </c>
      <c r="C30" s="2892" t="s">
        <v>3040</v>
      </c>
      <c r="D30" s="2892">
        <v>10674.69</v>
      </c>
      <c r="E30" s="2892">
        <v>37361.42</v>
      </c>
      <c r="F30" s="2892" t="s">
        <v>3091</v>
      </c>
      <c r="G30" s="2892" t="s">
        <v>3042</v>
      </c>
      <c r="H30" s="2892" t="s">
        <v>3112</v>
      </c>
      <c r="I30" s="2892">
        <v>3200</v>
      </c>
      <c r="J30" s="2892">
        <v>3410</v>
      </c>
      <c r="K30" s="2892">
        <v>912.71</v>
      </c>
      <c r="L30" s="2892">
        <v>6.56</v>
      </c>
      <c r="M30" s="2892" t="s">
        <v>3115</v>
      </c>
      <c r="N30" s="2892" t="s">
        <v>3045</v>
      </c>
    </row>
    <row r="31" spans="1:14">
      <c r="A31" s="2892" t="s">
        <v>3116</v>
      </c>
      <c r="B31" s="2892" t="s">
        <v>3039</v>
      </c>
      <c r="C31" s="2892" t="s">
        <v>3040</v>
      </c>
      <c r="D31" s="2892">
        <v>29451</v>
      </c>
      <c r="E31" s="2892">
        <v>58902</v>
      </c>
      <c r="F31" s="2892" t="s">
        <v>3111</v>
      </c>
      <c r="G31" s="2892" t="s">
        <v>3042</v>
      </c>
      <c r="H31" s="2892" t="s">
        <v>3112</v>
      </c>
      <c r="I31" s="2892">
        <v>4400</v>
      </c>
      <c r="J31" s="2892">
        <v>4470</v>
      </c>
      <c r="K31" s="2892">
        <v>758.88</v>
      </c>
      <c r="L31" s="2892">
        <v>1.59</v>
      </c>
      <c r="M31" s="2892" t="s">
        <v>3113</v>
      </c>
      <c r="N31" s="2892" t="s">
        <v>3045</v>
      </c>
    </row>
    <row r="32" spans="1:14">
      <c r="A32" s="2892" t="s">
        <v>3117</v>
      </c>
      <c r="B32" s="2892" t="s">
        <v>3039</v>
      </c>
      <c r="C32" s="2892" t="s">
        <v>3040</v>
      </c>
      <c r="D32" s="2892">
        <v>58095</v>
      </c>
      <c r="E32" s="2892">
        <v>116190</v>
      </c>
      <c r="F32" s="2892" t="s">
        <v>3118</v>
      </c>
      <c r="G32" s="2892" t="s">
        <v>3042</v>
      </c>
      <c r="H32" s="2892" t="s">
        <v>3119</v>
      </c>
      <c r="I32" s="2892">
        <v>5316</v>
      </c>
      <c r="J32" s="2892">
        <v>5376</v>
      </c>
      <c r="K32" s="2892">
        <v>462.68</v>
      </c>
      <c r="L32" s="2892">
        <v>1.1299999999999999</v>
      </c>
      <c r="M32" s="2892" t="s">
        <v>3120</v>
      </c>
      <c r="N32" s="2892" t="s">
        <v>3045</v>
      </c>
    </row>
    <row r="33" spans="1:14">
      <c r="A33" s="2892" t="s">
        <v>3121</v>
      </c>
      <c r="B33" s="2892" t="s">
        <v>3039</v>
      </c>
      <c r="C33" s="2892" t="s">
        <v>3040</v>
      </c>
      <c r="D33" s="2892">
        <v>46994</v>
      </c>
      <c r="E33" s="2892">
        <v>93988</v>
      </c>
      <c r="F33" s="2892" t="s">
        <v>3118</v>
      </c>
      <c r="G33" s="2892" t="s">
        <v>3042</v>
      </c>
      <c r="H33" s="2892" t="s">
        <v>3119</v>
      </c>
      <c r="I33" s="2892">
        <v>4300</v>
      </c>
      <c r="J33" s="2892">
        <v>4360</v>
      </c>
      <c r="K33" s="2892">
        <v>463.88</v>
      </c>
      <c r="L33" s="2892">
        <v>1.4</v>
      </c>
      <c r="M33" s="2892" t="s">
        <v>3120</v>
      </c>
      <c r="N33" s="2892" t="s">
        <v>3045</v>
      </c>
    </row>
    <row r="34" spans="1:14">
      <c r="A34" s="2892" t="s">
        <v>3122</v>
      </c>
      <c r="B34" s="2892" t="s">
        <v>3039</v>
      </c>
      <c r="C34" s="2892" t="s">
        <v>3040</v>
      </c>
      <c r="D34" s="2892">
        <v>52261</v>
      </c>
      <c r="E34" s="2892">
        <v>104522</v>
      </c>
      <c r="F34" s="2892" t="s">
        <v>3118</v>
      </c>
      <c r="G34" s="2892" t="s">
        <v>3042</v>
      </c>
      <c r="H34" s="2892" t="s">
        <v>3119</v>
      </c>
      <c r="I34" s="2892">
        <v>4782</v>
      </c>
      <c r="J34" s="2892">
        <v>4842</v>
      </c>
      <c r="K34" s="2892">
        <v>463.25</v>
      </c>
      <c r="L34" s="2892">
        <v>1.25</v>
      </c>
      <c r="M34" s="2892" t="s">
        <v>3120</v>
      </c>
      <c r="N34" s="2892" t="s">
        <v>3045</v>
      </c>
    </row>
    <row r="35" spans="1:14">
      <c r="A35" s="2892" t="s">
        <v>3123</v>
      </c>
      <c r="B35" s="2892" t="s">
        <v>3039</v>
      </c>
      <c r="C35" s="2892" t="s">
        <v>3040</v>
      </c>
      <c r="D35" s="2892">
        <v>47834</v>
      </c>
      <c r="E35" s="2892">
        <v>95668</v>
      </c>
      <c r="F35" s="2892" t="s">
        <v>3118</v>
      </c>
      <c r="G35" s="2892" t="s">
        <v>3042</v>
      </c>
      <c r="H35" s="2892" t="s">
        <v>3119</v>
      </c>
      <c r="I35" s="2892">
        <v>4377</v>
      </c>
      <c r="J35" s="2892">
        <v>4437</v>
      </c>
      <c r="K35" s="2892">
        <v>463.79</v>
      </c>
      <c r="L35" s="2892">
        <v>1.37</v>
      </c>
      <c r="M35" s="2892" t="s">
        <v>3120</v>
      </c>
      <c r="N35" s="2892" t="s">
        <v>3045</v>
      </c>
    </row>
    <row r="36" spans="1:14">
      <c r="A36" s="2892" t="s">
        <v>3124</v>
      </c>
      <c r="B36" s="2892" t="s">
        <v>3039</v>
      </c>
      <c r="C36" s="2892" t="s">
        <v>3040</v>
      </c>
      <c r="D36" s="2892">
        <v>24518.6</v>
      </c>
      <c r="E36" s="2892">
        <v>49037.2</v>
      </c>
      <c r="F36" s="2892" t="s">
        <v>3111</v>
      </c>
      <c r="G36" s="2892" t="s">
        <v>3042</v>
      </c>
      <c r="H36" s="2892" t="s">
        <v>3125</v>
      </c>
      <c r="I36" s="2892">
        <v>1360</v>
      </c>
      <c r="J36" s="2892">
        <v>1360</v>
      </c>
      <c r="K36" s="2892">
        <v>277.33</v>
      </c>
      <c r="L36" s="2892">
        <v>0</v>
      </c>
      <c r="M36" s="2892" t="s">
        <v>3126</v>
      </c>
      <c r="N36" s="2892" t="s">
        <v>3045</v>
      </c>
    </row>
    <row r="37" spans="1:14">
      <c r="A37" s="2892" t="s">
        <v>3127</v>
      </c>
      <c r="B37" s="2892" t="s">
        <v>3039</v>
      </c>
      <c r="C37" s="2892" t="s">
        <v>3040</v>
      </c>
      <c r="D37" s="2892">
        <v>55770</v>
      </c>
      <c r="E37" s="2892">
        <v>66924</v>
      </c>
      <c r="F37" s="2892" t="s">
        <v>3128</v>
      </c>
      <c r="G37" s="2892" t="s">
        <v>3042</v>
      </c>
      <c r="H37" s="2892" t="s">
        <v>3129</v>
      </c>
      <c r="I37" s="2892">
        <v>10400</v>
      </c>
      <c r="J37" s="2892">
        <v>10500</v>
      </c>
      <c r="K37" s="2892">
        <v>1568.94</v>
      </c>
      <c r="L37" s="2892">
        <v>0.96</v>
      </c>
      <c r="M37" s="2892" t="s">
        <v>3130</v>
      </c>
      <c r="N37" s="2892" t="s">
        <v>3045</v>
      </c>
    </row>
    <row r="38" spans="1:14">
      <c r="A38" s="2892" t="s">
        <v>3131</v>
      </c>
      <c r="B38" s="2892" t="s">
        <v>3039</v>
      </c>
      <c r="C38" s="2892" t="s">
        <v>3040</v>
      </c>
      <c r="D38" s="2892">
        <v>43480</v>
      </c>
      <c r="E38" s="2892">
        <v>56524</v>
      </c>
      <c r="F38" s="2892" t="s">
        <v>3132</v>
      </c>
      <c r="G38" s="2892" t="s">
        <v>3042</v>
      </c>
      <c r="H38" s="2892" t="s">
        <v>3129</v>
      </c>
      <c r="I38" s="2892">
        <v>8550</v>
      </c>
      <c r="J38" s="2892">
        <v>8600</v>
      </c>
      <c r="K38" s="2892">
        <v>1521.48</v>
      </c>
      <c r="L38" s="2892">
        <v>0.57999999999999996</v>
      </c>
      <c r="M38" s="2892" t="s">
        <v>3130</v>
      </c>
      <c r="N38" s="2892" t="s">
        <v>3045</v>
      </c>
    </row>
    <row r="39" spans="1:14">
      <c r="A39" s="2892" t="s">
        <v>3133</v>
      </c>
      <c r="B39" s="2892" t="s">
        <v>3039</v>
      </c>
      <c r="C39" s="2892" t="s">
        <v>3040</v>
      </c>
      <c r="D39" s="2892">
        <v>40836</v>
      </c>
      <c r="E39" s="2892">
        <v>102090</v>
      </c>
      <c r="F39" s="2892" t="s">
        <v>3134</v>
      </c>
      <c r="G39" s="2892" t="s">
        <v>3042</v>
      </c>
      <c r="H39" s="2892" t="s">
        <v>3129</v>
      </c>
      <c r="I39" s="2892">
        <v>10800</v>
      </c>
      <c r="J39" s="2892">
        <v>11000</v>
      </c>
      <c r="K39" s="2892">
        <v>1077.48</v>
      </c>
      <c r="L39" s="2892">
        <v>1.85</v>
      </c>
      <c r="M39" s="2892" t="s">
        <v>3135</v>
      </c>
      <c r="N39" s="2892" t="s">
        <v>3045</v>
      </c>
    </row>
    <row r="40" spans="1:14">
      <c r="A40" s="2892" t="s">
        <v>3136</v>
      </c>
      <c r="B40" s="2892" t="s">
        <v>3039</v>
      </c>
      <c r="C40" s="2892" t="s">
        <v>3040</v>
      </c>
      <c r="D40" s="2892">
        <v>32357</v>
      </c>
      <c r="E40" s="2892">
        <v>64714</v>
      </c>
      <c r="F40" s="2892" t="s">
        <v>3111</v>
      </c>
      <c r="G40" s="2892" t="s">
        <v>3042</v>
      </c>
      <c r="H40" s="2892" t="s">
        <v>3129</v>
      </c>
      <c r="I40" s="2892">
        <v>6500</v>
      </c>
      <c r="J40" s="2892">
        <v>6600</v>
      </c>
      <c r="K40" s="2892">
        <v>1019.87</v>
      </c>
      <c r="L40" s="2892">
        <v>1.54</v>
      </c>
      <c r="M40" s="2892" t="s">
        <v>3135</v>
      </c>
      <c r="N40" s="2892" t="s">
        <v>3045</v>
      </c>
    </row>
    <row r="41" spans="1:14">
      <c r="A41" s="2892" t="s">
        <v>3137</v>
      </c>
      <c r="B41" s="2892" t="s">
        <v>3039</v>
      </c>
      <c r="C41" s="2892" t="s">
        <v>3040</v>
      </c>
      <c r="D41" s="2892">
        <v>47011</v>
      </c>
      <c r="E41" s="2892">
        <v>94022</v>
      </c>
      <c r="F41" s="2892" t="s">
        <v>3111</v>
      </c>
      <c r="G41" s="2892" t="s">
        <v>3042</v>
      </c>
      <c r="H41" s="2892" t="s">
        <v>3129</v>
      </c>
      <c r="I41" s="2892">
        <v>11200</v>
      </c>
      <c r="J41" s="2892">
        <v>11500</v>
      </c>
      <c r="K41" s="2892">
        <v>1223.1099999999999</v>
      </c>
      <c r="L41" s="2892">
        <v>2.68</v>
      </c>
      <c r="M41" s="2892" t="s">
        <v>3138</v>
      </c>
      <c r="N41" s="2892" t="s">
        <v>3045</v>
      </c>
    </row>
    <row r="42" spans="1:14">
      <c r="A42" s="2892" t="s">
        <v>3139</v>
      </c>
      <c r="B42" s="2892" t="s">
        <v>3039</v>
      </c>
      <c r="C42" s="2892" t="s">
        <v>3040</v>
      </c>
      <c r="D42" s="2892">
        <v>20506.09</v>
      </c>
      <c r="E42" s="2892">
        <v>82024.36</v>
      </c>
      <c r="F42" s="2892" t="s">
        <v>3140</v>
      </c>
      <c r="G42" s="2892" t="s">
        <v>3042</v>
      </c>
      <c r="H42" s="2892" t="s">
        <v>3141</v>
      </c>
      <c r="I42" s="2892">
        <v>6550</v>
      </c>
      <c r="J42" s="2892">
        <v>6810</v>
      </c>
      <c r="K42" s="2892">
        <v>830.24</v>
      </c>
      <c r="L42" s="2892">
        <v>3.97</v>
      </c>
      <c r="M42" s="2892" t="s">
        <v>3142</v>
      </c>
      <c r="N42" s="2892" t="s">
        <v>3045</v>
      </c>
    </row>
    <row r="43" spans="1:14">
      <c r="A43" s="2892" t="s">
        <v>3143</v>
      </c>
      <c r="B43" s="2892" t="s">
        <v>3039</v>
      </c>
      <c r="C43" s="2892" t="s">
        <v>3040</v>
      </c>
      <c r="D43" s="2892">
        <v>55500</v>
      </c>
      <c r="E43" s="2892">
        <v>69930</v>
      </c>
      <c r="F43" s="2892" t="s">
        <v>3066</v>
      </c>
      <c r="G43" s="2892" t="s">
        <v>3042</v>
      </c>
      <c r="H43" s="2892" t="s">
        <v>3144</v>
      </c>
      <c r="I43" s="2892">
        <v>7100</v>
      </c>
      <c r="J43" s="2892">
        <v>7100</v>
      </c>
      <c r="K43" s="2892">
        <v>1015.29</v>
      </c>
      <c r="L43" s="2892">
        <v>0</v>
      </c>
      <c r="M43" s="2892" t="s">
        <v>3135</v>
      </c>
      <c r="N43" s="2892" t="s">
        <v>3045</v>
      </c>
    </row>
    <row r="44" spans="1:14">
      <c r="A44" s="2892" t="s">
        <v>3145</v>
      </c>
      <c r="B44" s="2892" t="s">
        <v>3039</v>
      </c>
      <c r="C44" s="2892" t="s">
        <v>3040</v>
      </c>
      <c r="D44" s="2892">
        <v>41429</v>
      </c>
      <c r="E44" s="2892">
        <v>124287</v>
      </c>
      <c r="F44" s="2892" t="s">
        <v>3146</v>
      </c>
      <c r="G44" s="2892" t="s">
        <v>3042</v>
      </c>
      <c r="H44" s="2892" t="s">
        <v>3144</v>
      </c>
      <c r="I44" s="2892">
        <v>6350</v>
      </c>
      <c r="J44" s="2892">
        <v>6350</v>
      </c>
      <c r="K44" s="2892">
        <v>510.91</v>
      </c>
      <c r="L44" s="2892">
        <v>0</v>
      </c>
      <c r="M44" s="2892" t="s">
        <v>3135</v>
      </c>
      <c r="N44" s="2892" t="s">
        <v>3045</v>
      </c>
    </row>
    <row r="45" spans="1:14">
      <c r="A45" s="2892" t="s">
        <v>3147</v>
      </c>
      <c r="B45" s="2892" t="s">
        <v>3039</v>
      </c>
      <c r="C45" s="2892" t="s">
        <v>3040</v>
      </c>
      <c r="D45" s="2892">
        <v>60388.800000000003</v>
      </c>
      <c r="E45" s="2892">
        <v>120777.60000000001</v>
      </c>
      <c r="F45" s="2892" t="s">
        <v>3111</v>
      </c>
      <c r="G45" s="2892" t="s">
        <v>3042</v>
      </c>
      <c r="H45" s="2892" t="s">
        <v>3144</v>
      </c>
      <c r="I45" s="2892">
        <v>8300</v>
      </c>
      <c r="J45" s="2892">
        <v>8310</v>
      </c>
      <c r="K45" s="2892">
        <v>688.03</v>
      </c>
      <c r="L45" s="2892">
        <v>0.12</v>
      </c>
      <c r="M45" s="2892" t="s">
        <v>3135</v>
      </c>
      <c r="N45" s="2892" t="s">
        <v>3045</v>
      </c>
    </row>
    <row r="46" spans="1:14">
      <c r="A46" s="2892" t="s">
        <v>3148</v>
      </c>
      <c r="B46" s="2892" t="s">
        <v>3039</v>
      </c>
      <c r="C46" s="2892" t="s">
        <v>3040</v>
      </c>
      <c r="D46" s="2892">
        <v>58828</v>
      </c>
      <c r="E46" s="2892">
        <v>176484</v>
      </c>
      <c r="F46" s="2892" t="s">
        <v>3146</v>
      </c>
      <c r="G46" s="2892" t="s">
        <v>3042</v>
      </c>
      <c r="H46" s="2892" t="s">
        <v>3144</v>
      </c>
      <c r="I46" s="2892">
        <v>11300</v>
      </c>
      <c r="J46" s="2892">
        <v>11300</v>
      </c>
      <c r="K46" s="2892">
        <v>640.27</v>
      </c>
      <c r="L46" s="2892">
        <v>0</v>
      </c>
      <c r="M46" s="2892" t="s">
        <v>3135</v>
      </c>
      <c r="N46" s="2892" t="s">
        <v>3045</v>
      </c>
    </row>
    <row r="47" spans="1:14">
      <c r="A47" s="2892" t="s">
        <v>3149</v>
      </c>
      <c r="B47" s="2892" t="s">
        <v>3039</v>
      </c>
      <c r="C47" s="2892" t="s">
        <v>3040</v>
      </c>
      <c r="D47" s="2892">
        <v>38595.199999999997</v>
      </c>
      <c r="E47" s="2892">
        <v>96488</v>
      </c>
      <c r="F47" s="2892" t="s">
        <v>3134</v>
      </c>
      <c r="G47" s="2892" t="s">
        <v>3042</v>
      </c>
      <c r="H47" s="2892" t="s">
        <v>3144</v>
      </c>
      <c r="I47" s="2892">
        <v>6700</v>
      </c>
      <c r="J47" s="2892">
        <v>6710</v>
      </c>
      <c r="K47" s="2892">
        <v>695.41</v>
      </c>
      <c r="L47" s="2892">
        <v>0.15</v>
      </c>
      <c r="M47" s="2892" t="s">
        <v>3135</v>
      </c>
      <c r="N47" s="2892" t="s">
        <v>3045</v>
      </c>
    </row>
    <row r="48" spans="1:14">
      <c r="A48" s="2892" t="s">
        <v>3150</v>
      </c>
      <c r="B48" s="2892" t="s">
        <v>3039</v>
      </c>
      <c r="C48" s="2892" t="s">
        <v>3040</v>
      </c>
      <c r="D48" s="2892">
        <v>30312</v>
      </c>
      <c r="E48" s="2892">
        <v>33343.199999999997</v>
      </c>
      <c r="F48" s="2892" t="s">
        <v>3151</v>
      </c>
      <c r="G48" s="2892" t="s">
        <v>3042</v>
      </c>
      <c r="H48" s="2892" t="s">
        <v>3144</v>
      </c>
      <c r="I48" s="2892">
        <v>3640</v>
      </c>
      <c r="J48" s="2892">
        <v>3640</v>
      </c>
      <c r="K48" s="2892">
        <v>1091.68</v>
      </c>
      <c r="L48" s="2892">
        <v>0</v>
      </c>
      <c r="M48" s="2892" t="s">
        <v>3135</v>
      </c>
      <c r="N48" s="2892" t="s">
        <v>3045</v>
      </c>
    </row>
    <row r="49" spans="1:14">
      <c r="A49" s="2892" t="s">
        <v>3152</v>
      </c>
      <c r="B49" s="2892" t="s">
        <v>3039</v>
      </c>
      <c r="C49" s="2892" t="s">
        <v>3040</v>
      </c>
      <c r="D49" s="2892">
        <v>56928</v>
      </c>
      <c r="E49" s="2892">
        <v>170784</v>
      </c>
      <c r="F49" s="2892" t="s">
        <v>3146</v>
      </c>
      <c r="G49" s="2892" t="s">
        <v>3042</v>
      </c>
      <c r="H49" s="2892" t="s">
        <v>3144</v>
      </c>
      <c r="I49" s="2892">
        <v>11100</v>
      </c>
      <c r="J49" s="2892">
        <v>11100</v>
      </c>
      <c r="K49" s="2892">
        <v>649.94000000000005</v>
      </c>
      <c r="L49" s="2892">
        <v>0</v>
      </c>
      <c r="M49" s="2892" t="s">
        <v>3135</v>
      </c>
      <c r="N49" s="2892" t="s">
        <v>3045</v>
      </c>
    </row>
    <row r="50" spans="1:14">
      <c r="A50" s="2892" t="s">
        <v>3153</v>
      </c>
      <c r="B50" s="2892" t="s">
        <v>3039</v>
      </c>
      <c r="C50" s="2892" t="s">
        <v>3040</v>
      </c>
      <c r="D50" s="2892">
        <v>35630</v>
      </c>
      <c r="E50" s="2892">
        <v>39193</v>
      </c>
      <c r="F50" s="2892" t="s">
        <v>3151</v>
      </c>
      <c r="G50" s="2892" t="s">
        <v>3042</v>
      </c>
      <c r="H50" s="2892" t="s">
        <v>3144</v>
      </c>
      <c r="I50" s="2892">
        <v>4275</v>
      </c>
      <c r="J50" s="2892">
        <v>4275</v>
      </c>
      <c r="K50" s="2892">
        <v>1090.75</v>
      </c>
      <c r="L50" s="2892">
        <v>0</v>
      </c>
      <c r="M50" s="2892" t="s">
        <v>3135</v>
      </c>
      <c r="N50" s="2892" t="s">
        <v>3045</v>
      </c>
    </row>
    <row r="51" spans="1:14">
      <c r="A51" s="2892" t="s">
        <v>3154</v>
      </c>
      <c r="B51" s="2892" t="s">
        <v>3039</v>
      </c>
      <c r="C51" s="2892" t="s">
        <v>3040</v>
      </c>
      <c r="D51" s="2892">
        <v>55758</v>
      </c>
      <c r="E51" s="2892">
        <v>70255.08</v>
      </c>
      <c r="F51" s="2892" t="s">
        <v>3066</v>
      </c>
      <c r="G51" s="2892" t="s">
        <v>3042</v>
      </c>
      <c r="H51" s="2892" t="s">
        <v>3144</v>
      </c>
      <c r="I51" s="2892">
        <v>7120</v>
      </c>
      <c r="J51" s="2892">
        <v>7120</v>
      </c>
      <c r="K51" s="2892">
        <v>1013.45</v>
      </c>
      <c r="L51" s="2892">
        <v>0</v>
      </c>
      <c r="M51" s="2892" t="s">
        <v>3135</v>
      </c>
      <c r="N51" s="2892" t="s">
        <v>3045</v>
      </c>
    </row>
    <row r="56" spans="1:14">
      <c r="A56" s="3197" t="s">
        <v>3297</v>
      </c>
      <c r="F56" s="3197" t="s">
        <v>3298</v>
      </c>
    </row>
    <row r="87" spans="1:1">
      <c r="A87" s="3197" t="s">
        <v>3299</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topLeftCell="A7" workbookViewId="0">
      <selection activeCell="X76" sqref="X76"/>
    </sheetView>
  </sheetViews>
  <sheetFormatPr defaultRowHeight="13.5"/>
  <sheetData>
    <row r="2" spans="1:13">
      <c r="A2" s="3198" t="s">
        <v>3300</v>
      </c>
    </row>
    <row r="3" spans="1:13">
      <c r="M3" s="3198" t="s">
        <v>3301</v>
      </c>
    </row>
    <row r="30" spans="13:23">
      <c r="M30" s="3198" t="s">
        <v>3302</v>
      </c>
      <c r="W30" s="3198" t="s">
        <v>3303</v>
      </c>
    </row>
    <row r="58" spans="13:13">
      <c r="M58" s="3198" t="s">
        <v>3304</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790" t="s">
        <v>2038</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6" t="s">
        <v>2027</v>
      </c>
      <c r="B3" s="3206" t="s">
        <v>2729</v>
      </c>
      <c r="C3" s="3207" t="s">
        <v>2028</v>
      </c>
      <c r="D3" s="3206" t="s">
        <v>2733</v>
      </c>
      <c r="E3" s="3201" t="s">
        <v>2029</v>
      </c>
      <c r="F3" s="3201"/>
      <c r="G3" s="3201"/>
      <c r="H3" s="3201" t="s">
        <v>2030</v>
      </c>
      <c r="I3" s="3201"/>
      <c r="J3" s="3201"/>
      <c r="K3" s="3207" t="s">
        <v>2031</v>
      </c>
      <c r="L3" s="3207" t="s">
        <v>2032</v>
      </c>
      <c r="M3" s="3206" t="s">
        <v>2730</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11" t="s">
        <v>2040</v>
      </c>
      <c r="F4" s="2611" t="s">
        <v>2742</v>
      </c>
      <c r="G4" s="2611" t="s">
        <v>2034</v>
      </c>
      <c r="H4" s="2611" t="s">
        <v>2035</v>
      </c>
      <c r="I4" s="2611" t="s">
        <v>2743</v>
      </c>
      <c r="J4" s="2611" t="s">
        <v>2034</v>
      </c>
      <c r="K4" s="3207"/>
      <c r="L4" s="3207"/>
      <c r="M4" s="3206"/>
      <c r="N4" s="3208"/>
      <c r="O4" s="3206"/>
      <c r="P4" s="3207"/>
      <c r="Q4" s="3207"/>
      <c r="R4" s="3207"/>
    </row>
    <row r="5" spans="1:18" ht="135" customHeight="1">
      <c r="A5" s="1926" t="s">
        <v>2653</v>
      </c>
      <c r="B5" s="2820" t="s">
        <v>2651</v>
      </c>
      <c r="C5" s="2610">
        <v>22</v>
      </c>
      <c r="D5" s="2609" t="s">
        <v>2652</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2621</v>
      </c>
      <c r="Q5" s="1793">
        <f ca="1">结果表!D42</f>
        <v>1049</v>
      </c>
      <c r="R5" s="1794">
        <f ca="1">结果表!C42</f>
        <v>12682</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5">
        <f ca="1">结果表!O39</f>
        <v>12682</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5"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0" t="s">
        <v>2063</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1.权利限制：根据估价对象《不动产权证书》原件、《国有土地使用权》复印件，截至估价期日，估价对象已设定抵押。未设定租赁等其他他项权利。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0"/>
      <c r="C3" s="3210"/>
      <c r="D3" s="3210"/>
    </row>
    <row r="4" spans="1:4" ht="36.75" customHeight="1">
      <c r="A4" s="3210" t="str">
        <f>"3.估价规划限制条件：详见"&amp;项目基本情况!E21&amp;"。"</f>
        <v>3.估价规划限制条件：详见《黄石市建设用地规划条件控制文本》。</v>
      </c>
      <c r="B4" s="3210"/>
      <c r="C4" s="3210"/>
      <c r="D4" s="3210"/>
    </row>
    <row r="5" spans="1:4">
      <c r="A5" s="3209" t="s">
        <v>2064</v>
      </c>
      <c r="B5" s="3209"/>
      <c r="C5" s="3209"/>
      <c r="D5" s="3209"/>
    </row>
    <row r="6" spans="1:4">
      <c r="A6" s="3210" t="s">
        <v>2042</v>
      </c>
      <c r="B6" s="3210"/>
      <c r="C6" s="3210"/>
      <c r="D6" s="3210"/>
    </row>
    <row r="7" spans="1:4" ht="33" customHeight="1">
      <c r="A7" s="3210" t="s">
        <v>2573</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2066</v>
      </c>
      <c r="B12" s="3209"/>
      <c r="C12" s="3209"/>
      <c r="D12" s="3209"/>
    </row>
    <row r="13" spans="1:4">
      <c r="A13" s="3213" t="s">
        <v>2744</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2700</v>
      </c>
      <c r="B17" s="3210"/>
      <c r="C17" s="3210"/>
      <c r="D17" s="3210"/>
    </row>
    <row r="18" spans="1:4">
      <c r="A18" s="3210" t="s">
        <v>2692</v>
      </c>
      <c r="B18" s="3210"/>
      <c r="C18" s="3210"/>
      <c r="D18" s="3210"/>
    </row>
    <row r="19" spans="1:4">
      <c r="A19" s="2821" t="s">
        <v>2693</v>
      </c>
      <c r="B19" s="2821" t="s">
        <v>2694</v>
      </c>
      <c r="C19" s="2821" t="s">
        <v>2695</v>
      </c>
      <c r="D19" s="2821" t="s">
        <v>2696</v>
      </c>
    </row>
    <row r="20" spans="1:4">
      <c r="A20" s="2821" t="str">
        <f>项目基本情况!B4</f>
        <v>王鹏</v>
      </c>
      <c r="B20" s="2821">
        <f ca="1">项目基本情况!C4</f>
        <v>2002110030</v>
      </c>
      <c r="C20" s="2823"/>
      <c r="D20" s="1783" t="s">
        <v>2701</v>
      </c>
    </row>
    <row r="21" spans="1:4">
      <c r="A21" s="2821" t="str">
        <f>项目基本情况!D4</f>
        <v>郑燚</v>
      </c>
      <c r="B21" s="2821">
        <f ca="1">项目基本情况!E4</f>
        <v>2014110011</v>
      </c>
      <c r="C21" s="2823"/>
      <c r="D21" s="1783" t="s">
        <v>2702</v>
      </c>
    </row>
    <row r="23" spans="1:4">
      <c r="A23" s="3210" t="s">
        <v>2697</v>
      </c>
      <c r="B23" s="3210"/>
      <c r="C23" s="3210"/>
      <c r="D23" s="3210"/>
    </row>
    <row r="24" spans="1:4">
      <c r="A24" s="2821" t="s">
        <v>2693</v>
      </c>
      <c r="B24" s="2821" t="s">
        <v>2698</v>
      </c>
      <c r="C24" s="2821" t="s">
        <v>2695</v>
      </c>
      <c r="D24" s="2821" t="s">
        <v>2696</v>
      </c>
    </row>
    <row r="25" spans="1:4">
      <c r="A25" s="2824" t="s">
        <v>2699</v>
      </c>
      <c r="B25" s="2821" t="s">
        <v>951</v>
      </c>
      <c r="C25" s="2823"/>
      <c r="D25" s="1783" t="s">
        <v>2702</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1" t="s">
        <v>53</v>
      </c>
      <c r="B15" s="3222" t="s">
        <v>845</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836</v>
      </c>
    </row>
    <row r="25" spans="1:3" ht="14.25">
      <c r="A25" s="3220"/>
      <c r="B25" s="3224"/>
      <c r="C25" s="1171" t="s">
        <v>837</v>
      </c>
    </row>
    <row r="26" spans="1:3" ht="14.25">
      <c r="A26" s="3220"/>
      <c r="B26" s="3224"/>
      <c r="C26" s="1171" t="s">
        <v>838</v>
      </c>
    </row>
    <row r="27" spans="1:3" ht="14.25">
      <c r="A27" s="3220"/>
      <c r="B27" s="3224"/>
      <c r="C27" s="1171" t="s">
        <v>839</v>
      </c>
    </row>
    <row r="28" spans="1:3" ht="14.25">
      <c r="A28" s="3220"/>
      <c r="B28" s="3224"/>
      <c r="C28" s="1171" t="s">
        <v>840</v>
      </c>
    </row>
    <row r="29" spans="1:3" ht="14.25">
      <c r="A29" s="3220"/>
      <c r="B29" s="3224"/>
      <c r="C29" s="1171" t="s">
        <v>841</v>
      </c>
    </row>
    <row r="30" spans="1:3" ht="14.25">
      <c r="A30" s="3220"/>
      <c r="B30" s="3224"/>
      <c r="C30" s="1171" t="s">
        <v>842</v>
      </c>
    </row>
    <row r="31" spans="1:3" ht="14.25">
      <c r="A31" s="3220"/>
      <c r="B31" s="3224"/>
      <c r="C31" s="1171" t="s">
        <v>843</v>
      </c>
    </row>
    <row r="32" spans="1:3" ht="14.25">
      <c r="A32" s="3220"/>
      <c r="B32" s="3224"/>
      <c r="C32" s="1171" t="s">
        <v>1645</v>
      </c>
    </row>
    <row r="33" spans="1:3" ht="14.25">
      <c r="A33" s="3220"/>
      <c r="B33" s="3214" t="s">
        <v>1651</v>
      </c>
      <c r="C33" s="1171" t="s">
        <v>1646</v>
      </c>
    </row>
    <row r="34" spans="1:3" ht="14.25">
      <c r="A34" s="3220"/>
      <c r="B34" s="3215"/>
      <c r="C34" s="1176" t="s">
        <v>1647</v>
      </c>
    </row>
    <row r="35" spans="1:3" ht="14.25">
      <c r="A35" s="3220"/>
      <c r="B35" s="3215"/>
      <c r="C35" s="1177" t="s">
        <v>1648</v>
      </c>
    </row>
    <row r="36" spans="1:3" ht="14.25">
      <c r="A36" s="3220"/>
      <c r="B36" s="3215"/>
      <c r="C36" s="1177" t="s">
        <v>1649</v>
      </c>
    </row>
    <row r="37" spans="1:3" ht="14.25">
      <c r="A37" s="3220"/>
      <c r="B37" s="3216"/>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1906</v>
      </c>
      <c r="B2" s="3122">
        <f ca="1">TODAY()</f>
        <v>43670</v>
      </c>
      <c r="C2" s="3123" t="s">
        <v>1907</v>
      </c>
      <c r="D2" s="3123"/>
    </row>
    <row r="3" spans="1:6" ht="20.25" customHeight="1">
      <c r="A3" s="3125" t="s">
        <v>1908</v>
      </c>
      <c r="B3" s="3126" t="s">
        <v>1909</v>
      </c>
      <c r="C3" s="3126" t="s">
        <v>1910</v>
      </c>
      <c r="D3" s="3127" t="s">
        <v>1911</v>
      </c>
      <c r="E3" s="3126" t="s">
        <v>1912</v>
      </c>
      <c r="F3" s="3126" t="s">
        <v>1910</v>
      </c>
    </row>
    <row r="4" spans="1:6" ht="20.25" customHeight="1">
      <c r="A4" s="3126" t="s">
        <v>1913</v>
      </c>
      <c r="B4" s="3126">
        <f ca="1">IF(C4&lt;B2,"已过期",1119970066)</f>
        <v>1119970066</v>
      </c>
      <c r="C4" s="3128">
        <v>43849</v>
      </c>
      <c r="D4" s="3126" t="s">
        <v>1913</v>
      </c>
      <c r="E4" s="3126">
        <f ca="1">IF(F4&lt;B2,"已过期",96010014)</f>
        <v>96010014</v>
      </c>
      <c r="F4" s="3129">
        <v>47118</v>
      </c>
    </row>
    <row r="5" spans="1:6" ht="20.25" customHeight="1">
      <c r="A5" s="3126" t="s">
        <v>1914</v>
      </c>
      <c r="B5" s="3126">
        <f ca="1">IF(C5&lt;B2,"已过期",1119970074)</f>
        <v>1119970074</v>
      </c>
      <c r="C5" s="3128">
        <v>43849</v>
      </c>
      <c r="D5" s="3126" t="s">
        <v>1914</v>
      </c>
      <c r="E5" s="3126">
        <f ca="1">IF(F5&lt;B2,"已过期",2002110027)</f>
        <v>2002110027</v>
      </c>
      <c r="F5" s="3129">
        <v>46752</v>
      </c>
    </row>
    <row r="6" spans="1:6" ht="20.25" customHeight="1">
      <c r="A6" s="3126" t="s">
        <v>1915</v>
      </c>
      <c r="B6" s="3126">
        <f ca="1">IF(C6&lt;B2,"已过期",1119970111)</f>
        <v>1119970111</v>
      </c>
      <c r="C6" s="3128">
        <v>43849</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43849</v>
      </c>
      <c r="D8" s="3126" t="s">
        <v>1917</v>
      </c>
      <c r="E8" s="3126">
        <f ca="1">IF(F8&lt;B2,"已过期",2000110082)</f>
        <v>2000110082</v>
      </c>
      <c r="F8" s="3129">
        <v>46387</v>
      </c>
    </row>
    <row r="9" spans="1:6" ht="20.25" customHeight="1">
      <c r="A9" s="3126" t="s">
        <v>1918</v>
      </c>
      <c r="B9" s="3126">
        <f ca="1">IF(C9&lt;B2,"已过期",1419970001)</f>
        <v>1419970001</v>
      </c>
      <c r="C9" s="3128">
        <v>43867</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43814</v>
      </c>
      <c r="D13" s="3126" t="s">
        <v>1921</v>
      </c>
      <c r="E13" s="3126">
        <f ca="1">IF(F13&lt;B2,"已过期",2014110011)</f>
        <v>2014110011</v>
      </c>
      <c r="F13" s="3129">
        <v>49302</v>
      </c>
    </row>
    <row r="14" spans="1:6" ht="20.25" customHeight="1">
      <c r="A14" s="3126" t="s">
        <v>2971</v>
      </c>
      <c r="B14" s="3126">
        <f ca="1">IF(C14&lt;B2,"已过期",1120040230)</f>
        <v>1120040230</v>
      </c>
      <c r="C14" s="3130">
        <v>43835</v>
      </c>
      <c r="D14" s="3131" t="s">
        <v>2972</v>
      </c>
      <c r="E14" s="3126">
        <f ca="1">IF(F14&lt;B2,"已过期",98030020)</f>
        <v>98030020</v>
      </c>
      <c r="F14" s="3129">
        <v>47118</v>
      </c>
    </row>
    <row r="15" spans="1:6" ht="20.25" customHeight="1">
      <c r="A15" s="3126" t="s">
        <v>2572</v>
      </c>
      <c r="B15" s="3126">
        <f ca="1">IF(C15&lt;B2,"已过期",1120070085)</f>
        <v>1120070085</v>
      </c>
      <c r="C15" s="3130">
        <v>43814</v>
      </c>
      <c r="D15" s="3126" t="s">
        <v>2973</v>
      </c>
      <c r="E15" s="3126">
        <f ca="1">IF(F15&lt;B2,"已过期",2004110128)</f>
        <v>2004110128</v>
      </c>
      <c r="F15" s="3132">
        <v>47118</v>
      </c>
    </row>
    <row r="16" spans="1:6" ht="20.25" customHeight="1">
      <c r="A16" s="3126" t="s">
        <v>1922</v>
      </c>
      <c r="B16" s="3126">
        <f ca="1">IF(C16&lt;B2,"已过期",1120140022)</f>
        <v>1120140022</v>
      </c>
      <c r="C16" s="3128">
        <v>44029</v>
      </c>
      <c r="D16" s="3126" t="s">
        <v>2974</v>
      </c>
      <c r="E16" s="3126">
        <f ca="1">IF(F16&lt;B2,"已过期",2008110059)</f>
        <v>2008110059</v>
      </c>
      <c r="F16" s="3129">
        <v>47177</v>
      </c>
    </row>
    <row r="17" spans="1:7" ht="20.25" customHeight="1">
      <c r="A17" s="3126"/>
      <c r="B17" s="3126"/>
      <c r="C17" s="3128"/>
      <c r="D17" s="3131" t="s">
        <v>2975</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1923</v>
      </c>
      <c r="E21" s="3126">
        <f ca="1">IF(F21&lt;B2,"已过期",2011110090)</f>
        <v>2011110090</v>
      </c>
      <c r="F21" s="3129">
        <v>48302</v>
      </c>
    </row>
    <row r="22" spans="1:7" ht="20.25" customHeight="1">
      <c r="A22" s="3126" t="s">
        <v>1924</v>
      </c>
      <c r="B22" s="3126">
        <f ca="1">IF(C22&lt;B2,"已过期",1120020033)</f>
        <v>1120020033</v>
      </c>
      <c r="C22" s="3128">
        <v>44339</v>
      </c>
      <c r="D22" s="3126" t="s">
        <v>1924</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2051</v>
      </c>
      <c r="B24" s="3125" t="s">
        <v>2051</v>
      </c>
      <c r="C24" s="3128"/>
      <c r="D24" s="3133" t="s">
        <v>2051</v>
      </c>
      <c r="E24" s="3125" t="s">
        <v>2051</v>
      </c>
      <c r="F24" s="3132"/>
    </row>
    <row r="25" spans="1:7" ht="20.25" customHeight="1">
      <c r="A25" s="3225" t="s">
        <v>1925</v>
      </c>
      <c r="B25" s="3225"/>
      <c r="C25" s="3225"/>
      <c r="D25" s="3225"/>
      <c r="E25" s="3225"/>
      <c r="F25" s="3225"/>
      <c r="G25" s="3225"/>
    </row>
    <row r="26" spans="1:7" ht="20.25" customHeight="1">
      <c r="A26" s="3226" t="s">
        <v>1926</v>
      </c>
      <c r="B26" s="3226"/>
      <c r="C26" s="3226"/>
      <c r="D26" s="3226" t="s">
        <v>1927</v>
      </c>
      <c r="E26" s="3226"/>
      <c r="F26" s="3226"/>
    </row>
    <row r="27" spans="1:7" s="3121" customFormat="1" ht="20.25" customHeight="1">
      <c r="A27" s="3135" t="s">
        <v>1928</v>
      </c>
      <c r="B27" s="3136" t="s">
        <v>1929</v>
      </c>
      <c r="C27" s="3136" t="s">
        <v>1930</v>
      </c>
      <c r="D27" s="3126" t="s">
        <v>1928</v>
      </c>
      <c r="E27" s="3136" t="s">
        <v>1929</v>
      </c>
      <c r="F27" s="3136" t="s">
        <v>1930</v>
      </c>
    </row>
    <row r="28" spans="1:7" s="3121" customFormat="1" ht="20.25" customHeight="1">
      <c r="A28" s="3137" t="s">
        <v>1931</v>
      </c>
      <c r="B28" s="3137" t="s">
        <v>1932</v>
      </c>
      <c r="C28" s="3129">
        <v>43725</v>
      </c>
      <c r="D28" s="3137" t="s">
        <v>1933</v>
      </c>
      <c r="E28" s="3137" t="s">
        <v>1934</v>
      </c>
      <c r="F28" s="3138">
        <v>44377</v>
      </c>
    </row>
    <row r="29" spans="1:7" s="3121" customFormat="1" ht="20.25" customHeight="1">
      <c r="A29" s="3137"/>
      <c r="B29" s="3137"/>
      <c r="C29" s="3139"/>
      <c r="D29" s="3137" t="s">
        <v>1935</v>
      </c>
      <c r="E29" s="3137" t="s">
        <v>2983</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2538</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2542</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59" t="s">
        <v>2945</v>
      </c>
      <c r="C18" s="1540"/>
    </row>
    <row r="19" spans="1:3">
      <c r="A19" s="8" t="s">
        <v>120</v>
      </c>
      <c r="B19" s="3059" t="s">
        <v>2953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27"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27"/>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7"/>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7"/>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7"/>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2019-07-24T06:51:47Z</dcterms:modified>
</cp:coreProperties>
</file>