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4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比较法-住宅" sheetId="21"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31"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alcMode="manual"/>
</workbook>
</file>

<file path=xl/calcChain.xml><?xml version="1.0" encoding="utf-8"?>
<calcChain xmlns="http://schemas.openxmlformats.org/spreadsheetml/2006/main">
  <c r="G123" i="78" l="1"/>
  <c r="I94" i="77" l="1"/>
  <c r="I95" i="77"/>
  <c r="I96" i="77"/>
  <c r="I97" i="77"/>
  <c r="I98" i="77"/>
  <c r="I99" i="77"/>
  <c r="I100" i="77"/>
  <c r="I101" i="77"/>
  <c r="I102" i="77"/>
  <c r="I103" i="77"/>
  <c r="I104" i="77"/>
  <c r="I105" i="77"/>
  <c r="I106" i="77"/>
  <c r="I107" i="77"/>
  <c r="I108" i="77"/>
  <c r="I109" i="77"/>
  <c r="I110" i="77"/>
  <c r="I111" i="77"/>
  <c r="I93" i="77"/>
  <c r="G94" i="77"/>
  <c r="G95" i="77"/>
  <c r="G96" i="77"/>
  <c r="G97" i="77"/>
  <c r="G98" i="77"/>
  <c r="G99" i="77"/>
  <c r="G100" i="77"/>
  <c r="G101" i="77"/>
  <c r="G102" i="77"/>
  <c r="G103" i="77"/>
  <c r="G104" i="77"/>
  <c r="G105" i="77"/>
  <c r="G106" i="77"/>
  <c r="G107" i="77"/>
  <c r="G108" i="77"/>
  <c r="G109" i="77"/>
  <c r="G110" i="77"/>
  <c r="G111" i="77"/>
  <c r="G93" i="77"/>
  <c r="C102" i="77"/>
  <c r="C101" i="77"/>
  <c r="C100" i="77"/>
  <c r="C99" i="77"/>
  <c r="C98" i="77"/>
  <c r="E94" i="77"/>
  <c r="E95" i="77"/>
  <c r="E96" i="77"/>
  <c r="E97" i="77"/>
  <c r="E98" i="77"/>
  <c r="E99" i="77"/>
  <c r="E100" i="77"/>
  <c r="E101" i="77"/>
  <c r="E102" i="77"/>
  <c r="E103" i="77"/>
  <c r="E104" i="77"/>
  <c r="E105" i="77"/>
  <c r="E106" i="77"/>
  <c r="E107" i="77"/>
  <c r="E108" i="77"/>
  <c r="E109" i="77"/>
  <c r="E110" i="77"/>
  <c r="E111" i="77"/>
  <c r="E93" i="77"/>
  <c r="C110" i="77"/>
  <c r="C108" i="77"/>
  <c r="C106" i="77"/>
  <c r="C104" i="77"/>
  <c r="C87" i="77"/>
  <c r="C111" i="77" s="1"/>
  <c r="C85" i="77"/>
  <c r="C109" i="77" s="1"/>
  <c r="C84" i="77"/>
  <c r="C83" i="77"/>
  <c r="C107" i="77" s="1"/>
  <c r="C82" i="77"/>
  <c r="C81" i="77"/>
  <c r="C105" i="77" s="1"/>
  <c r="C80" i="77"/>
  <c r="C79" i="77"/>
  <c r="C103" i="77" s="1"/>
  <c r="C78" i="77"/>
  <c r="C77" i="77"/>
  <c r="C76" i="77"/>
  <c r="C75" i="77"/>
  <c r="C74" i="77"/>
  <c r="G16" i="77" l="1"/>
  <c r="G15" i="77"/>
  <c r="G17" i="77" s="1"/>
  <c r="F16" i="77"/>
  <c r="F15" i="77"/>
  <c r="F17" i="77" s="1"/>
  <c r="E16" i="77"/>
  <c r="E15" i="77"/>
  <c r="E17" i="77" s="1"/>
  <c r="N7" i="1" l="1"/>
  <c r="N6" i="1"/>
  <c r="D71" i="39" l="1"/>
  <c r="E71" i="39" s="1"/>
  <c r="F71" i="39" s="1"/>
  <c r="G71" i="39" s="1"/>
  <c r="H71" i="39" s="1"/>
  <c r="I71" i="39" s="1"/>
  <c r="J71" i="39" s="1"/>
  <c r="K71" i="39" s="1"/>
  <c r="L71" i="39" s="1"/>
  <c r="M71" i="39" s="1"/>
  <c r="N71" i="39" s="1"/>
  <c r="O71" i="39" s="1"/>
  <c r="C24" i="21" l="1"/>
  <c r="C20" i="21"/>
  <c r="C16" i="21"/>
  <c r="C18" i="21"/>
  <c r="C38" i="39"/>
  <c r="D9" i="77"/>
  <c r="C10" i="39"/>
  <c r="B21" i="1"/>
  <c r="F20" i="6"/>
  <c r="F19" i="6"/>
  <c r="AL15" i="3"/>
  <c r="I15" i="3"/>
  <c r="AL16" i="3"/>
  <c r="AN16" i="3"/>
  <c r="K16" i="3"/>
  <c r="I16" i="3"/>
  <c r="D3" i="4"/>
  <c r="D7" i="71" l="1"/>
  <c r="AH5" i="71"/>
  <c r="AG5" i="71"/>
  <c r="AE5" i="71"/>
  <c r="AF5" i="71" s="1"/>
  <c r="AD5" i="71"/>
  <c r="Q5" i="71"/>
  <c r="P5" i="71"/>
  <c r="O5" i="71"/>
  <c r="N5" i="71"/>
  <c r="L3" i="71"/>
  <c r="K3" i="71"/>
  <c r="AG3" i="71" s="1"/>
  <c r="I3" i="71"/>
  <c r="J3" i="71"/>
  <c r="AE3" i="71" s="1"/>
  <c r="AD6" i="71"/>
  <c r="AG6" i="71"/>
  <c r="AH6" i="71"/>
  <c r="AE6" i="71"/>
  <c r="AF6" i="71" s="1"/>
  <c r="N6" i="71"/>
  <c r="Q6" i="71"/>
  <c r="P6" i="71"/>
  <c r="O6" i="71"/>
  <c r="Q7" i="71"/>
  <c r="F6" i="71"/>
  <c r="F5" i="71" s="1"/>
  <c r="P7" i="71"/>
  <c r="O7" i="71"/>
  <c r="N7" i="71"/>
  <c r="B6" i="71"/>
  <c r="S6" i="71" s="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4" i="62"/>
  <c r="A13" i="62"/>
  <c r="B59" i="72" s="1"/>
  <c r="A19" i="62"/>
  <c r="A12" i="62"/>
  <c r="A120" i="9"/>
  <c r="H2" i="52"/>
  <c r="A1" i="52"/>
  <c r="A3" i="53"/>
  <c r="Q8" i="71"/>
  <c r="P8" i="71"/>
  <c r="O8" i="71"/>
  <c r="N8" i="71"/>
  <c r="D5" i="4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F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60" i="72"/>
  <c r="B58" i="72"/>
  <c r="B66" i="72"/>
  <c r="B10" i="72"/>
  <c r="C53" i="10"/>
  <c r="B51" i="10"/>
  <c r="A18" i="51"/>
  <c r="B13" i="72" s="1"/>
  <c r="C8" i="68"/>
  <c r="B49" i="48"/>
  <c r="B5" i="72" s="1"/>
  <c r="I19" i="43"/>
  <c r="D71" i="71"/>
  <c r="F70" i="71"/>
  <c r="F69" i="71" s="1"/>
  <c r="F68" i="71" s="1"/>
  <c r="E70" i="71"/>
  <c r="E69" i="71"/>
  <c r="E68" i="71" s="1"/>
  <c r="C70" i="71"/>
  <c r="D70" i="71" s="1"/>
  <c r="B70" i="71"/>
  <c r="B69" i="71" s="1"/>
  <c r="B68" i="71"/>
  <c r="D67" i="71"/>
  <c r="F66" i="71"/>
  <c r="F65" i="71" s="1"/>
  <c r="F64" i="71" s="1"/>
  <c r="E66" i="71"/>
  <c r="E65" i="71"/>
  <c r="E64" i="71" s="1"/>
  <c r="C66" i="71"/>
  <c r="D66" i="71" s="1"/>
  <c r="B66" i="71"/>
  <c r="B65" i="71" s="1"/>
  <c r="B64" i="71" s="1"/>
  <c r="D63" i="71"/>
  <c r="Q62" i="71"/>
  <c r="P62" i="71"/>
  <c r="O62" i="71"/>
  <c r="N62" i="71"/>
  <c r="F62" i="71"/>
  <c r="V62" i="71" s="1"/>
  <c r="E62" i="71"/>
  <c r="U62" i="71" s="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F49" i="71"/>
  <c r="F48" i="71" s="1"/>
  <c r="Q48" i="71"/>
  <c r="D47" i="71"/>
  <c r="Q46" i="71"/>
  <c r="P46" i="71"/>
  <c r="O46" i="71"/>
  <c r="N46" i="71"/>
  <c r="Q45" i="71"/>
  <c r="P45" i="71"/>
  <c r="O45" i="71"/>
  <c r="N45" i="71"/>
  <c r="Q44" i="71"/>
  <c r="P44" i="71"/>
  <c r="O44" i="71"/>
  <c r="N44" i="71"/>
  <c r="Q43" i="71"/>
  <c r="F44" i="71"/>
  <c r="F45" i="71" s="1"/>
  <c r="F46" i="71"/>
  <c r="V46" i="71" s="1"/>
  <c r="P43" i="71"/>
  <c r="E44" i="71" s="1"/>
  <c r="O43" i="71"/>
  <c r="C44" i="71" s="1"/>
  <c r="C45" i="71" s="1"/>
  <c r="C46" i="71" s="1"/>
  <c r="T46" i="71" s="1"/>
  <c r="N43" i="71"/>
  <c r="B44" i="71" s="1"/>
  <c r="B45" i="7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c r="N39" i="71"/>
  <c r="B40" i="71"/>
  <c r="B41" i="71" s="1"/>
  <c r="B42" i="71"/>
  <c r="S42" i="71" s="1"/>
  <c r="D39" i="71"/>
  <c r="Q38" i="71"/>
  <c r="P38" i="71"/>
  <c r="O38" i="71"/>
  <c r="N38" i="71"/>
  <c r="Q37" i="71"/>
  <c r="P37" i="71"/>
  <c r="O37" i="71"/>
  <c r="N37" i="71"/>
  <c r="Q36" i="71"/>
  <c r="P36" i="71"/>
  <c r="O36" i="71"/>
  <c r="N36" i="71"/>
  <c r="Q35" i="71"/>
  <c r="F36" i="71" s="1"/>
  <c r="F37" i="71" s="1"/>
  <c r="F38" i="71" s="1"/>
  <c r="V38" i="71"/>
  <c r="P35" i="71"/>
  <c r="E36" i="71"/>
  <c r="E37" i="71" s="1"/>
  <c r="E38" i="71" s="1"/>
  <c r="U38" i="71" s="1"/>
  <c r="O35" i="71"/>
  <c r="C36" i="71" s="1"/>
  <c r="N35" i="71"/>
  <c r="B36" i="71" s="1"/>
  <c r="B37" i="71" s="1"/>
  <c r="B38" i="71" s="1"/>
  <c r="S38" i="71" s="1"/>
  <c r="D35" i="71"/>
  <c r="Q34" i="71"/>
  <c r="P34" i="71"/>
  <c r="O34" i="71"/>
  <c r="N34" i="71"/>
  <c r="Q33" i="71"/>
  <c r="P33" i="71"/>
  <c r="O33" i="71"/>
  <c r="N33" i="71"/>
  <c r="Q32" i="71"/>
  <c r="P32" i="71"/>
  <c r="O32" i="71"/>
  <c r="C33" i="71" s="1"/>
  <c r="D33" i="71" s="1"/>
  <c r="N32" i="71"/>
  <c r="Q31" i="71"/>
  <c r="F32" i="71" s="1"/>
  <c r="F33" i="71" s="1"/>
  <c r="P31" i="71"/>
  <c r="E32" i="71" s="1"/>
  <c r="E33" i="71"/>
  <c r="E34" i="71" s="1"/>
  <c r="U34" i="71" s="1"/>
  <c r="O31" i="71"/>
  <c r="C32" i="71"/>
  <c r="N31" i="71"/>
  <c r="B32" i="71"/>
  <c r="B33" i="71" s="1"/>
  <c r="B34" i="71"/>
  <c r="S34" i="71" s="1"/>
  <c r="D31" i="71"/>
  <c r="T30" i="71"/>
  <c r="Q30" i="71"/>
  <c r="P30" i="71"/>
  <c r="O30" i="71"/>
  <c r="N30" i="71"/>
  <c r="D30" i="71"/>
  <c r="Q29" i="71"/>
  <c r="P29" i="71"/>
  <c r="O29" i="71"/>
  <c r="N29" i="71"/>
  <c r="Q28" i="71"/>
  <c r="P28" i="71"/>
  <c r="O28" i="71"/>
  <c r="N28" i="71"/>
  <c r="F29" i="71"/>
  <c r="F30" i="71" s="1"/>
  <c r="V30" i="71" s="1"/>
  <c r="Q27" i="71"/>
  <c r="F28" i="71" s="1"/>
  <c r="P27" i="71"/>
  <c r="E28" i="71" s="1"/>
  <c r="E29" i="71"/>
  <c r="E30" i="71" s="1"/>
  <c r="U30" i="71" s="1"/>
  <c r="O27" i="71"/>
  <c r="C28" i="71"/>
  <c r="N27" i="71"/>
  <c r="B28" i="71"/>
  <c r="B29" i="71" s="1"/>
  <c r="B30" i="71"/>
  <c r="S30" i="71" s="1"/>
  <c r="D27" i="71"/>
  <c r="Q26" i="71"/>
  <c r="P26" i="71"/>
  <c r="O26" i="71"/>
  <c r="N26" i="71"/>
  <c r="Q25" i="71"/>
  <c r="P25" i="71"/>
  <c r="O25" i="71"/>
  <c r="N25" i="71"/>
  <c r="Q24" i="71"/>
  <c r="P24" i="71"/>
  <c r="O24" i="71"/>
  <c r="N24" i="71"/>
  <c r="F25" i="71"/>
  <c r="F26" i="71" s="1"/>
  <c r="V26" i="71" s="1"/>
  <c r="Q23" i="71"/>
  <c r="F24" i="71" s="1"/>
  <c r="P23" i="71"/>
  <c r="E24" i="71"/>
  <c r="E25" i="71" s="1"/>
  <c r="E26" i="71"/>
  <c r="U26" i="71" s="1"/>
  <c r="O23" i="71"/>
  <c r="C24" i="71" s="1"/>
  <c r="D24" i="71" s="1"/>
  <c r="N23" i="71"/>
  <c r="B24" i="71" s="1"/>
  <c r="B25" i="71" s="1"/>
  <c r="B26" i="71" s="1"/>
  <c r="S26" i="71" s="1"/>
  <c r="D23" i="71"/>
  <c r="Q22" i="71"/>
  <c r="P22" i="71"/>
  <c r="O22" i="71"/>
  <c r="N22" i="71"/>
  <c r="AB21" i="71"/>
  <c r="Q21" i="71"/>
  <c r="P21" i="71"/>
  <c r="O21" i="71"/>
  <c r="Y21" i="71" s="1"/>
  <c r="Z21" i="71"/>
  <c r="N21" i="71"/>
  <c r="X21" i="71"/>
  <c r="Q20" i="71"/>
  <c r="AB20" i="71"/>
  <c r="P20" i="71"/>
  <c r="O20" i="71"/>
  <c r="Y20" i="71" s="1"/>
  <c r="Z20" i="71" s="1"/>
  <c r="N20" i="71"/>
  <c r="Q19" i="71"/>
  <c r="F20" i="71" s="1"/>
  <c r="F21" i="71" s="1"/>
  <c r="F22" i="71" s="1"/>
  <c r="V22" i="71" s="1"/>
  <c r="P19" i="71"/>
  <c r="O19" i="71"/>
  <c r="C20" i="71" s="1"/>
  <c r="D20" i="71" s="1"/>
  <c r="N19" i="71"/>
  <c r="D19" i="71"/>
  <c r="Q18" i="71"/>
  <c r="AB18" i="71"/>
  <c r="P18" i="71"/>
  <c r="O18" i="71"/>
  <c r="N18" i="71"/>
  <c r="Q17" i="71"/>
  <c r="AB17" i="71" s="1"/>
  <c r="P17" i="71"/>
  <c r="O17" i="71"/>
  <c r="N17" i="71"/>
  <c r="Q16" i="71"/>
  <c r="AB16" i="71"/>
  <c r="P16" i="71"/>
  <c r="O16" i="71"/>
  <c r="Y16" i="71" s="1"/>
  <c r="Z16" i="71" s="1"/>
  <c r="N16" i="71"/>
  <c r="Q15" i="71"/>
  <c r="F16" i="71" s="1"/>
  <c r="F17" i="71" s="1"/>
  <c r="F18" i="71" s="1"/>
  <c r="V18" i="71" s="1"/>
  <c r="P15" i="71"/>
  <c r="O15" i="71"/>
  <c r="N15" i="71"/>
  <c r="D15" i="71"/>
  <c r="Q14" i="71"/>
  <c r="P14" i="71"/>
  <c r="O14" i="71"/>
  <c r="N14" i="71"/>
  <c r="Q13" i="71"/>
  <c r="AB13" i="71" s="1"/>
  <c r="P13" i="71"/>
  <c r="O13" i="71"/>
  <c r="N13" i="71"/>
  <c r="X11" i="71" s="1"/>
  <c r="Q12" i="71"/>
  <c r="AB12" i="71"/>
  <c r="P12" i="71"/>
  <c r="O12" i="71"/>
  <c r="Y12" i="71" s="1"/>
  <c r="Z12" i="71" s="1"/>
  <c r="N12" i="71"/>
  <c r="Q11" i="71"/>
  <c r="P11" i="71"/>
  <c r="O11" i="71"/>
  <c r="N11" i="71"/>
  <c r="D11" i="71"/>
  <c r="O10" i="71"/>
  <c r="N10" i="71"/>
  <c r="B12" i="71"/>
  <c r="B13" i="71"/>
  <c r="E12" i="71"/>
  <c r="E13" i="71" s="1"/>
  <c r="E14" i="71"/>
  <c r="U14" i="71" s="1"/>
  <c r="B16" i="71"/>
  <c r="B17" i="71"/>
  <c r="B20" i="71"/>
  <c r="B21" i="71" s="1"/>
  <c r="B22" i="71"/>
  <c r="S22" i="71" s="1"/>
  <c r="X19" i="71"/>
  <c r="E20" i="71"/>
  <c r="E21" i="71"/>
  <c r="N50" i="71"/>
  <c r="E16" i="71"/>
  <c r="E17" i="71"/>
  <c r="E18" i="71" s="1"/>
  <c r="U18" i="71"/>
  <c r="C12" i="71"/>
  <c r="X13" i="71"/>
  <c r="C16" i="71"/>
  <c r="AB15" i="71"/>
  <c r="AA17" i="71"/>
  <c r="X18" i="71"/>
  <c r="AA18" i="71"/>
  <c r="AB19" i="71"/>
  <c r="X20" i="71"/>
  <c r="AA20" i="71"/>
  <c r="F34" i="71"/>
  <c r="V34" i="71" s="1"/>
  <c r="C10" i="71"/>
  <c r="T10" i="71" s="1"/>
  <c r="X9" i="71"/>
  <c r="D12" i="71"/>
  <c r="C25" i="71"/>
  <c r="D25" i="71" s="1"/>
  <c r="C29" i="71"/>
  <c r="D29" i="71" s="1"/>
  <c r="D28" i="71"/>
  <c r="D32" i="71"/>
  <c r="P10" i="71"/>
  <c r="E41" i="71"/>
  <c r="E42" i="71"/>
  <c r="U42" i="71" s="1"/>
  <c r="E45" i="71"/>
  <c r="E46" i="71" s="1"/>
  <c r="U46" i="71"/>
  <c r="Q47" i="71"/>
  <c r="U50" i="71"/>
  <c r="E49" i="71"/>
  <c r="Q10" i="71"/>
  <c r="C37" i="71"/>
  <c r="D36" i="71"/>
  <c r="C41" i="71"/>
  <c r="D40" i="71"/>
  <c r="D44" i="71"/>
  <c r="Q49" i="71"/>
  <c r="T50" i="71"/>
  <c r="O50" i="71"/>
  <c r="D50" i="71"/>
  <c r="C49" i="71"/>
  <c r="Q50" i="71"/>
  <c r="E53" i="71"/>
  <c r="E52" i="71" s="1"/>
  <c r="D54" i="71"/>
  <c r="C57" i="71"/>
  <c r="E57" i="71"/>
  <c r="E56" i="71" s="1"/>
  <c r="D58" i="71"/>
  <c r="E61" i="71"/>
  <c r="E60" i="71" s="1"/>
  <c r="D62" i="71"/>
  <c r="C65" i="71"/>
  <c r="C69" i="71"/>
  <c r="D69" i="71" s="1"/>
  <c r="C9" i="71"/>
  <c r="C8" i="71" s="1"/>
  <c r="D8" i="71" s="1"/>
  <c r="AB9" i="71"/>
  <c r="E10" i="71"/>
  <c r="AA9" i="71"/>
  <c r="C48" i="71"/>
  <c r="D48" i="71" s="1"/>
  <c r="O49" i="71"/>
  <c r="D49" i="71"/>
  <c r="D45" i="71"/>
  <c r="D65" i="71"/>
  <c r="C64" i="71"/>
  <c r="D64" i="71" s="1"/>
  <c r="D57" i="71"/>
  <c r="C56" i="71"/>
  <c r="D56" i="71"/>
  <c r="C68" i="71"/>
  <c r="D68" i="71" s="1"/>
  <c r="C42" i="71"/>
  <c r="T42" i="71" s="1"/>
  <c r="D41" i="71"/>
  <c r="C38" i="71"/>
  <c r="T38" i="71" s="1"/>
  <c r="D37" i="71"/>
  <c r="P49" i="71"/>
  <c r="E48" i="71"/>
  <c r="C34" i="71"/>
  <c r="T34" i="71" s="1"/>
  <c r="D9" i="71"/>
  <c r="P47" i="71"/>
  <c r="P48" i="71"/>
  <c r="O47" i="71"/>
  <c r="D38" i="71"/>
  <c r="D46"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c r="A11" i="70"/>
  <c r="E11" i="70"/>
  <c r="A12" i="70"/>
  <c r="E12" i="70"/>
  <c r="A13" i="70"/>
  <c r="E13" i="70"/>
  <c r="A6" i="70"/>
  <c r="Q25" i="40"/>
  <c r="Z25" i="40" s="1"/>
  <c r="D94" i="40"/>
  <c r="E94" i="40" s="1"/>
  <c r="F94" i="40" s="1"/>
  <c r="G94" i="40" s="1"/>
  <c r="F25" i="40"/>
  <c r="Z29" i="39"/>
  <c r="Q29" i="39"/>
  <c r="D103" i="39"/>
  <c r="E103" i="39" s="1"/>
  <c r="F103" i="39" s="1"/>
  <c r="G103" i="39" s="1"/>
  <c r="Q18" i="36"/>
  <c r="Z18" i="36"/>
  <c r="D66" i="36"/>
  <c r="E66" i="36"/>
  <c r="F66" i="36" s="1"/>
  <c r="G66" i="36" s="1"/>
  <c r="H18" i="36"/>
  <c r="F18" i="36"/>
  <c r="AA18" i="36" s="1"/>
  <c r="C18" i="36"/>
  <c r="Q18" i="35"/>
  <c r="Z18" i="35" s="1"/>
  <c r="D68" i="35"/>
  <c r="E68" i="35"/>
  <c r="F68" i="35" s="1"/>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D83" i="21"/>
  <c r="F21" i="21" s="1"/>
  <c r="AA21" i="21" s="1"/>
  <c r="D81" i="21"/>
  <c r="G20" i="20"/>
  <c r="B86" i="43"/>
  <c r="C22" i="20"/>
  <c r="B75" i="43"/>
  <c r="B55" i="43"/>
  <c r="B66" i="43"/>
  <c r="C25" i="40"/>
  <c r="C29" i="39"/>
  <c r="S18" i="36"/>
  <c r="S21" i="34"/>
  <c r="H25" i="40"/>
  <c r="U25" i="40" s="1"/>
  <c r="J25" i="40"/>
  <c r="W25" i="40" s="1"/>
  <c r="J29" i="39"/>
  <c r="W29" i="39" s="1"/>
  <c r="J18" i="36"/>
  <c r="AC18" i="36" s="1"/>
  <c r="H18" i="35"/>
  <c r="AB18" i="35" s="1"/>
  <c r="S18" i="35"/>
  <c r="G68" i="35"/>
  <c r="J18" i="35"/>
  <c r="F77" i="37"/>
  <c r="G77" i="37" s="1"/>
  <c r="H21" i="37"/>
  <c r="F21" i="37"/>
  <c r="AA21" i="37" s="1"/>
  <c r="H21" i="34"/>
  <c r="AB21" i="34" s="1"/>
  <c r="H21" i="33"/>
  <c r="U21" i="33" s="1"/>
  <c r="F21" i="33"/>
  <c r="E83" i="21"/>
  <c r="F83" i="21" s="1"/>
  <c r="G83" i="21" s="1"/>
  <c r="H1" i="69"/>
  <c r="AC25" i="40"/>
  <c r="AB25" i="40"/>
  <c r="W18" i="36"/>
  <c r="AB21" i="37"/>
  <c r="U21" i="37"/>
  <c r="S21" i="37"/>
  <c r="U21" i="34"/>
  <c r="AB21" i="33"/>
  <c r="AA21" i="33"/>
  <c r="S21" i="33"/>
  <c r="AC18" i="35"/>
  <c r="W18" i="35"/>
  <c r="J21" i="37"/>
  <c r="W21" i="37" s="1"/>
  <c r="J21" i="34"/>
  <c r="W21" i="34" s="1"/>
  <c r="J21" i="33"/>
  <c r="W21" i="33" s="1"/>
  <c r="H21" i="21"/>
  <c r="U21" i="21" s="1"/>
  <c r="F38" i="69"/>
  <c r="E37" i="69"/>
  <c r="F36" i="69"/>
  <c r="F35" i="69"/>
  <c r="F21" i="69"/>
  <c r="C21" i="69" s="1"/>
  <c r="F20" i="69"/>
  <c r="E10" i="69"/>
  <c r="E9" i="69"/>
  <c r="F7" i="69"/>
  <c r="C7" i="69" s="1"/>
  <c r="AC21" i="34"/>
  <c r="AB21" i="21"/>
  <c r="J21" i="21"/>
  <c r="AC21" i="21" s="1"/>
  <c r="F38" i="68"/>
  <c r="E37" i="68"/>
  <c r="F36" i="68"/>
  <c r="F35" i="68"/>
  <c r="F21" i="68"/>
  <c r="C21" i="68" s="1"/>
  <c r="F20" i="68"/>
  <c r="E10" i="68"/>
  <c r="E9" i="68"/>
  <c r="F7" i="68"/>
  <c r="W21" i="21"/>
  <c r="Q72" i="67"/>
  <c r="Q59" i="67"/>
  <c r="Q58" i="67"/>
  <c r="Q51" i="67"/>
  <c r="J50" i="67"/>
  <c r="M47" i="67"/>
  <c r="J53" i="67" s="1"/>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B7" i="1" s="1"/>
  <c r="E7" i="1" s="1"/>
  <c r="A8" i="1"/>
  <c r="B8" i="1" s="1"/>
  <c r="E8" i="1" s="1"/>
  <c r="A9" i="1"/>
  <c r="A10" i="1"/>
  <c r="A11" i="1"/>
  <c r="B11" i="1" s="1"/>
  <c r="E11" i="1" s="1"/>
  <c r="A12" i="1"/>
  <c r="A13" i="1"/>
  <c r="A6" i="1"/>
  <c r="F3" i="35"/>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1" i="1"/>
  <c r="I15" i="4"/>
  <c r="H15" i="4"/>
  <c r="G15" i="4"/>
  <c r="E15" i="4"/>
  <c r="D15" i="4"/>
  <c r="F7" i="1" s="1"/>
  <c r="G7" i="1" s="1"/>
  <c r="L21" i="4"/>
  <c r="F19" i="4"/>
  <c r="F2" i="52"/>
  <c r="B50" i="72" s="1"/>
  <c r="D2" i="52"/>
  <c r="B46" i="72" s="1"/>
  <c r="B8" i="53"/>
  <c r="B23" i="72" s="1"/>
  <c r="L4" i="9"/>
  <c r="B17" i="72"/>
  <c r="B15" i="72"/>
  <c r="A3" i="51"/>
  <c r="C8" i="11"/>
  <c r="B2" i="49"/>
  <c r="B23" i="49" s="1"/>
  <c r="E4" i="4" s="1"/>
  <c r="B5" i="62" s="1"/>
  <c r="B73" i="72" s="1"/>
  <c r="B40" i="48"/>
  <c r="B3" i="72" s="1"/>
  <c r="I2" i="43"/>
  <c r="N1" i="43" s="1"/>
  <c r="F35" i="4"/>
  <c r="J55" i="39" s="1"/>
  <c r="H34" i="43"/>
  <c r="H35" i="43"/>
  <c r="H36" i="43"/>
  <c r="H37" i="43"/>
  <c r="H38" i="43"/>
  <c r="H39" i="43"/>
  <c r="H33" i="43"/>
  <c r="J20" i="43"/>
  <c r="G20" i="43"/>
  <c r="C18" i="43"/>
  <c r="F15" i="43"/>
  <c r="E15" i="43"/>
  <c r="D15" i="43"/>
  <c r="C15" i="43"/>
  <c r="C10" i="43"/>
  <c r="C11" i="43"/>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D93" i="39"/>
  <c r="E93" i="39"/>
  <c r="F93" i="39" s="1"/>
  <c r="G93" i="39" s="1"/>
  <c r="D91" i="39"/>
  <c r="E91" i="39" s="1"/>
  <c r="F91" i="39" s="1"/>
  <c r="G91" i="39" s="1"/>
  <c r="D89" i="39"/>
  <c r="E89" i="39" s="1"/>
  <c r="B86" i="39"/>
  <c r="B84" i="39"/>
  <c r="B82" i="39"/>
  <c r="J12" i="39" s="1"/>
  <c r="M79" i="39"/>
  <c r="L79" i="39"/>
  <c r="K79" i="39"/>
  <c r="J79" i="39"/>
  <c r="I79" i="39"/>
  <c r="H79" i="39"/>
  <c r="G79" i="39"/>
  <c r="F79" i="39"/>
  <c r="E79" i="39"/>
  <c r="D79" i="39"/>
  <c r="C79" i="39"/>
  <c r="P48" i="39"/>
  <c r="P47" i="39"/>
  <c r="V46" i="39"/>
  <c r="T46" i="39"/>
  <c r="R46" i="39"/>
  <c r="P46" i="39"/>
  <c r="J40" i="39"/>
  <c r="AC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1" i="21"/>
  <c r="H19" i="21" s="1"/>
  <c r="D77" i="21"/>
  <c r="E77" i="21" s="1"/>
  <c r="F77" i="21" s="1"/>
  <c r="G77" i="21" s="1"/>
  <c r="B130" i="21"/>
  <c r="B128" i="21"/>
  <c r="J45" i="21"/>
  <c r="W45" i="21" s="1"/>
  <c r="B126" i="21"/>
  <c r="B98" i="21"/>
  <c r="H31" i="21" s="1"/>
  <c r="B96" i="21"/>
  <c r="B94" i="21"/>
  <c r="J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Q35" i="21"/>
  <c r="Z35" i="21" s="1"/>
  <c r="Q36" i="21"/>
  <c r="Z36" i="21" s="1"/>
  <c r="Q37" i="21"/>
  <c r="Z37" i="21" s="1"/>
  <c r="J38" i="21"/>
  <c r="W38" i="21" s="1"/>
  <c r="Q38" i="21"/>
  <c r="Z38" i="21" s="1"/>
  <c r="J39" i="21"/>
  <c r="AC39" i="21" s="1"/>
  <c r="Q39" i="21"/>
  <c r="Z39" i="21"/>
  <c r="H40" i="21"/>
  <c r="AB40" i="21" s="1"/>
  <c r="Q40" i="21"/>
  <c r="Z40" i="21" s="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S34" i="39"/>
  <c r="H34" i="39"/>
  <c r="U34" i="39" s="1"/>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AC31" i="39" s="1"/>
  <c r="F101" i="39"/>
  <c r="H27" i="39"/>
  <c r="U27" i="39" s="1"/>
  <c r="J19" i="39"/>
  <c r="AC19" i="39" s="1"/>
  <c r="J17" i="39"/>
  <c r="AC17" i="39" s="1"/>
  <c r="J27" i="39"/>
  <c r="AC27" i="39" s="1"/>
  <c r="F27" i="39"/>
  <c r="S27" i="39" s="1"/>
  <c r="C25" i="39"/>
  <c r="C27" i="39"/>
  <c r="C21"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c r="J123" i="21" s="1"/>
  <c r="K123" i="21" s="1"/>
  <c r="L123" i="21" s="1"/>
  <c r="M123" i="21" s="1"/>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3" i="35"/>
  <c r="U31" i="34"/>
  <c r="AA14" i="33"/>
  <c r="J36" i="37"/>
  <c r="AC36" i="37"/>
  <c r="AB11" i="36"/>
  <c r="AB11" i="35"/>
  <c r="J10" i="36"/>
  <c r="AC10" i="36" s="1"/>
  <c r="AB26" i="33"/>
  <c r="AB30" i="21"/>
  <c r="AA14" i="37"/>
  <c r="W31" i="34"/>
  <c r="AC13" i="36"/>
  <c r="S11" i="36"/>
  <c r="W11" i="35"/>
  <c r="AB46" i="34"/>
  <c r="AC30" i="34"/>
  <c r="AA14" i="34"/>
  <c r="S45" i="33"/>
  <c r="AB45" i="33"/>
  <c r="AB31" i="33"/>
  <c r="U31" i="33"/>
  <c r="W29" i="33"/>
  <c r="U13" i="33"/>
  <c r="S44" i="34"/>
  <c r="BA586" i="3"/>
  <c r="BA585" i="3"/>
  <c r="AZ585" i="3" s="1"/>
  <c r="F15" i="21"/>
  <c r="S15" i="21" s="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W44" i="21"/>
  <c r="U26" i="21"/>
  <c r="AC46" i="21"/>
  <c r="U12" i="21"/>
  <c r="AB38" i="21"/>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F25" i="39"/>
  <c r="AA25" i="39" s="1"/>
  <c r="H41" i="39"/>
  <c r="AB34" i="39"/>
  <c r="W14" i="39"/>
  <c r="W9" i="39"/>
  <c r="W8" i="39"/>
  <c r="J19" i="40"/>
  <c r="AC19" i="40" s="1"/>
  <c r="J50" i="40"/>
  <c r="H103" i="9"/>
  <c r="D8" i="53"/>
  <c r="B16" i="53"/>
  <c r="B33" i="72"/>
  <c r="C7" i="37"/>
  <c r="C7" i="34"/>
  <c r="C7" i="36"/>
  <c r="W35" i="40"/>
  <c r="A118" i="9"/>
  <c r="A4" i="52"/>
  <c r="B41" i="72" s="1"/>
  <c r="A12" i="52"/>
  <c r="B56" i="72" s="1"/>
  <c r="G4" i="4"/>
  <c r="I4" i="4"/>
  <c r="K5" i="4"/>
  <c r="B47" i="48" s="1"/>
  <c r="A2" i="9"/>
  <c r="N2" i="43"/>
  <c r="F59" i="4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BR5" i="3"/>
  <c r="AZ380" i="3"/>
  <c r="AZ388" i="3"/>
  <c r="AZ396" i="3"/>
  <c r="AZ499" i="3"/>
  <c r="AZ509" i="3"/>
  <c r="G509" i="3"/>
  <c r="BL493" i="3"/>
  <c r="AZ491" i="3"/>
  <c r="AZ390" i="3"/>
  <c r="AZ493" i="3"/>
  <c r="U36" i="40"/>
  <c r="N4" i="43"/>
  <c r="F36" i="43"/>
  <c r="F81" i="43"/>
  <c r="H83" i="43" s="1"/>
  <c r="H113" i="43"/>
  <c r="F48" i="43"/>
  <c r="H52" i="43"/>
  <c r="N7" i="43"/>
  <c r="F70" i="43"/>
  <c r="H73" i="43" s="1"/>
  <c r="M6" i="43"/>
  <c r="M11" i="43"/>
  <c r="E17" i="43"/>
  <c r="F39" i="43"/>
  <c r="I17" i="43"/>
  <c r="F35" i="43"/>
  <c r="J17" i="43"/>
  <c r="F6" i="1"/>
  <c r="G6" i="1" s="1"/>
  <c r="S14" i="35"/>
  <c r="U43" i="21"/>
  <c r="U35" i="21"/>
  <c r="G9"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c r="H86" i="43"/>
  <c r="H82" i="43"/>
  <c r="H87" i="43"/>
  <c r="K9" i="1"/>
  <c r="M9" i="1" s="1"/>
  <c r="AE9" i="1"/>
  <c r="D93" i="9"/>
  <c r="K6" i="1"/>
  <c r="M6" i="1" s="1"/>
  <c r="O6" i="1" s="1"/>
  <c r="P6" i="1" s="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AA32" i="40"/>
  <c r="S17" i="40"/>
  <c r="S23" i="40"/>
  <c r="AC17" i="40"/>
  <c r="AC15" i="40"/>
  <c r="AB27" i="40"/>
  <c r="AA19" i="40"/>
  <c r="S28" i="40"/>
  <c r="AA27" i="40"/>
  <c r="U21" i="40"/>
  <c r="AB19" i="40"/>
  <c r="W42" i="39"/>
  <c r="U37" i="39"/>
  <c r="S43" i="39"/>
  <c r="S37" i="39"/>
  <c r="U35" i="39"/>
  <c r="F32" i="39"/>
  <c r="AA32" i="39" s="1"/>
  <c r="U25" i="39"/>
  <c r="AB27" i="39"/>
  <c r="U31" i="39"/>
  <c r="S25" i="39"/>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23" i="21"/>
  <c r="S23" i="21" s="1"/>
  <c r="E85" i="21"/>
  <c r="AA14" i="21"/>
  <c r="AB8" i="21"/>
  <c r="S8" i="21"/>
  <c r="M3" i="43"/>
  <c r="N10" i="43"/>
  <c r="M1" i="43"/>
  <c r="M8" i="43"/>
  <c r="N8" i="43"/>
  <c r="N9" i="43"/>
  <c r="D120" i="9"/>
  <c r="C18" i="9"/>
  <c r="D18" i="9" s="1"/>
  <c r="F34" i="67"/>
  <c r="F62" i="67" s="1"/>
  <c r="M20" i="67"/>
  <c r="F34" i="15"/>
  <c r="F62" i="15" s="1"/>
  <c r="G13" i="3"/>
  <c r="BA13" i="3"/>
  <c r="E11" i="6"/>
  <c r="E61" i="39" s="1"/>
  <c r="BL17" i="3"/>
  <c r="AZ17" i="3" s="1"/>
  <c r="BL13" i="3"/>
  <c r="J56" i="9"/>
  <c r="J57" i="9"/>
  <c r="A24" i="51"/>
  <c r="B18" i="72" s="1"/>
  <c r="U29" i="34"/>
  <c r="E14" i="6"/>
  <c r="E64" i="39" s="1"/>
  <c r="E5" i="6"/>
  <c r="D9" i="11" s="1"/>
  <c r="C9" i="11" s="1"/>
  <c r="E32" i="6"/>
  <c r="G1" i="68"/>
  <c r="K1" i="12"/>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C20" i="43"/>
  <c r="F100" i="43"/>
  <c r="H17" i="43"/>
  <c r="D9" i="53"/>
  <c r="B25" i="72" s="1"/>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58" i="33" s="1"/>
  <c r="C7" i="21"/>
  <c r="C58" i="21" s="1"/>
  <c r="D58" i="21" s="1"/>
  <c r="E58" i="21" s="1"/>
  <c r="F58" i="21" s="1"/>
  <c r="G58" i="21" s="1"/>
  <c r="H58" i="21" s="1"/>
  <c r="I58" i="21" s="1"/>
  <c r="J58" i="21" s="1"/>
  <c r="K58" i="21" s="1"/>
  <c r="C7" i="40"/>
  <c r="C63" i="40" s="1"/>
  <c r="M47" i="9"/>
  <c r="G19" i="43"/>
  <c r="T35" i="4"/>
  <c r="A19" i="51" s="1"/>
  <c r="B14" i="72" s="1"/>
  <c r="C46" i="36"/>
  <c r="D46" i="36" s="1"/>
  <c r="E46" i="36" s="1"/>
  <c r="C59" i="34"/>
  <c r="D59" i="34" s="1"/>
  <c r="E59" i="34" s="1"/>
  <c r="F59" i="34" s="1"/>
  <c r="G59" i="34" s="1"/>
  <c r="C52" i="37"/>
  <c r="D52" i="37" s="1"/>
  <c r="A4" i="51"/>
  <c r="B6" i="72" s="1"/>
  <c r="C48" i="35"/>
  <c r="D48" i="35" s="1"/>
  <c r="H62" i="43"/>
  <c r="H66" i="43"/>
  <c r="H61" i="43"/>
  <c r="H65" i="43"/>
  <c r="H60" i="43"/>
  <c r="H64" i="43"/>
  <c r="H59" i="43"/>
  <c r="H63" i="43"/>
  <c r="H67" i="43"/>
  <c r="H55" i="43"/>
  <c r="H51" i="43"/>
  <c r="H56" i="43"/>
  <c r="H76" i="43"/>
  <c r="H72" i="43"/>
  <c r="H77" i="43"/>
  <c r="B6" i="1"/>
  <c r="E6" i="1" s="1"/>
  <c r="S8" i="1"/>
  <c r="AQ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41" i="39"/>
  <c r="U13" i="39"/>
  <c r="AB13" i="39"/>
  <c r="AA13" i="39"/>
  <c r="S13" i="39"/>
  <c r="S14" i="39"/>
  <c r="AA14" i="39"/>
  <c r="U43" i="39"/>
  <c r="AB43" i="39"/>
  <c r="AA27" i="39"/>
  <c r="W17" i="39"/>
  <c r="W31"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AA26" i="21"/>
  <c r="AB14" i="21"/>
  <c r="AB46" i="21"/>
  <c r="U40" i="21"/>
  <c r="AB31" i="21"/>
  <c r="U31" i="21"/>
  <c r="U13" i="21"/>
  <c r="AB13" i="21"/>
  <c r="W8" i="21"/>
  <c r="S35" i="21"/>
  <c r="H15" i="21"/>
  <c r="U15" i="21" s="1"/>
  <c r="J17" i="21"/>
  <c r="AC17" i="21" s="1"/>
  <c r="W39" i="21"/>
  <c r="AC14" i="21"/>
  <c r="W30" i="21"/>
  <c r="S46" i="21"/>
  <c r="H45" i="21"/>
  <c r="U45" i="21" s="1"/>
  <c r="F29" i="21"/>
  <c r="S29" i="21"/>
  <c r="F13" i="21"/>
  <c r="AA13" i="21" s="1"/>
  <c r="AC38" i="21"/>
  <c r="H32" i="21"/>
  <c r="H9" i="21"/>
  <c r="AB9" i="21" s="1"/>
  <c r="J9" i="21"/>
  <c r="J32" i="21"/>
  <c r="AC32" i="21" s="1"/>
  <c r="F32" i="21"/>
  <c r="AA31" i="21"/>
  <c r="S9" i="21"/>
  <c r="AA9" i="21"/>
  <c r="K141" i="21"/>
  <c r="K144" i="21"/>
  <c r="K143" i="21"/>
  <c r="U27" i="21"/>
  <c r="AB25" i="21"/>
  <c r="AB44" i="21"/>
  <c r="AA30" i="21"/>
  <c r="W13" i="21"/>
  <c r="AC45" i="21"/>
  <c r="F10" i="21"/>
  <c r="AA10" i="21" s="1"/>
  <c r="K145" i="21"/>
  <c r="W25" i="21"/>
  <c r="AA29" i="21"/>
  <c r="W31" i="21"/>
  <c r="S27" i="21"/>
  <c r="AA15" i="21"/>
  <c r="AC26" i="21"/>
  <c r="AB29" i="21"/>
  <c r="S28" i="21"/>
  <c r="AC34" i="21"/>
  <c r="W10" i="21"/>
  <c r="W12" i="21"/>
  <c r="W30" i="40"/>
  <c r="C19" i="39"/>
  <c r="C15" i="40"/>
  <c r="C17" i="40"/>
  <c r="C23" i="40"/>
  <c r="C21" i="40"/>
  <c r="U30" i="40"/>
  <c r="B54" i="43"/>
  <c r="B65" i="43"/>
  <c r="B49" i="43"/>
  <c r="B52" i="43"/>
  <c r="B56" i="43"/>
  <c r="B60" i="43"/>
  <c r="B63" i="43"/>
  <c r="B67" i="43"/>
  <c r="D23" i="15"/>
  <c r="D22" i="15"/>
  <c r="AZ13" i="3"/>
  <c r="F30" i="11"/>
  <c r="C48" i="11" s="1"/>
  <c r="AR11" i="1"/>
  <c r="E7" i="70"/>
  <c r="AA39" i="40"/>
  <c r="S39" i="40"/>
  <c r="S12" i="33"/>
  <c r="AA12" i="33"/>
  <c r="C16" i="43"/>
  <c r="J32" i="39"/>
  <c r="H32" i="39"/>
  <c r="AB32" i="39" s="1"/>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A23" i="21"/>
  <c r="J23" i="21"/>
  <c r="W23" i="21" s="1"/>
  <c r="F85" i="21"/>
  <c r="G85" i="21" s="1"/>
  <c r="H23" i="21"/>
  <c r="U23" i="21" s="1"/>
  <c r="D6" i="52"/>
  <c r="D121" i="9"/>
  <c r="D7" i="52" s="1"/>
  <c r="K120" i="9"/>
  <c r="A18" i="62" s="1"/>
  <c r="B64" i="72" s="1"/>
  <c r="J59" i="9"/>
  <c r="J61" i="9"/>
  <c r="R22" i="31"/>
  <c r="B21" i="31"/>
  <c r="O19" i="43"/>
  <c r="C5" i="43"/>
  <c r="AP7" i="1"/>
  <c r="AB45" i="21"/>
  <c r="AA32" i="21"/>
  <c r="S32" i="21"/>
  <c r="W9" i="21"/>
  <c r="AC9" i="21"/>
  <c r="AB32" i="21"/>
  <c r="U32" i="21"/>
  <c r="E6" i="70"/>
  <c r="AC32" i="39"/>
  <c r="W32" i="39"/>
  <c r="W19" i="37"/>
  <c r="W23" i="37"/>
  <c r="AC23" i="37"/>
  <c r="AB11" i="37"/>
  <c r="H63" i="37"/>
  <c r="I63" i="37" s="1"/>
  <c r="J63" i="37" s="1"/>
  <c r="K63" i="37" s="1"/>
  <c r="L63" i="37" s="1"/>
  <c r="M63" i="37" s="1"/>
  <c r="J11" i="37"/>
  <c r="AC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F1" i="15"/>
  <c r="Q52" i="15"/>
  <c r="H59" i="34"/>
  <c r="I59" i="34" s="1"/>
  <c r="J59" i="34" s="1"/>
  <c r="K59" i="34" s="1"/>
  <c r="L59" i="34" s="1"/>
  <c r="G39" i="43"/>
  <c r="I39" i="43" s="1"/>
  <c r="F1" i="67"/>
  <c r="Q52" i="67"/>
  <c r="W11" i="37"/>
  <c r="W11" i="34"/>
  <c r="AC11" i="34"/>
  <c r="R8" i="1"/>
  <c r="AE7" i="1"/>
  <c r="AE8" i="1"/>
  <c r="AE6" i="1"/>
  <c r="AG6" i="1"/>
  <c r="H109" i="9"/>
  <c r="D124" i="9" s="1"/>
  <c r="H112" i="9"/>
  <c r="D21" i="53"/>
  <c r="B39" i="72" s="1"/>
  <c r="H111" i="9"/>
  <c r="D126" i="9" s="1"/>
  <c r="D19" i="53"/>
  <c r="B38" i="72" s="1"/>
  <c r="D59" i="9"/>
  <c r="M55" i="9"/>
  <c r="AD3" i="71"/>
  <c r="P21" i="43"/>
  <c r="P22" i="43"/>
  <c r="P23" i="43"/>
  <c r="B71" i="39" s="1"/>
  <c r="P24" i="43"/>
  <c r="B66" i="40" s="1"/>
  <c r="P25" i="43"/>
  <c r="F31" i="67"/>
  <c r="F31" i="15"/>
  <c r="F8" i="15"/>
  <c r="C76" i="15"/>
  <c r="AO12" i="1"/>
  <c r="F40" i="15"/>
  <c r="L47" i="67"/>
  <c r="B7" i="76"/>
  <c r="E10" i="76"/>
  <c r="AO13" i="1"/>
  <c r="F35" i="67"/>
  <c r="J15" i="15"/>
  <c r="B10" i="76"/>
  <c r="M6" i="67"/>
  <c r="F38" i="15"/>
  <c r="E8" i="76"/>
  <c r="F35" i="15"/>
  <c r="D2" i="37"/>
  <c r="M9" i="67"/>
  <c r="E2" i="69"/>
  <c r="M28" i="67"/>
  <c r="F42" i="15"/>
  <c r="F20" i="31"/>
  <c r="F42" i="67"/>
  <c r="M21" i="15"/>
  <c r="E11" i="76"/>
  <c r="F9" i="15"/>
  <c r="F8" i="67"/>
  <c r="F16" i="67"/>
  <c r="D2" i="21"/>
  <c r="M8" i="67"/>
  <c r="E9" i="76"/>
  <c r="F41" i="15"/>
  <c r="F13" i="15"/>
  <c r="F13" i="67"/>
  <c r="AO8" i="1"/>
  <c r="F43" i="15"/>
  <c r="M21" i="67"/>
  <c r="M29" i="67"/>
  <c r="B11" i="76"/>
  <c r="D2" i="33"/>
  <c r="AO9" i="1"/>
  <c r="M27" i="67"/>
  <c r="E12" i="76"/>
  <c r="M28" i="15"/>
  <c r="J15" i="67"/>
  <c r="F26" i="15"/>
  <c r="F6" i="15"/>
  <c r="F36" i="15"/>
  <c r="M26" i="67"/>
  <c r="M23" i="67"/>
  <c r="M24" i="67"/>
  <c r="M9" i="15"/>
  <c r="B12" i="76"/>
  <c r="F36" i="67"/>
  <c r="AO10" i="1"/>
  <c r="AO6" i="1"/>
  <c r="B9" i="76"/>
  <c r="M6" i="15"/>
  <c r="F43" i="67"/>
  <c r="F16" i="15"/>
  <c r="F40" i="67"/>
  <c r="F7" i="15"/>
  <c r="E2" i="68"/>
  <c r="F38" i="67"/>
  <c r="M23" i="15"/>
  <c r="F37" i="15"/>
  <c r="M8" i="15"/>
  <c r="F37" i="67"/>
  <c r="D2" i="35"/>
  <c r="L48" i="67"/>
  <c r="AO7" i="1"/>
  <c r="D2" i="34"/>
  <c r="M22" i="67"/>
  <c r="E13" i="76"/>
  <c r="M27" i="15"/>
  <c r="E7" i="76"/>
  <c r="AO11" i="1"/>
  <c r="B8" i="76"/>
  <c r="M22" i="15"/>
  <c r="F7" i="67"/>
  <c r="M26" i="15"/>
  <c r="F41" i="67"/>
  <c r="F26" i="67"/>
  <c r="F6" i="67"/>
  <c r="B13" i="76"/>
  <c r="L48" i="15"/>
  <c r="F9" i="67"/>
  <c r="M29" i="15"/>
  <c r="M24" i="15"/>
  <c r="L47" i="15"/>
  <c r="D2" i="36"/>
  <c r="C76" i="67"/>
  <c r="J25" i="39" l="1"/>
  <c r="J19" i="21"/>
  <c r="W19" i="21" s="1"/>
  <c r="F81" i="21"/>
  <c r="G81" i="21" s="1"/>
  <c r="F19" i="21"/>
  <c r="AA19" i="21" s="1"/>
  <c r="P27" i="6"/>
  <c r="AZ557" i="3"/>
  <c r="D58" i="33"/>
  <c r="E58" i="33" s="1"/>
  <c r="F58" i="33" s="1"/>
  <c r="G58" i="33" s="1"/>
  <c r="H58" i="33" s="1"/>
  <c r="I58" i="33" s="1"/>
  <c r="J58" i="33" s="1"/>
  <c r="K58" i="33" s="1"/>
  <c r="L58" i="33" s="1"/>
  <c r="M58" i="33" s="1"/>
  <c r="N58" i="33" s="1"/>
  <c r="O58" i="33" s="1"/>
  <c r="F7" i="33"/>
  <c r="J7" i="33"/>
  <c r="W7" i="33" s="1"/>
  <c r="H7" i="33"/>
  <c r="AB7" i="33" s="1"/>
  <c r="T48" i="33" s="1"/>
  <c r="G48" i="33" s="1"/>
  <c r="H110" i="9"/>
  <c r="D18" i="53" s="1"/>
  <c r="B35" i="72" s="1"/>
  <c r="S30" i="40"/>
  <c r="G28" i="6"/>
  <c r="F29" i="6"/>
  <c r="D16" i="53"/>
  <c r="B34" i="72" s="1"/>
  <c r="I7" i="21"/>
  <c r="E7" i="21"/>
  <c r="G7" i="21"/>
  <c r="W11" i="36"/>
  <c r="U46" i="33"/>
  <c r="J35" i="21"/>
  <c r="W35" i="21" s="1"/>
  <c r="J23" i="35"/>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4" i="3"/>
  <c r="AZ277" i="3"/>
  <c r="AZ298" i="3"/>
  <c r="AZ301" i="3"/>
  <c r="BA16" i="3"/>
  <c r="BL15" i="3"/>
  <c r="AZ15" i="3" s="1"/>
  <c r="AZ153" i="3"/>
  <c r="AZ169" i="3"/>
  <c r="H12" i="36"/>
  <c r="H24" i="36"/>
  <c r="F40" i="39"/>
  <c r="F44" i="39"/>
  <c r="H38" i="40"/>
  <c r="J38" i="40"/>
  <c r="H39" i="40"/>
  <c r="G14" i="3"/>
  <c r="BL16" i="3"/>
  <c r="AZ122" i="3"/>
  <c r="AZ193" i="3"/>
  <c r="AZ205" i="3"/>
  <c r="AZ30" i="3"/>
  <c r="AZ40" i="3"/>
  <c r="AZ46" i="3"/>
  <c r="AZ49" i="3"/>
  <c r="AZ62" i="3"/>
  <c r="AZ65" i="3"/>
  <c r="AZ76" i="3"/>
  <c r="AZ81" i="3"/>
  <c r="AZ90" i="3"/>
  <c r="AZ96" i="3"/>
  <c r="AZ99" i="3"/>
  <c r="AZ106" i="3"/>
  <c r="AZ112" i="3"/>
  <c r="AB18" i="36"/>
  <c r="U18" i="36"/>
  <c r="AB8" i="71"/>
  <c r="AB10" i="71"/>
  <c r="C17" i="71"/>
  <c r="D16" i="71"/>
  <c r="X15" i="71"/>
  <c r="X16" i="71"/>
  <c r="X17" i="71"/>
  <c r="AA21" i="71"/>
  <c r="AA19" i="71"/>
  <c r="Y7" i="71"/>
  <c r="Z7" i="71" s="1"/>
  <c r="G19" i="3"/>
  <c r="BL20" i="3"/>
  <c r="M100" i="43"/>
  <c r="I100" i="43"/>
  <c r="D100" i="43"/>
  <c r="AC21" i="33"/>
  <c r="AC21" i="37"/>
  <c r="U18" i="35"/>
  <c r="H29" i="39"/>
  <c r="F29" i="39"/>
  <c r="AA29" i="39" s="1"/>
  <c r="AA25" i="40"/>
  <c r="S25" i="40"/>
  <c r="D42" i="71"/>
  <c r="D34" i="71"/>
  <c r="O48" i="71"/>
  <c r="C26" i="71"/>
  <c r="D10" i="71"/>
  <c r="U10" i="71" s="1"/>
  <c r="AA7" i="71"/>
  <c r="E9" i="71"/>
  <c r="E8" i="71" s="1"/>
  <c r="V10" i="71"/>
  <c r="AB7" i="71"/>
  <c r="F10" i="71"/>
  <c r="F9" i="71" s="1"/>
  <c r="F8" i="71" s="1"/>
  <c r="C21" i="71"/>
  <c r="X10" i="71"/>
  <c r="X7" i="71"/>
  <c r="Y19" i="71"/>
  <c r="Z19" i="71" s="1"/>
  <c r="AA16" i="71"/>
  <c r="Y15" i="71"/>
  <c r="Z15" i="71" s="1"/>
  <c r="X14" i="71"/>
  <c r="X12" i="71"/>
  <c r="C13" i="71"/>
  <c r="E22" i="71"/>
  <c r="U22" i="71" s="1"/>
  <c r="B18" i="71"/>
  <c r="S18" i="71" s="1"/>
  <c r="AA11" i="71"/>
  <c r="B14" i="71"/>
  <c r="S14" i="71" s="1"/>
  <c r="B10" i="71"/>
  <c r="X8" i="71"/>
  <c r="Y11" i="71"/>
  <c r="Z11" i="71" s="1"/>
  <c r="Y8" i="71"/>
  <c r="Z8" i="71" s="1"/>
  <c r="Y9" i="71"/>
  <c r="Z9" i="71" s="1"/>
  <c r="Y10" i="71"/>
  <c r="Z10" i="71" s="1"/>
  <c r="AB11" i="71"/>
  <c r="F12" i="71"/>
  <c r="F13" i="71" s="1"/>
  <c r="F14" i="71" s="1"/>
  <c r="V14" i="71" s="1"/>
  <c r="Y13" i="71"/>
  <c r="Z13" i="71" s="1"/>
  <c r="AA12" i="71"/>
  <c r="AA13" i="71"/>
  <c r="AA8" i="71"/>
  <c r="AA10" i="71"/>
  <c r="Y14" i="71"/>
  <c r="Z14" i="71" s="1"/>
  <c r="AB14" i="71"/>
  <c r="Y17" i="71"/>
  <c r="Z17" i="71" s="1"/>
  <c r="AA15" i="71"/>
  <c r="AA14" i="71"/>
  <c r="Y18" i="71"/>
  <c r="Z18" i="71" s="1"/>
  <c r="S50" i="71"/>
  <c r="B49" i="71"/>
  <c r="T54" i="71"/>
  <c r="C53" i="71"/>
  <c r="T62" i="71"/>
  <c r="C61" i="71"/>
  <c r="L1" i="73"/>
  <c r="J1" i="73"/>
  <c r="X6" i="71"/>
  <c r="B5" i="71"/>
  <c r="Y5" i="71"/>
  <c r="Z5" i="71" s="1"/>
  <c r="C6" i="71"/>
  <c r="Y6" i="71"/>
  <c r="Z6" i="71" s="1"/>
  <c r="Y3" i="71"/>
  <c r="Z3" i="71" s="1"/>
  <c r="AB5" i="71"/>
  <c r="AB6" i="71"/>
  <c r="AB3" i="71"/>
  <c r="X5" i="71"/>
  <c r="X3" i="71"/>
  <c r="AA5" i="71"/>
  <c r="AA3" i="71"/>
  <c r="E6" i="71"/>
  <c r="AA6" i="71"/>
  <c r="W17" i="21"/>
  <c r="AB23" i="21"/>
  <c r="J39" i="39"/>
  <c r="G120" i="39"/>
  <c r="H120" i="39" s="1"/>
  <c r="I120" i="39" s="1"/>
  <c r="J120" i="39" s="1"/>
  <c r="K120" i="39" s="1"/>
  <c r="L120" i="39" s="1"/>
  <c r="M120" i="39" s="1"/>
  <c r="H39" i="39"/>
  <c r="F39" i="39"/>
  <c r="S38" i="39"/>
  <c r="S42" i="39"/>
  <c r="AC29" i="39"/>
  <c r="J21" i="39"/>
  <c r="F95" i="39"/>
  <c r="G95" i="39" s="1"/>
  <c r="F21" i="39"/>
  <c r="H21" i="39"/>
  <c r="U21" i="39" s="1"/>
  <c r="AB15" i="21"/>
  <c r="F15" i="39"/>
  <c r="J15" i="39"/>
  <c r="W15" i="39" s="1"/>
  <c r="F89" i="39"/>
  <c r="G89" i="39" s="1"/>
  <c r="H15" i="39"/>
  <c r="U15" i="39" s="1"/>
  <c r="S29" i="39"/>
  <c r="W27" i="39"/>
  <c r="S23" i="39"/>
  <c r="AB23" i="39"/>
  <c r="AB21" i="39"/>
  <c r="AB15" i="39"/>
  <c r="AC45" i="39"/>
  <c r="AA41" i="39"/>
  <c r="U40" i="39"/>
  <c r="U38" i="39"/>
  <c r="S32" i="39"/>
  <c r="AC35" i="21"/>
  <c r="S34" i="21"/>
  <c r="W42" i="21"/>
  <c r="AB42" i="21"/>
  <c r="S42" i="21"/>
  <c r="S40" i="21"/>
  <c r="AB36" i="21"/>
  <c r="U34" i="21"/>
  <c r="W32" i="21"/>
  <c r="H113" i="21"/>
  <c r="F37" i="21"/>
  <c r="H37" i="21"/>
  <c r="J37" i="21"/>
  <c r="W37" i="21" s="1"/>
  <c r="W27" i="21"/>
  <c r="AC27" i="21"/>
  <c r="AC29" i="21"/>
  <c r="W29" i="21"/>
  <c r="AA25" i="21"/>
  <c r="AC28" i="21"/>
  <c r="AC23" i="21"/>
  <c r="S21" i="21"/>
  <c r="AB19" i="21"/>
  <c r="U19" i="21"/>
  <c r="S19" i="21"/>
  <c r="AC19" i="21"/>
  <c r="F79" i="21"/>
  <c r="G79" i="21" s="1"/>
  <c r="F17" i="21"/>
  <c r="H17" i="21"/>
  <c r="AC15" i="21"/>
  <c r="S13" i="21"/>
  <c r="S10" i="21"/>
  <c r="U10" i="21"/>
  <c r="U9" i="21"/>
  <c r="U32" i="39"/>
  <c r="W34" i="39"/>
  <c r="S31" i="39"/>
  <c r="S17" i="39"/>
  <c r="U17" i="39"/>
  <c r="W12" i="39"/>
  <c r="AC12" i="39"/>
  <c r="C94" i="9"/>
  <c r="C92" i="9"/>
  <c r="F32" i="15"/>
  <c r="F60" i="15" s="1"/>
  <c r="F52" i="9"/>
  <c r="F54" i="9"/>
  <c r="M18" i="15"/>
  <c r="M18" i="67"/>
  <c r="F28" i="67"/>
  <c r="C30" i="11"/>
  <c r="D68" i="9"/>
  <c r="F28" i="15"/>
  <c r="F30" i="69"/>
  <c r="C30" i="69" s="1"/>
  <c r="F32" i="67"/>
  <c r="F60" i="67" s="1"/>
  <c r="F31" i="12"/>
  <c r="F30" i="68"/>
  <c r="C48" i="68" s="1"/>
  <c r="C40" i="68"/>
  <c r="C40" i="69"/>
  <c r="D22" i="67"/>
  <c r="D23" i="67"/>
  <c r="E10" i="6"/>
  <c r="AZ16" i="3"/>
  <c r="E8" i="49"/>
  <c r="BA20" i="3"/>
  <c r="AZ20" i="3" s="1"/>
  <c r="G30" i="6"/>
  <c r="G31" i="6" s="1"/>
  <c r="F28" i="6"/>
  <c r="E28" i="6" s="1"/>
  <c r="G18" i="3"/>
  <c r="T8" i="1"/>
  <c r="AC5" i="3"/>
  <c r="E2" i="70"/>
  <c r="AQ12" i="1"/>
  <c r="AZ14" i="3"/>
  <c r="D9" i="69"/>
  <c r="C9" i="69" s="1"/>
  <c r="C36" i="69"/>
  <c r="Q16" i="1"/>
  <c r="F27" i="68" s="1"/>
  <c r="E29" i="6"/>
  <c r="G5" i="3"/>
  <c r="B3" i="3" s="1"/>
  <c r="B8" i="49"/>
  <c r="E22" i="49"/>
  <c r="E8" i="6"/>
  <c r="E56" i="39" s="1"/>
  <c r="I4" i="6"/>
  <c r="BA19" i="3"/>
  <c r="E207" i="3"/>
  <c r="T9" i="1"/>
  <c r="E13" i="6"/>
  <c r="E58" i="40" s="1"/>
  <c r="E15" i="6"/>
  <c r="E60" i="40" s="1"/>
  <c r="E230" i="3"/>
  <c r="E59" i="40"/>
  <c r="E56" i="40"/>
  <c r="E12" i="6"/>
  <c r="E57" i="40" s="1"/>
  <c r="E305" i="3"/>
  <c r="F27" i="6"/>
  <c r="D3" i="39" s="1"/>
  <c r="E51" i="40"/>
  <c r="M7" i="1"/>
  <c r="O7" i="1" s="1"/>
  <c r="AR8" i="1"/>
  <c r="T13" i="1"/>
  <c r="AQ9" i="1"/>
  <c r="T11" i="1"/>
  <c r="AQ13" i="1"/>
  <c r="E62" i="39"/>
  <c r="T10" i="1"/>
  <c r="T12" i="1"/>
  <c r="H16" i="1"/>
  <c r="BL5" i="3"/>
  <c r="D9" i="68"/>
  <c r="C9" i="68" s="1"/>
  <c r="O12" i="1"/>
  <c r="P12" i="1" s="1"/>
  <c r="D19" i="12"/>
  <c r="C19" i="12" s="1"/>
  <c r="K15" i="1"/>
  <c r="O9" i="1"/>
  <c r="P9" i="1" s="1"/>
  <c r="O8" i="1"/>
  <c r="AZ19" i="3"/>
  <c r="BA5" i="3"/>
  <c r="E27" i="6" s="1"/>
  <c r="E5" i="49"/>
  <c r="B9" i="49"/>
  <c r="B7" i="49"/>
  <c r="E11" i="49"/>
  <c r="B4" i="49"/>
  <c r="E10" i="49"/>
  <c r="E16" i="49"/>
  <c r="B5" i="49"/>
  <c r="B14" i="49"/>
  <c r="B22" i="49"/>
  <c r="A15" i="62"/>
  <c r="B61" i="72" s="1"/>
  <c r="E4" i="49"/>
  <c r="B6" i="49"/>
  <c r="E9" i="49"/>
  <c r="E21" i="49"/>
  <c r="B11" i="49"/>
  <c r="B13" i="49"/>
  <c r="C4" i="4" s="1"/>
  <c r="E6" i="49"/>
  <c r="E7" i="49"/>
  <c r="B16" i="49"/>
  <c r="B10" i="49"/>
  <c r="G10" i="1"/>
  <c r="G8" i="1"/>
  <c r="G12" i="1"/>
  <c r="D20" i="53"/>
  <c r="B40" i="72" s="1"/>
  <c r="I14" i="74"/>
  <c r="B8" i="74" s="1"/>
  <c r="D127" i="9"/>
  <c r="D13" i="52" s="1"/>
  <c r="D12" i="52"/>
  <c r="D10" i="52"/>
  <c r="D125" i="9"/>
  <c r="D11" i="52" s="1"/>
  <c r="H14" i="74"/>
  <c r="B7" i="74" s="1"/>
  <c r="D17" i="53"/>
  <c r="B36" i="72" s="1"/>
  <c r="G52" i="33"/>
  <c r="H52" i="33" s="1"/>
  <c r="U7" i="33"/>
  <c r="AC7" i="33"/>
  <c r="V48" i="33" s="1"/>
  <c r="I48" i="33" s="1"/>
  <c r="L58" i="21"/>
  <c r="M58" i="21" s="1"/>
  <c r="N58" i="21" s="1"/>
  <c r="O58" i="21" s="1"/>
  <c r="J7" i="21"/>
  <c r="H7" i="21"/>
  <c r="F7" i="21"/>
  <c r="M59" i="34"/>
  <c r="N59" i="34" s="1"/>
  <c r="O59" i="34" s="1"/>
  <c r="F7" i="34"/>
  <c r="H7" i="34"/>
  <c r="E48" i="35"/>
  <c r="F48" i="35" s="1"/>
  <c r="G48" i="35" s="1"/>
  <c r="H48" i="35" s="1"/>
  <c r="I48" i="35" s="1"/>
  <c r="J48" i="35" s="1"/>
  <c r="K48" i="35" s="1"/>
  <c r="L48" i="35" s="1"/>
  <c r="M48" i="35" s="1"/>
  <c r="N48" i="35" s="1"/>
  <c r="O48" i="35" s="1"/>
  <c r="F7" i="35"/>
  <c r="D63" i="40"/>
  <c r="C65" i="40"/>
  <c r="J7" i="34"/>
  <c r="E52" i="37"/>
  <c r="F46" i="36"/>
  <c r="G46" i="36" s="1"/>
  <c r="H46" i="36" s="1"/>
  <c r="I46" i="36" s="1"/>
  <c r="J46" i="36" s="1"/>
  <c r="K46" i="36" s="1"/>
  <c r="L46" i="36" s="1"/>
  <c r="M46" i="36" s="1"/>
  <c r="N46" i="36" s="1"/>
  <c r="O46" i="36" s="1"/>
  <c r="C24" i="12"/>
  <c r="C77" i="9"/>
  <c r="C74" i="9" s="1"/>
  <c r="C28" i="15"/>
  <c r="D68" i="39"/>
  <c r="C48" i="69"/>
  <c r="C28" i="67"/>
  <c r="B20" i="31"/>
  <c r="B7" i="70"/>
  <c r="B6" i="70"/>
  <c r="F69" i="67"/>
  <c r="F69" i="15"/>
  <c r="B8" i="70"/>
  <c r="J20" i="15"/>
  <c r="F63" i="67"/>
  <c r="C62" i="67" s="1"/>
  <c r="C34" i="67"/>
  <c r="F63" i="15"/>
  <c r="C62" i="15" s="1"/>
  <c r="C34" i="15"/>
  <c r="J20" i="67"/>
  <c r="F68" i="67"/>
  <c r="F66" i="67"/>
  <c r="C27" i="15"/>
  <c r="N59" i="67"/>
  <c r="M59" i="67"/>
  <c r="L58" i="67"/>
  <c r="L59" i="67"/>
  <c r="F51" i="15"/>
  <c r="F68" i="15"/>
  <c r="L58" i="15"/>
  <c r="M59" i="15"/>
  <c r="N59" i="15"/>
  <c r="L59" i="15"/>
  <c r="F64" i="15"/>
  <c r="F65" i="15"/>
  <c r="I54" i="67"/>
  <c r="L56" i="67"/>
  <c r="J57" i="67"/>
  <c r="J55" i="67" s="1"/>
  <c r="J58" i="67" s="1"/>
  <c r="Q50" i="67" s="1"/>
  <c r="C6" i="15"/>
  <c r="C27" i="67"/>
  <c r="Q71" i="67"/>
  <c r="B12" i="70"/>
  <c r="B13" i="70"/>
  <c r="B9" i="70"/>
  <c r="K1" i="73"/>
  <c r="F70" i="67"/>
  <c r="F71" i="15"/>
  <c r="F64" i="67"/>
  <c r="F65" i="67"/>
  <c r="I54" i="15"/>
  <c r="J57" i="15"/>
  <c r="J55" i="15" s="1"/>
  <c r="J58" i="15" s="1"/>
  <c r="Q50" i="15" s="1"/>
  <c r="L56" i="15"/>
  <c r="Q71" i="15"/>
  <c r="F71" i="67"/>
  <c r="F50" i="67"/>
  <c r="M7" i="67"/>
  <c r="F66" i="15"/>
  <c r="F51" i="67"/>
  <c r="C6" i="67"/>
  <c r="F50" i="15"/>
  <c r="M7" i="15"/>
  <c r="B10" i="70"/>
  <c r="B11" i="70"/>
  <c r="M17" i="67"/>
  <c r="F59" i="15"/>
  <c r="F59" i="67"/>
  <c r="M17" i="15"/>
  <c r="C16" i="15"/>
  <c r="C17" i="67"/>
  <c r="C16" i="67"/>
  <c r="C14" i="67"/>
  <c r="C17" i="15"/>
  <c r="C14" i="15"/>
  <c r="W25" i="39" l="1"/>
  <c r="AC25" i="39"/>
  <c r="H7" i="36"/>
  <c r="J7" i="35"/>
  <c r="H7" i="35"/>
  <c r="G16" i="1"/>
  <c r="H10" i="40" s="1"/>
  <c r="L19" i="6"/>
  <c r="L20" i="6"/>
  <c r="AC15" i="39"/>
  <c r="D13" i="71"/>
  <c r="C14" i="71"/>
  <c r="D21" i="71"/>
  <c r="C22" i="71"/>
  <c r="U29" i="39"/>
  <c r="AB29" i="39"/>
  <c r="D17" i="71"/>
  <c r="C18" i="71"/>
  <c r="AC38" i="40"/>
  <c r="W38" i="40"/>
  <c r="AA44" i="39"/>
  <c r="S44" i="39"/>
  <c r="AB24" i="36"/>
  <c r="U24" i="36"/>
  <c r="G3" i="43"/>
  <c r="B113" i="43" s="1"/>
  <c r="E149" i="3"/>
  <c r="C33" i="21"/>
  <c r="V6" i="71"/>
  <c r="E5" i="71"/>
  <c r="D6" i="71"/>
  <c r="U6" i="71" s="1"/>
  <c r="C5" i="71"/>
  <c r="D5" i="71" s="1"/>
  <c r="T6" i="71"/>
  <c r="C60" i="71"/>
  <c r="D60" i="71" s="1"/>
  <c r="D61" i="71"/>
  <c r="D53" i="71"/>
  <c r="C52" i="71"/>
  <c r="D52" i="71" s="1"/>
  <c r="N49" i="71"/>
  <c r="B48" i="71"/>
  <c r="S10" i="71"/>
  <c r="B9" i="71"/>
  <c r="B8" i="71" s="1"/>
  <c r="T26" i="71"/>
  <c r="D26" i="71"/>
  <c r="U39" i="40"/>
  <c r="AB39" i="40"/>
  <c r="AB38" i="40"/>
  <c r="U38" i="40"/>
  <c r="AA40" i="39"/>
  <c r="S40" i="39"/>
  <c r="U12" i="36"/>
  <c r="AB12" i="36"/>
  <c r="AC23" i="35"/>
  <c r="W23" i="35"/>
  <c r="S7" i="33"/>
  <c r="AA7" i="33"/>
  <c r="R48" i="33" s="1"/>
  <c r="S39" i="39"/>
  <c r="AA39" i="39"/>
  <c r="U39" i="39"/>
  <c r="AB39" i="39"/>
  <c r="AC39" i="39"/>
  <c r="W39" i="39"/>
  <c r="S21" i="39"/>
  <c r="AA21" i="39"/>
  <c r="AC21" i="39"/>
  <c r="W21" i="39"/>
  <c r="AA15" i="39"/>
  <c r="S15" i="39"/>
  <c r="AA37" i="21"/>
  <c r="S37" i="21"/>
  <c r="AC37" i="21"/>
  <c r="U37" i="21"/>
  <c r="AB37" i="21"/>
  <c r="AA17" i="21"/>
  <c r="S17" i="21"/>
  <c r="AB17" i="21"/>
  <c r="U17" i="21"/>
  <c r="C30" i="68"/>
  <c r="AZ5" i="3"/>
  <c r="F30" i="6"/>
  <c r="F31" i="6" s="1"/>
  <c r="E16" i="6"/>
  <c r="E63" i="39"/>
  <c r="K14" i="1"/>
  <c r="M14" i="1" s="1"/>
  <c r="O14" i="1" s="1"/>
  <c r="P14" i="1" s="1"/>
  <c r="E30" i="6"/>
  <c r="F28" i="12"/>
  <c r="F27" i="69"/>
  <c r="C29" i="69" s="1"/>
  <c r="D27" i="69" s="1"/>
  <c r="AE11" i="43"/>
  <c r="AE13" i="43" s="1"/>
  <c r="E99" i="3"/>
  <c r="K16" i="1"/>
  <c r="E285" i="3"/>
  <c r="E350" i="3"/>
  <c r="E304" i="3"/>
  <c r="C29" i="68"/>
  <c r="D27" i="68" s="1"/>
  <c r="C47" i="68"/>
  <c r="D45" i="68" s="1"/>
  <c r="F27" i="11"/>
  <c r="F22" i="43"/>
  <c r="C34" i="69"/>
  <c r="E301" i="3"/>
  <c r="E16" i="3"/>
  <c r="E302" i="3"/>
  <c r="E399" i="3"/>
  <c r="D101" i="43"/>
  <c r="D103" i="43" s="1"/>
  <c r="M101" i="43"/>
  <c r="M105" i="43" s="1"/>
  <c r="E159" i="3"/>
  <c r="E303" i="3"/>
  <c r="E402" i="3"/>
  <c r="E314" i="3"/>
  <c r="E574" i="3"/>
  <c r="E213" i="3"/>
  <c r="E124" i="3"/>
  <c r="E347" i="3"/>
  <c r="E530" i="3"/>
  <c r="V6" i="3"/>
  <c r="E117" i="3"/>
  <c r="E128" i="3"/>
  <c r="AF11" i="43"/>
  <c r="AF13" i="43" s="1"/>
  <c r="C101" i="43"/>
  <c r="Z11" i="43"/>
  <c r="Z13" i="43" s="1"/>
  <c r="F101" i="43"/>
  <c r="E191" i="3"/>
  <c r="E245" i="3"/>
  <c r="E263" i="3"/>
  <c r="E382" i="3"/>
  <c r="E423" i="3"/>
  <c r="AK6" i="3"/>
  <c r="E511" i="3"/>
  <c r="E97" i="3"/>
  <c r="E359" i="3"/>
  <c r="O6" i="3"/>
  <c r="E17" i="3"/>
  <c r="E565" i="3"/>
  <c r="E237" i="3"/>
  <c r="E280" i="3"/>
  <c r="AA6" i="3"/>
  <c r="E508" i="3"/>
  <c r="E343" i="3"/>
  <c r="E175" i="3"/>
  <c r="E559" i="3"/>
  <c r="E320" i="3"/>
  <c r="E254" i="3"/>
  <c r="E231" i="3"/>
  <c r="J22" i="43"/>
  <c r="Z7" i="43"/>
  <c r="G22" i="43"/>
  <c r="N104" i="46"/>
  <c r="N101" i="43"/>
  <c r="N103" i="43" s="1"/>
  <c r="AC11" i="43"/>
  <c r="AC13" i="43" s="1"/>
  <c r="AH11" i="43"/>
  <c r="AH13" i="43" s="1"/>
  <c r="H22" i="43"/>
  <c r="E236" i="3"/>
  <c r="E156" i="3"/>
  <c r="E136" i="3"/>
  <c r="E196" i="3"/>
  <c r="E262" i="3"/>
  <c r="E244" i="3"/>
  <c r="E296" i="3"/>
  <c r="E368" i="3"/>
  <c r="E306" i="3"/>
  <c r="E453" i="3"/>
  <c r="E434" i="3"/>
  <c r="E549" i="3"/>
  <c r="E536" i="3"/>
  <c r="I6" i="3"/>
  <c r="E568" i="3"/>
  <c r="E397" i="3"/>
  <c r="E143" i="3"/>
  <c r="E337" i="3"/>
  <c r="E410" i="3"/>
  <c r="E555" i="3"/>
  <c r="E388" i="3"/>
  <c r="E503" i="3"/>
  <c r="E361" i="3"/>
  <c r="E183" i="3"/>
  <c r="E528" i="3"/>
  <c r="E261" i="3"/>
  <c r="E293" i="3"/>
  <c r="E246" i="3"/>
  <c r="E336" i="3"/>
  <c r="X6" i="3"/>
  <c r="E583" i="3"/>
  <c r="E328" i="3"/>
  <c r="E426" i="3"/>
  <c r="E153" i="3"/>
  <c r="E501" i="3"/>
  <c r="E319" i="3"/>
  <c r="E53" i="3"/>
  <c r="E358" i="3"/>
  <c r="E551" i="3"/>
  <c r="E407" i="3"/>
  <c r="E294" i="3"/>
  <c r="E130" i="3"/>
  <c r="E290" i="3"/>
  <c r="E561" i="3"/>
  <c r="E228" i="3"/>
  <c r="P7" i="1"/>
  <c r="C13" i="12" s="1"/>
  <c r="AA11" i="43"/>
  <c r="AA13" i="43" s="1"/>
  <c r="AI11" i="43"/>
  <c r="AI13" i="43" s="1"/>
  <c r="AB11" i="43"/>
  <c r="AB13" i="43" s="1"/>
  <c r="AJ11" i="43"/>
  <c r="AJ13" i="43" s="1"/>
  <c r="I101" i="43"/>
  <c r="I102" i="43" s="1"/>
  <c r="L101" i="43"/>
  <c r="L102" i="43" s="1"/>
  <c r="J101" i="43"/>
  <c r="J103" i="43" s="1"/>
  <c r="G101" i="43"/>
  <c r="G105" i="43" s="1"/>
  <c r="K101" i="43"/>
  <c r="K107" i="43" s="1"/>
  <c r="Y11" i="43"/>
  <c r="Y13" i="43" s="1"/>
  <c r="AG11" i="43"/>
  <c r="AG13" i="43" s="1"/>
  <c r="AD11" i="43"/>
  <c r="AD13" i="43" s="1"/>
  <c r="E101" i="43"/>
  <c r="E104" i="43" s="1"/>
  <c r="H101" i="43"/>
  <c r="H106" i="43" s="1"/>
  <c r="E22" i="43"/>
  <c r="E578" i="3"/>
  <c r="E586" i="3"/>
  <c r="AI6" i="3"/>
  <c r="AN6" i="3"/>
  <c r="E518" i="3"/>
  <c r="E495" i="3"/>
  <c r="E385" i="3"/>
  <c r="E353" i="3"/>
  <c r="E151" i="3"/>
  <c r="E201" i="3"/>
  <c r="E229" i="3"/>
  <c r="E247" i="3"/>
  <c r="E396" i="3"/>
  <c r="E431" i="3"/>
  <c r="E569" i="3"/>
  <c r="E579" i="3"/>
  <c r="E516" i="3"/>
  <c r="E509" i="3"/>
  <c r="E239" i="3"/>
  <c r="E535" i="3"/>
  <c r="E550" i="3"/>
  <c r="E445" i="3"/>
  <c r="E260" i="3"/>
  <c r="E172" i="3"/>
  <c r="E395" i="3"/>
  <c r="E563" i="3"/>
  <c r="E415" i="3"/>
  <c r="E278" i="3"/>
  <c r="E114" i="3"/>
  <c r="E69" i="3"/>
  <c r="E165" i="3"/>
  <c r="E205" i="3"/>
  <c r="E227" i="3"/>
  <c r="E352" i="3"/>
  <c r="E461" i="3"/>
  <c r="E510" i="3"/>
  <c r="E567" i="3"/>
  <c r="E545" i="3"/>
  <c r="E539" i="3"/>
  <c r="E329" i="3"/>
  <c r="AJ6" i="3"/>
  <c r="N6" i="3"/>
  <c r="E322" i="3"/>
  <c r="E282" i="3"/>
  <c r="E268" i="3"/>
  <c r="E553" i="3"/>
  <c r="E526" i="3"/>
  <c r="E366" i="3"/>
  <c r="E217" i="3"/>
  <c r="E125" i="3"/>
  <c r="E514" i="3"/>
  <c r="E570" i="3"/>
  <c r="M6" i="3"/>
  <c r="AB6" i="3"/>
  <c r="E387" i="3"/>
  <c r="E335" i="3"/>
  <c r="E215" i="3"/>
  <c r="E189" i="3"/>
  <c r="E134" i="3"/>
  <c r="E135" i="3"/>
  <c r="E161" i="3"/>
  <c r="E533" i="3"/>
  <c r="E439" i="3"/>
  <c r="E185" i="3"/>
  <c r="E157" i="3"/>
  <c r="E91" i="3"/>
  <c r="E221" i="3"/>
  <c r="E180" i="3"/>
  <c r="E270" i="3"/>
  <c r="AR6" i="3"/>
  <c r="E538" i="3"/>
  <c r="E380" i="3"/>
  <c r="E216" i="3"/>
  <c r="E188" i="3"/>
  <c r="E181" i="3"/>
  <c r="E311" i="3"/>
  <c r="S6" i="3"/>
  <c r="E506" i="3"/>
  <c r="E338" i="3"/>
  <c r="E298" i="3"/>
  <c r="E61" i="3"/>
  <c r="E269" i="3"/>
  <c r="E89" i="3"/>
  <c r="E14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390" i="3"/>
  <c r="E418" i="3"/>
  <c r="E169" i="3"/>
  <c r="E122" i="3"/>
  <c r="E120"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523" i="3"/>
  <c r="E321" i="3"/>
  <c r="E148"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33" i="3"/>
  <c r="E284" i="3"/>
  <c r="E355" i="3"/>
  <c r="E341" i="3"/>
  <c r="E381" i="3"/>
  <c r="Y6" i="3"/>
  <c r="E68" i="3"/>
  <c r="E51" i="3"/>
  <c r="E63" i="3"/>
  <c r="E19" i="3"/>
  <c r="E81" i="3"/>
  <c r="E154" i="3"/>
  <c r="E118" i="3"/>
  <c r="E179" i="3"/>
  <c r="E264" i="3"/>
  <c r="E222" i="3"/>
  <c r="E283" i="3"/>
  <c r="E323" i="3"/>
  <c r="E309" i="3"/>
  <c r="E373" i="3"/>
  <c r="E513" i="3"/>
  <c r="E82" i="3"/>
  <c r="E21"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89" i="3"/>
  <c r="E251" i="3"/>
  <c r="E340" i="3"/>
  <c r="E370" i="3"/>
  <c r="E364" i="3"/>
  <c r="AF6" i="3"/>
  <c r="E50" i="3"/>
  <c r="E102" i="3"/>
  <c r="E20" i="3"/>
  <c r="E80" i="3"/>
  <c r="E62" i="3"/>
  <c r="E113" i="3"/>
  <c r="E176" i="3"/>
  <c r="E158" i="3"/>
  <c r="E218" i="3"/>
  <c r="E287" i="3"/>
  <c r="E265" i="3"/>
  <c r="E308" i="3"/>
  <c r="E365" i="3"/>
  <c r="E326" i="3"/>
  <c r="E524" i="3"/>
  <c r="E22" i="3"/>
  <c r="E101" i="3"/>
  <c r="E83" i="3"/>
  <c r="E65" i="39"/>
  <c r="E66" i="39" s="1"/>
  <c r="C29" i="12"/>
  <c r="D28" i="12" s="1"/>
  <c r="O16" i="1"/>
  <c r="M107" i="43"/>
  <c r="M104" i="43"/>
  <c r="I109" i="43"/>
  <c r="I106" i="43"/>
  <c r="I104" i="43"/>
  <c r="I105" i="43"/>
  <c r="L104" i="43"/>
  <c r="J104" i="43"/>
  <c r="J109" i="43"/>
  <c r="J107" i="43"/>
  <c r="J106" i="43"/>
  <c r="K103" i="43"/>
  <c r="K104" i="43"/>
  <c r="K109" i="43"/>
  <c r="K106" i="43"/>
  <c r="M109" i="43"/>
  <c r="M102" i="43"/>
  <c r="M103" i="43"/>
  <c r="M106" i="43"/>
  <c r="F104" i="43"/>
  <c r="F107" i="43"/>
  <c r="F106" i="43"/>
  <c r="F105" i="43"/>
  <c r="F109" i="43"/>
  <c r="F102" i="43"/>
  <c r="F103" i="43"/>
  <c r="D109" i="43"/>
  <c r="D104" i="43"/>
  <c r="D105" i="43"/>
  <c r="D102" i="43"/>
  <c r="C104" i="43"/>
  <c r="C106" i="43"/>
  <c r="C105" i="43"/>
  <c r="C107" i="43"/>
  <c r="C103" i="43"/>
  <c r="C102" i="43"/>
  <c r="C109" i="43"/>
  <c r="N102" i="43"/>
  <c r="N106" i="43"/>
  <c r="N109" i="43"/>
  <c r="N107" i="43"/>
  <c r="E106" i="43"/>
  <c r="E103" i="43"/>
  <c r="B115" i="43"/>
  <c r="I115" i="43"/>
  <c r="J115" i="43" s="1"/>
  <c r="K115" i="43" s="1"/>
  <c r="L115" i="43" s="1"/>
  <c r="M115" i="43" s="1"/>
  <c r="I118" i="43"/>
  <c r="J118" i="43" s="1"/>
  <c r="K118" i="43" s="1"/>
  <c r="L118" i="43" s="1"/>
  <c r="M118" i="43" s="1"/>
  <c r="G118" i="43"/>
  <c r="H118" i="43" s="1"/>
  <c r="B118" i="43"/>
  <c r="C118" i="43" s="1"/>
  <c r="D117" i="43"/>
  <c r="E117" i="43" s="1"/>
  <c r="F117" i="43" s="1"/>
  <c r="G117" i="43" s="1"/>
  <c r="H117" i="43" s="1"/>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C15" i="15"/>
  <c r="C18" i="15"/>
  <c r="P8" i="1"/>
  <c r="C47" i="11"/>
  <c r="D45" i="11" s="1"/>
  <c r="C29" i="11"/>
  <c r="D27" i="11" s="1"/>
  <c r="K24" i="6"/>
  <c r="M24" i="6" s="1"/>
  <c r="I24" i="6" s="1"/>
  <c r="S24" i="6" s="1"/>
  <c r="K26" i="6"/>
  <c r="M26" i="6" s="1"/>
  <c r="I26" i="6" s="1"/>
  <c r="S26" i="6" s="1"/>
  <c r="K19" i="6"/>
  <c r="S6" i="1" s="1"/>
  <c r="K20" i="6"/>
  <c r="E31" i="6"/>
  <c r="K21" i="6"/>
  <c r="M21" i="6" s="1"/>
  <c r="I21" i="6" s="1"/>
  <c r="S21" i="6" s="1"/>
  <c r="K22" i="6"/>
  <c r="M22" i="6" s="1"/>
  <c r="I22" i="6" s="1"/>
  <c r="S22" i="6" s="1"/>
  <c r="K25" i="6"/>
  <c r="M25" i="6" s="1"/>
  <c r="I25" i="6" s="1"/>
  <c r="S25" i="6" s="1"/>
  <c r="K23" i="6"/>
  <c r="M23" i="6" s="1"/>
  <c r="I23" i="6" s="1"/>
  <c r="S23" i="6" s="1"/>
  <c r="AY6" i="3"/>
  <c r="E3" i="6"/>
  <c r="B4" i="62"/>
  <c r="B71" i="72" s="1"/>
  <c r="K4" i="4"/>
  <c r="B46" i="48" s="1"/>
  <c r="B4" i="72" s="1"/>
  <c r="F10" i="40"/>
  <c r="H10" i="39"/>
  <c r="J10" i="40"/>
  <c r="J10" i="39"/>
  <c r="F10" i="39"/>
  <c r="AA10" i="39" s="1"/>
  <c r="AC7" i="34"/>
  <c r="V49" i="34" s="1"/>
  <c r="I49" i="34" s="1"/>
  <c r="W7" i="34"/>
  <c r="E63" i="40"/>
  <c r="D65" i="40"/>
  <c r="AC7" i="35"/>
  <c r="V38" i="35" s="1"/>
  <c r="I38" i="35" s="1"/>
  <c r="W7" i="35"/>
  <c r="AB7" i="35"/>
  <c r="T38" i="35" s="1"/>
  <c r="G38" i="35" s="1"/>
  <c r="U7" i="35"/>
  <c r="S7" i="34"/>
  <c r="AA7" i="34"/>
  <c r="R49" i="34" s="1"/>
  <c r="S7" i="21"/>
  <c r="AA7" i="21"/>
  <c r="AC7" i="21"/>
  <c r="W7" i="21"/>
  <c r="I52" i="33"/>
  <c r="J52" i="33" s="1"/>
  <c r="G53" i="33"/>
  <c r="H53" i="33" s="1"/>
  <c r="AB10" i="40"/>
  <c r="U10" i="40"/>
  <c r="U7" i="36"/>
  <c r="AB7" i="36"/>
  <c r="T36" i="36" s="1"/>
  <c r="G36" i="36" s="1"/>
  <c r="F52" i="37"/>
  <c r="G52" i="37" s="1"/>
  <c r="H52" i="37" s="1"/>
  <c r="I52" i="37" s="1"/>
  <c r="J52" i="37" s="1"/>
  <c r="K52" i="37" s="1"/>
  <c r="L52" i="37" s="1"/>
  <c r="M52" i="37" s="1"/>
  <c r="N52" i="37" s="1"/>
  <c r="O52" i="37" s="1"/>
  <c r="D70" i="39"/>
  <c r="E68" i="39"/>
  <c r="J7" i="36"/>
  <c r="F7" i="36"/>
  <c r="F7" i="37"/>
  <c r="AA7" i="35"/>
  <c r="R38" i="35" s="1"/>
  <c r="S7" i="35"/>
  <c r="U7" i="34"/>
  <c r="AB7" i="34"/>
  <c r="T49" i="34" s="1"/>
  <c r="G49" i="34" s="1"/>
  <c r="AB7" i="21"/>
  <c r="U7" i="21"/>
  <c r="C18" i="67"/>
  <c r="C15" i="67"/>
  <c r="Q73" i="15"/>
  <c r="Q60" i="15"/>
  <c r="C49" i="15"/>
  <c r="Q60" i="67"/>
  <c r="Q73" i="67"/>
  <c r="B2" i="70"/>
  <c r="B3" i="70" s="1"/>
  <c r="C49" i="67"/>
  <c r="J6" i="67"/>
  <c r="J6" i="15"/>
  <c r="Q74" i="15"/>
  <c r="Q61" i="15"/>
  <c r="Q74" i="67"/>
  <c r="Q61" i="67"/>
  <c r="D4" i="73"/>
  <c r="D3" i="73"/>
  <c r="D6" i="73"/>
  <c r="D7" i="73"/>
  <c r="F7" i="73"/>
  <c r="F5" i="73"/>
  <c r="D5" i="73"/>
  <c r="F6" i="73"/>
  <c r="F3" i="73"/>
  <c r="F4" i="73"/>
  <c r="E20" i="43" l="1"/>
  <c r="I1" i="73"/>
  <c r="B39" i="1" s="1"/>
  <c r="H7" i="37"/>
  <c r="J7" i="37"/>
  <c r="E48" i="33"/>
  <c r="R49" i="33"/>
  <c r="N47" i="71"/>
  <c r="N48" i="71"/>
  <c r="J33" i="21"/>
  <c r="F33" i="21"/>
  <c r="H33" i="21"/>
  <c r="H11" i="39"/>
  <c r="F11" i="39"/>
  <c r="J11" i="39"/>
  <c r="L27" i="6"/>
  <c r="H11" i="21"/>
  <c r="F11" i="21"/>
  <c r="J11" i="21"/>
  <c r="T18" i="71"/>
  <c r="D18" i="71"/>
  <c r="T22" i="71"/>
  <c r="D22" i="71"/>
  <c r="T14" i="71"/>
  <c r="D14" i="71"/>
  <c r="M20" i="43"/>
  <c r="C19" i="43" s="1"/>
  <c r="M20" i="6"/>
  <c r="I20" i="6" s="1"/>
  <c r="S20" i="6" s="1"/>
  <c r="S7" i="1"/>
  <c r="AQ6" i="1"/>
  <c r="T6" i="1"/>
  <c r="AR6" i="1"/>
  <c r="S16" i="1"/>
  <c r="G103" i="43"/>
  <c r="E109" i="43"/>
  <c r="E102" i="43"/>
  <c r="N105" i="43"/>
  <c r="N104" i="43"/>
  <c r="D106" i="43"/>
  <c r="D107" i="43"/>
  <c r="K102" i="43"/>
  <c r="K105" i="43"/>
  <c r="J102" i="43"/>
  <c r="J105" i="43"/>
  <c r="I107" i="43"/>
  <c r="I103" i="43"/>
  <c r="C47" i="69"/>
  <c r="D45" i="69" s="1"/>
  <c r="AC6" i="3"/>
  <c r="D22" i="43"/>
  <c r="P16" i="1"/>
  <c r="C11" i="12" s="1"/>
  <c r="C12" i="12" s="1"/>
  <c r="M16" i="1"/>
  <c r="H102" i="43"/>
  <c r="G104" i="43"/>
  <c r="H107" i="43"/>
  <c r="G102" i="43"/>
  <c r="L109" i="43"/>
  <c r="C38" i="69"/>
  <c r="C35" i="69"/>
  <c r="H104" i="43"/>
  <c r="H103" i="43"/>
  <c r="G109" i="43"/>
  <c r="G107" i="43"/>
  <c r="G106" i="43"/>
  <c r="L105" i="43"/>
  <c r="H6" i="3"/>
  <c r="E107" i="43"/>
  <c r="E105" i="43"/>
  <c r="H109" i="43"/>
  <c r="H105" i="43"/>
  <c r="L107" i="43"/>
  <c r="L103" i="43"/>
  <c r="L106" i="43"/>
  <c r="C19" i="15"/>
  <c r="C20" i="15" s="1"/>
  <c r="C115" i="43"/>
  <c r="D113" i="43" s="1"/>
  <c r="S4" i="43"/>
  <c r="T4" i="43" s="1"/>
  <c r="V4" i="43" s="1"/>
  <c r="C23" i="43"/>
  <c r="C21" i="43" s="1"/>
  <c r="C29" i="43" s="1"/>
  <c r="S2" i="43"/>
  <c r="T2" i="43" s="1"/>
  <c r="V2" i="43" s="1"/>
  <c r="S5" i="43"/>
  <c r="T5" i="43" s="1"/>
  <c r="V5" i="43" s="1"/>
  <c r="S6" i="43"/>
  <c r="T6" i="43" s="1"/>
  <c r="V6" i="43" s="1"/>
  <c r="S7" i="43"/>
  <c r="T7" i="43" s="1"/>
  <c r="V7" i="43" s="1"/>
  <c r="S3" i="43"/>
  <c r="T3" i="43" s="1"/>
  <c r="V3" i="43" s="1"/>
  <c r="S10" i="39"/>
  <c r="AY87" i="3"/>
  <c r="AY83" i="3"/>
  <c r="AY51" i="3"/>
  <c r="AY66" i="3"/>
  <c r="AY34" i="3"/>
  <c r="AY23" i="3"/>
  <c r="AY207" i="3"/>
  <c r="AY103" i="3"/>
  <c r="AY67" i="3"/>
  <c r="AY50" i="3"/>
  <c r="AY196"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98" i="3"/>
  <c r="AY82" i="3"/>
  <c r="AY18"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193"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21"/>
  <c r="D19" i="11"/>
  <c r="C19" i="11" s="1"/>
  <c r="D3" i="34"/>
  <c r="D3" i="33"/>
  <c r="E6" i="6"/>
  <c r="C17" i="4"/>
  <c r="B4" i="52" s="1"/>
  <c r="B43" i="72" s="1"/>
  <c r="L18" i="9"/>
  <c r="D3" i="37"/>
  <c r="D14" i="12"/>
  <c r="D37" i="11"/>
  <c r="M18" i="9"/>
  <c r="B118" i="9" s="1"/>
  <c r="B14" i="74" s="1"/>
  <c r="B1" i="74" s="1"/>
  <c r="M19" i="6"/>
  <c r="K27" i="6"/>
  <c r="W10" i="40"/>
  <c r="AC10" i="40"/>
  <c r="AA10" i="40"/>
  <c r="S10" i="40"/>
  <c r="W10" i="39"/>
  <c r="AC10" i="39"/>
  <c r="U10" i="39"/>
  <c r="AB10" i="39"/>
  <c r="C19" i="67"/>
  <c r="C20" i="67" s="1"/>
  <c r="G53" i="34"/>
  <c r="H53" i="34" s="1"/>
  <c r="G54" i="34"/>
  <c r="H54" i="34" s="1"/>
  <c r="S7" i="37"/>
  <c r="AA7" i="37"/>
  <c r="R42" i="37" s="1"/>
  <c r="W7" i="36"/>
  <c r="AC7" i="36"/>
  <c r="V36" i="36" s="1"/>
  <c r="I36" i="36" s="1"/>
  <c r="E49" i="34"/>
  <c r="R50" i="34"/>
  <c r="R39" i="35"/>
  <c r="E38" i="35"/>
  <c r="U7" i="37"/>
  <c r="AB7" i="37"/>
  <c r="T42" i="37" s="1"/>
  <c r="G42" i="37" s="1"/>
  <c r="S7" i="36"/>
  <c r="AA7" i="36"/>
  <c r="R36" i="36" s="1"/>
  <c r="F68" i="39"/>
  <c r="E70" i="39"/>
  <c r="AC7" i="37"/>
  <c r="V42" i="37" s="1"/>
  <c r="I42" i="37" s="1"/>
  <c r="W7" i="37"/>
  <c r="G40" i="36"/>
  <c r="H40" i="36" s="1"/>
  <c r="G41" i="36"/>
  <c r="H41" i="36" s="1"/>
  <c r="G43" i="35"/>
  <c r="H43" i="35" s="1"/>
  <c r="G42" i="35"/>
  <c r="H42" i="35" s="1"/>
  <c r="I42" i="35"/>
  <c r="J42" i="35" s="1"/>
  <c r="E65" i="40"/>
  <c r="F63" i="40"/>
  <c r="I53" i="34"/>
  <c r="J53" i="34" s="1"/>
  <c r="I54" i="34"/>
  <c r="J54" i="34" s="1"/>
  <c r="G1" i="73"/>
  <c r="B40" i="1" l="1"/>
  <c r="F22" i="11" s="1"/>
  <c r="E6" i="3"/>
  <c r="W11" i="21"/>
  <c r="AC11" i="21"/>
  <c r="U11" i="21"/>
  <c r="AB11" i="21"/>
  <c r="W11" i="39"/>
  <c r="AC11" i="39"/>
  <c r="U11" i="39"/>
  <c r="AB11" i="39"/>
  <c r="AA33" i="21"/>
  <c r="S33" i="21"/>
  <c r="C49" i="33"/>
  <c r="B2" i="33" s="1"/>
  <c r="B3" i="33" s="1"/>
  <c r="C48" i="33"/>
  <c r="C33" i="43"/>
  <c r="C36" i="43"/>
  <c r="C38" i="43"/>
  <c r="T16" i="43"/>
  <c r="V16" i="43" s="1"/>
  <c r="T12" i="43"/>
  <c r="V12" i="43" s="1"/>
  <c r="T8" i="43"/>
  <c r="V8" i="43" s="1"/>
  <c r="T13" i="43"/>
  <c r="V13" i="43" s="1"/>
  <c r="C39" i="43"/>
  <c r="E39" i="43" s="1"/>
  <c r="C35" i="43"/>
  <c r="C34" i="43"/>
  <c r="T11" i="43"/>
  <c r="V11" i="43" s="1"/>
  <c r="T14" i="43"/>
  <c r="V14" i="43" s="1"/>
  <c r="T9" i="43"/>
  <c r="V9" i="43" s="1"/>
  <c r="T15" i="43"/>
  <c r="V15" i="43" s="1"/>
  <c r="T10" i="43"/>
  <c r="V10" i="43" s="1"/>
  <c r="C37" i="43"/>
  <c r="S11" i="21"/>
  <c r="AA11" i="21"/>
  <c r="R48" i="21" s="1"/>
  <c r="AA11" i="39"/>
  <c r="S11" i="39"/>
  <c r="AB33" i="21"/>
  <c r="U33" i="21"/>
  <c r="W33" i="21"/>
  <c r="AC33" i="21"/>
  <c r="I53" i="33"/>
  <c r="J53" i="33" s="1"/>
  <c r="E52" i="33"/>
  <c r="F52" i="33" s="1"/>
  <c r="E53" i="33"/>
  <c r="F53" i="33" s="1"/>
  <c r="F11" i="67"/>
  <c r="M11" i="67"/>
  <c r="J10" i="67" s="1"/>
  <c r="J5" i="67" s="1"/>
  <c r="J18" i="67" s="1"/>
  <c r="M11" i="15"/>
  <c r="J10" i="15" s="1"/>
  <c r="J5" i="15" s="1"/>
  <c r="J24" i="15" s="1"/>
  <c r="F11" i="15"/>
  <c r="P17" i="43"/>
  <c r="M17" i="43"/>
  <c r="N17" i="43"/>
  <c r="O17" i="43"/>
  <c r="C15" i="12"/>
  <c r="AQ7" i="1"/>
  <c r="T7" i="1"/>
  <c r="T16" i="1" s="1"/>
  <c r="AR7" i="1"/>
  <c r="L16" i="1"/>
  <c r="N16" i="1"/>
  <c r="E29" i="43"/>
  <c r="C30" i="43"/>
  <c r="E30" i="43" s="1"/>
  <c r="I19" i="6"/>
  <c r="M27" i="6"/>
  <c r="C20" i="11"/>
  <c r="C28" i="11" s="1"/>
  <c r="C27" i="11" s="1"/>
  <c r="C7" i="74"/>
  <c r="C8" i="74"/>
  <c r="D17" i="12"/>
  <c r="C17" i="12" s="1"/>
  <c r="D10" i="68"/>
  <c r="D10" i="11"/>
  <c r="C10" i="11" s="1"/>
  <c r="D20" i="12"/>
  <c r="C20" i="12" s="1"/>
  <c r="C18" i="12" s="1"/>
  <c r="D10" i="69"/>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H19" i="6"/>
  <c r="I46" i="37"/>
  <c r="J46" i="37" s="1"/>
  <c r="F70" i="39"/>
  <c r="G68" i="39"/>
  <c r="E43" i="35"/>
  <c r="F43" i="35" s="1"/>
  <c r="E42" i="35"/>
  <c r="F42" i="35" s="1"/>
  <c r="C50" i="34"/>
  <c r="B2" i="34" s="1"/>
  <c r="B3" i="34" s="1"/>
  <c r="C49" i="34"/>
  <c r="C26" i="15"/>
  <c r="G63" i="40"/>
  <c r="F65" i="40"/>
  <c r="I43" i="35"/>
  <c r="J43" i="35" s="1"/>
  <c r="E36" i="36"/>
  <c r="R37" i="36"/>
  <c r="G46" i="37"/>
  <c r="H46" i="37" s="1"/>
  <c r="G47" i="37"/>
  <c r="H47" i="37" s="1"/>
  <c r="C39" i="35"/>
  <c r="B2" i="35" s="1"/>
  <c r="B3" i="35" s="1"/>
  <c r="C38" i="35"/>
  <c r="E54" i="34"/>
  <c r="F54" i="34" s="1"/>
  <c r="E53" i="34"/>
  <c r="F53" i="34" s="1"/>
  <c r="I41" i="36"/>
  <c r="J41" i="36" s="1"/>
  <c r="I40" i="36"/>
  <c r="J40" i="36" s="1"/>
  <c r="R43" i="37"/>
  <c r="E42" i="37"/>
  <c r="I47" i="37" s="1"/>
  <c r="J47" i="37" s="1"/>
  <c r="C26" i="67"/>
  <c r="J26" i="67" l="1"/>
  <c r="J29" i="67" s="1"/>
  <c r="J24" i="67"/>
  <c r="F22" i="68"/>
  <c r="C44" i="11"/>
  <c r="D41" i="11" s="1"/>
  <c r="C26" i="11"/>
  <c r="D22" i="11" s="1"/>
  <c r="C23" i="11"/>
  <c r="C24" i="11"/>
  <c r="F25" i="12"/>
  <c r="C26" i="12" s="1"/>
  <c r="D25" i="12" s="1"/>
  <c r="F24" i="67"/>
  <c r="F22" i="69"/>
  <c r="F24" i="15"/>
  <c r="J26" i="15"/>
  <c r="J29" i="15" s="1"/>
  <c r="J18" i="15"/>
  <c r="C10" i="67"/>
  <c r="C5" i="67" s="1"/>
  <c r="C53" i="67"/>
  <c r="C48" i="67" s="1"/>
  <c r="E48" i="21"/>
  <c r="E37" i="43"/>
  <c r="G37" i="43"/>
  <c r="I37" i="43" s="1"/>
  <c r="E34" i="43"/>
  <c r="G34" i="43"/>
  <c r="I34" i="43" s="1"/>
  <c r="G36" i="43"/>
  <c r="I36" i="43" s="1"/>
  <c r="E36" i="43"/>
  <c r="T48" i="21"/>
  <c r="G48" i="21" s="1"/>
  <c r="V48" i="21"/>
  <c r="I48" i="21" s="1"/>
  <c r="I52" i="21" s="1"/>
  <c r="J52" i="21" s="1"/>
  <c r="C10" i="15"/>
  <c r="C5" i="15" s="1"/>
  <c r="C53" i="15"/>
  <c r="C48" i="15" s="1"/>
  <c r="E35" i="43"/>
  <c r="G35" i="43"/>
  <c r="I35" i="43" s="1"/>
  <c r="E38" i="43"/>
  <c r="G38" i="43"/>
  <c r="I38" i="43" s="1"/>
  <c r="E33" i="43"/>
  <c r="C26" i="43" s="1"/>
  <c r="G33" i="43"/>
  <c r="I33" i="43" s="1"/>
  <c r="C27" i="43" s="1"/>
  <c r="F34" i="11"/>
  <c r="F34" i="68"/>
  <c r="F11" i="12"/>
  <c r="H27" i="6"/>
  <c r="D16" i="6"/>
  <c r="D30" i="6"/>
  <c r="F50" i="69"/>
  <c r="F50" i="68"/>
  <c r="F50" i="11"/>
  <c r="C25" i="11"/>
  <c r="R24" i="6"/>
  <c r="R22" i="6"/>
  <c r="R25" i="6"/>
  <c r="R26" i="6"/>
  <c r="D7" i="74"/>
  <c r="D8" i="74"/>
  <c r="C10" i="68"/>
  <c r="D19" i="68"/>
  <c r="R21" i="6"/>
  <c r="R23" i="6"/>
  <c r="C4" i="52"/>
  <c r="B45" i="72" s="1"/>
  <c r="A10" i="51"/>
  <c r="B9" i="72" s="1"/>
  <c r="A7" i="51"/>
  <c r="B7" i="72" s="1"/>
  <c r="R19" i="6"/>
  <c r="D27" i="6"/>
  <c r="D31" i="6" s="1"/>
  <c r="D19" i="69"/>
  <c r="C10" i="69"/>
  <c r="C8" i="69" s="1"/>
  <c r="C5" i="69" s="1"/>
  <c r="S19" i="6"/>
  <c r="S27" i="6" s="1"/>
  <c r="I27" i="6"/>
  <c r="E47" i="37"/>
  <c r="F47" i="37" s="1"/>
  <c r="E46" i="37"/>
  <c r="F46" i="37" s="1"/>
  <c r="C36" i="36"/>
  <c r="C37" i="36"/>
  <c r="B2" i="36" s="1"/>
  <c r="B3" i="36" s="1"/>
  <c r="G65" i="40"/>
  <c r="H63" i="40"/>
  <c r="C43" i="37"/>
  <c r="B2" i="37" s="1"/>
  <c r="B3" i="37" s="1"/>
  <c r="C42" i="37"/>
  <c r="E40" i="36"/>
  <c r="F40" i="36" s="1"/>
  <c r="E41" i="36"/>
  <c r="F41" i="36" s="1"/>
  <c r="H68" i="39"/>
  <c r="G70" i="39"/>
  <c r="E6" i="76"/>
  <c r="C22" i="11" l="1"/>
  <c r="C31" i="11" s="1"/>
  <c r="C26" i="68"/>
  <c r="D22" i="68" s="1"/>
  <c r="C44" i="68"/>
  <c r="D41" i="68" s="1"/>
  <c r="C24" i="15"/>
  <c r="C23" i="15"/>
  <c r="C24" i="67"/>
  <c r="C23" i="67"/>
  <c r="C44" i="69"/>
  <c r="D41" i="69" s="1"/>
  <c r="C26" i="69"/>
  <c r="D22" i="69" s="1"/>
  <c r="E2" i="76"/>
  <c r="B2" i="43"/>
  <c r="C60" i="15"/>
  <c r="C66" i="15"/>
  <c r="G52" i="21"/>
  <c r="H52" i="21" s="1"/>
  <c r="G53" i="21"/>
  <c r="H53" i="21" s="1"/>
  <c r="I53" i="21"/>
  <c r="J53" i="21" s="1"/>
  <c r="E52" i="21"/>
  <c r="F52" i="21" s="1"/>
  <c r="E53" i="21"/>
  <c r="F53" i="21" s="1"/>
  <c r="C32" i="67"/>
  <c r="C38" i="67"/>
  <c r="C32" i="15"/>
  <c r="C38" i="15"/>
  <c r="R49" i="21"/>
  <c r="C66" i="67"/>
  <c r="C60" i="67"/>
  <c r="C36" i="68"/>
  <c r="C34" i="68"/>
  <c r="C14" i="12"/>
  <c r="C16" i="12" s="1"/>
  <c r="C21" i="12" s="1"/>
  <c r="C22" i="12" s="1"/>
  <c r="C36" i="11"/>
  <c r="C37" i="11"/>
  <c r="C34" i="11"/>
  <c r="R27" i="6"/>
  <c r="R6" i="1"/>
  <c r="R16" i="1" s="1"/>
  <c r="C23" i="69"/>
  <c r="I6" i="6"/>
  <c r="I5" i="6"/>
  <c r="C19" i="68"/>
  <c r="D37" i="68"/>
  <c r="C37" i="68" s="1"/>
  <c r="D37" i="69"/>
  <c r="C37" i="69" s="1"/>
  <c r="C33" i="69" s="1"/>
  <c r="C19" i="69"/>
  <c r="C24" i="69" s="1"/>
  <c r="I63" i="40"/>
  <c r="H65" i="40"/>
  <c r="I68" i="39"/>
  <c r="H70" i="39"/>
  <c r="B6" i="76"/>
  <c r="C29" i="67" l="1"/>
  <c r="C33" i="67" s="1"/>
  <c r="C31" i="67" s="1"/>
  <c r="C29" i="15"/>
  <c r="J59" i="15" s="1"/>
  <c r="J60" i="15" s="1"/>
  <c r="J14" i="67"/>
  <c r="J22" i="67" s="1"/>
  <c r="B2" i="76"/>
  <c r="B3" i="76" s="1"/>
  <c r="C49" i="21"/>
  <c r="B2" i="21" s="1"/>
  <c r="B3" i="21" s="1"/>
  <c r="C48" i="21"/>
  <c r="B3" i="43"/>
  <c r="C35" i="11"/>
  <c r="C38" i="11"/>
  <c r="C35" i="68"/>
  <c r="C38" i="68"/>
  <c r="C20" i="69"/>
  <c r="C25" i="69" s="1"/>
  <c r="C22" i="69" s="1"/>
  <c r="C39" i="69"/>
  <c r="C42" i="69"/>
  <c r="C24" i="68"/>
  <c r="J68" i="39"/>
  <c r="I70" i="39"/>
  <c r="J63" i="40"/>
  <c r="I65" i="40"/>
  <c r="C57" i="15" l="1"/>
  <c r="C13" i="67"/>
  <c r="C56" i="67" s="1"/>
  <c r="C65" i="67" s="1"/>
  <c r="J59" i="67"/>
  <c r="J60" i="67" s="1"/>
  <c r="Q48" i="67" s="1"/>
  <c r="L46" i="15"/>
  <c r="Q48" i="15"/>
  <c r="J14" i="15"/>
  <c r="C37" i="67"/>
  <c r="C13" i="15"/>
  <c r="Q49" i="15"/>
  <c r="J19" i="15"/>
  <c r="J17" i="15" s="1"/>
  <c r="C36" i="15"/>
  <c r="C33" i="15"/>
  <c r="C31" i="15" s="1"/>
  <c r="J19" i="67"/>
  <c r="J17" i="67" s="1"/>
  <c r="C36" i="67"/>
  <c r="C57" i="67"/>
  <c r="Q49" i="67"/>
  <c r="J13" i="67"/>
  <c r="J23" i="67" s="1"/>
  <c r="J16" i="67" s="1"/>
  <c r="J25" i="67" s="1"/>
  <c r="C6" i="12"/>
  <c r="D6" i="12"/>
  <c r="D8" i="12" s="1"/>
  <c r="C28" i="69"/>
  <c r="C27" i="69" s="1"/>
  <c r="C31" i="69" s="1"/>
  <c r="C33" i="11"/>
  <c r="C39" i="11" s="1"/>
  <c r="C33" i="68"/>
  <c r="C39" i="68" s="1"/>
  <c r="C42" i="11"/>
  <c r="C46" i="69"/>
  <c r="C45" i="69" s="1"/>
  <c r="C43" i="69"/>
  <c r="C41" i="69" s="1"/>
  <c r="J65" i="40"/>
  <c r="K63" i="40"/>
  <c r="K68" i="39"/>
  <c r="J70" i="39"/>
  <c r="L46" i="67" l="1"/>
  <c r="Q70" i="67"/>
  <c r="C64" i="15"/>
  <c r="C61" i="15"/>
  <c r="C59" i="15" s="1"/>
  <c r="C75" i="67"/>
  <c r="J22" i="15"/>
  <c r="J13" i="15"/>
  <c r="J23" i="15" s="1"/>
  <c r="C30" i="67"/>
  <c r="C39" i="67" s="1"/>
  <c r="Q69" i="67" s="1"/>
  <c r="Q68" i="67" s="1"/>
  <c r="C64" i="67"/>
  <c r="C61" i="67"/>
  <c r="C59" i="67" s="1"/>
  <c r="C75" i="15"/>
  <c r="Q70" i="15"/>
  <c r="C37" i="15"/>
  <c r="C30" i="15" s="1"/>
  <c r="C39" i="15" s="1"/>
  <c r="C56" i="15"/>
  <c r="C65" i="15" s="1"/>
  <c r="C8" i="12"/>
  <c r="C4" i="12" s="1"/>
  <c r="C42" i="68"/>
  <c r="C43" i="68"/>
  <c r="C46" i="68"/>
  <c r="C45" i="68" s="1"/>
  <c r="C43" i="11"/>
  <c r="C41" i="11" s="1"/>
  <c r="C46" i="11"/>
  <c r="C45" i="11" s="1"/>
  <c r="C49" i="69"/>
  <c r="C51" i="69" s="1"/>
  <c r="C52" i="69" s="1"/>
  <c r="B2" i="69" s="1"/>
  <c r="B3" i="69" s="1"/>
  <c r="L68" i="39"/>
  <c r="K70" i="39"/>
  <c r="L63" i="40"/>
  <c r="K65" i="40"/>
  <c r="L51" i="67"/>
  <c r="L51" i="15"/>
  <c r="C23" i="12" l="1"/>
  <c r="C30" i="12" s="1"/>
  <c r="C28" i="12" s="1"/>
  <c r="C31" i="12"/>
  <c r="C58" i="15"/>
  <c r="C67" i="15" s="1"/>
  <c r="C68" i="15" s="1"/>
  <c r="C71" i="15" s="1"/>
  <c r="J16" i="15"/>
  <c r="J25" i="15" s="1"/>
  <c r="C80" i="67"/>
  <c r="C79" i="67" s="1"/>
  <c r="C58" i="67"/>
  <c r="C67" i="67" s="1"/>
  <c r="C68" i="67" s="1"/>
  <c r="C71" i="67" s="1"/>
  <c r="C40" i="67"/>
  <c r="Q67" i="67"/>
  <c r="L57" i="67"/>
  <c r="L60" i="67" s="1"/>
  <c r="Q67" i="15"/>
  <c r="L57" i="15"/>
  <c r="L60" i="15" s="1"/>
  <c r="Q69" i="15"/>
  <c r="Q68" i="15" s="1"/>
  <c r="C40" i="15"/>
  <c r="C80" i="15"/>
  <c r="C79" i="15" s="1"/>
  <c r="C27" i="12"/>
  <c r="C25" i="12" s="1"/>
  <c r="C41" i="68"/>
  <c r="C49" i="68" s="1"/>
  <c r="C51" i="68" s="1"/>
  <c r="C49" i="11"/>
  <c r="C51" i="11" s="1"/>
  <c r="C57" i="69"/>
  <c r="C56" i="69" s="1"/>
  <c r="L65" i="40"/>
  <c r="M63" i="40"/>
  <c r="M68" i="39"/>
  <c r="L70" i="39"/>
  <c r="C45" i="67" l="1"/>
  <c r="C46" i="67" s="1"/>
  <c r="C83" i="67"/>
  <c r="C82" i="67" s="1"/>
  <c r="C43" i="67"/>
  <c r="Q65" i="67"/>
  <c r="Q56" i="67"/>
  <c r="D2" i="67"/>
  <c r="Q47" i="67"/>
  <c r="Q53" i="67" s="1"/>
  <c r="Q66" i="67"/>
  <c r="Q75" i="67" s="1"/>
  <c r="Q57" i="67"/>
  <c r="Q62" i="67" s="1"/>
  <c r="Q65" i="15"/>
  <c r="C83" i="15"/>
  <c r="C82" i="15" s="1"/>
  <c r="Q47" i="15"/>
  <c r="Q53" i="15" s="1"/>
  <c r="C46" i="15"/>
  <c r="Q56" i="15"/>
  <c r="C43" i="15"/>
  <c r="B2" i="15"/>
  <c r="B3" i="15" s="1"/>
  <c r="Q57" i="15"/>
  <c r="Q66" i="15"/>
  <c r="C32" i="12"/>
  <c r="B2" i="12" s="1"/>
  <c r="C52" i="11"/>
  <c r="B2" i="11" s="1"/>
  <c r="B3" i="11" s="1"/>
  <c r="M65" i="40"/>
  <c r="N63" i="40"/>
  <c r="N68" i="39"/>
  <c r="M70" i="39"/>
  <c r="D19" i="9"/>
  <c r="B3" i="67" l="1"/>
  <c r="B2" i="67"/>
  <c r="Q62" i="15"/>
  <c r="Q75" i="15"/>
  <c r="D102" i="9"/>
  <c r="D21" i="9"/>
  <c r="B3" i="12"/>
  <c r="C56" i="11"/>
  <c r="C57" i="11" s="1"/>
  <c r="O63" i="40"/>
  <c r="O65" i="40" s="1"/>
  <c r="N65" i="40"/>
  <c r="O68" i="39"/>
  <c r="O70" i="39" s="1"/>
  <c r="N70" i="39"/>
  <c r="D20" i="9"/>
  <c r="D103" i="9" l="1"/>
  <c r="J7" i="39"/>
  <c r="F7" i="39"/>
  <c r="H7" i="39"/>
  <c r="J7" i="40"/>
  <c r="H7" i="40"/>
  <c r="F7" i="40"/>
  <c r="AA7" i="40" l="1"/>
  <c r="R42" i="40" s="1"/>
  <c r="S7" i="40"/>
  <c r="AC7" i="40"/>
  <c r="V42" i="40" s="1"/>
  <c r="I42" i="40" s="1"/>
  <c r="W7" i="40"/>
  <c r="AA7" i="39"/>
  <c r="R47" i="39" s="1"/>
  <c r="S7" i="39"/>
  <c r="U7" i="40"/>
  <c r="AB7" i="40"/>
  <c r="T42" i="40" s="1"/>
  <c r="G42" i="40" s="1"/>
  <c r="AB7" i="39"/>
  <c r="T47" i="39" s="1"/>
  <c r="G47" i="39" s="1"/>
  <c r="U7" i="39"/>
  <c r="W7" i="39"/>
  <c r="AC7" i="39"/>
  <c r="V47" i="39" s="1"/>
  <c r="I47" i="39" s="1"/>
  <c r="G52" i="39" l="1"/>
  <c r="H52" i="39" s="1"/>
  <c r="G51" i="39"/>
  <c r="H51" i="39" s="1"/>
  <c r="I51" i="39"/>
  <c r="J51" i="39" s="1"/>
  <c r="G47" i="40"/>
  <c r="H47" i="40" s="1"/>
  <c r="G46" i="40"/>
  <c r="H46" i="40" s="1"/>
  <c r="R48" i="39"/>
  <c r="E47" i="39"/>
  <c r="I46" i="40"/>
  <c r="J46" i="40" s="1"/>
  <c r="E42" i="40"/>
  <c r="R43" i="40"/>
  <c r="C43" i="40" l="1"/>
  <c r="C42" i="40"/>
  <c r="E51" i="39"/>
  <c r="F51" i="39" s="1"/>
  <c r="E52" i="39"/>
  <c r="F52" i="39" s="1"/>
  <c r="I52" i="39"/>
  <c r="J52" i="39" s="1"/>
  <c r="E46" i="40"/>
  <c r="F46" i="40" s="1"/>
  <c r="E47" i="40"/>
  <c r="F47" i="40" s="1"/>
  <c r="I47" i="40"/>
  <c r="J47" i="40" s="1"/>
  <c r="C48" i="39"/>
  <c r="C47" i="39"/>
  <c r="B61" i="39" l="1"/>
  <c r="F61" i="39" s="1"/>
  <c r="B60" i="39"/>
  <c r="F60" i="39" s="1"/>
  <c r="B56" i="39"/>
  <c r="F56" i="39" s="1"/>
  <c r="B58" i="39"/>
  <c r="F58" i="39" s="1"/>
  <c r="B59" i="39"/>
  <c r="F59" i="39" s="1"/>
  <c r="B64" i="39"/>
  <c r="F64" i="39" s="1"/>
  <c r="B65" i="39"/>
  <c r="F65" i="39" s="1"/>
  <c r="B57" i="39"/>
  <c r="F57" i="39" s="1"/>
  <c r="B63" i="39"/>
  <c r="F63" i="39" s="1"/>
  <c r="B62" i="39"/>
  <c r="F62" i="39" s="1"/>
  <c r="B55" i="40"/>
  <c r="F55" i="40" s="1"/>
  <c r="B60" i="40"/>
  <c r="F60" i="40" s="1"/>
  <c r="B57" i="40"/>
  <c r="F57" i="40" s="1"/>
  <c r="B58" i="40"/>
  <c r="F58" i="40" s="1"/>
  <c r="B59" i="40"/>
  <c r="F59" i="40" s="1"/>
  <c r="B52" i="40"/>
  <c r="F52" i="40" s="1"/>
  <c r="B56" i="40"/>
  <c r="F56" i="40" s="1"/>
  <c r="B51" i="40"/>
  <c r="F51" i="40" s="1"/>
  <c r="B54" i="40"/>
  <c r="F54" i="40" s="1"/>
  <c r="B53" i="40"/>
  <c r="F53" i="40" s="1"/>
  <c r="F61" i="40"/>
  <c r="B2" i="40" s="1"/>
  <c r="B3" i="40" s="1"/>
  <c r="F66" i="39" l="1"/>
  <c r="B2" i="39" l="1"/>
  <c r="B3" i="39" s="1"/>
  <c r="C6" i="68"/>
  <c r="C7" i="68" s="1"/>
  <c r="C5" i="68" s="1"/>
  <c r="C23" i="68" l="1"/>
  <c r="C20" i="68"/>
  <c r="C25" i="68" s="1"/>
  <c r="C28" i="68" l="1"/>
  <c r="C27" i="68" s="1"/>
  <c r="C22" i="68"/>
  <c r="C31" i="68" l="1"/>
  <c r="C52" i="68" s="1"/>
  <c r="B2" i="68" s="1"/>
  <c r="C19" i="9"/>
  <c r="C57" i="68" l="1"/>
  <c r="C56" i="68" s="1"/>
  <c r="G19" i="9"/>
  <c r="C102" i="9"/>
  <c r="D22" i="9"/>
  <c r="C21" i="9"/>
  <c r="B3" i="68"/>
  <c r="D34" i="9"/>
  <c r="D35" i="9"/>
  <c r="C20" i="9"/>
  <c r="K3" i="78" l="1"/>
  <c r="I3" i="78"/>
  <c r="G20" i="9"/>
  <c r="C103" i="9"/>
  <c r="C32" i="9"/>
  <c r="G21" i="9"/>
  <c r="H4" i="78" l="1"/>
  <c r="H121" i="78"/>
  <c r="H117" i="78"/>
  <c r="H113" i="78"/>
  <c r="H109" i="78"/>
  <c r="H105" i="78"/>
  <c r="H101" i="78"/>
  <c r="H97" i="78"/>
  <c r="H93" i="78"/>
  <c r="H89" i="78"/>
  <c r="H85" i="78"/>
  <c r="H81" i="78"/>
  <c r="H77" i="78"/>
  <c r="H73" i="78"/>
  <c r="H69" i="78"/>
  <c r="H65" i="78"/>
  <c r="H61" i="78"/>
  <c r="H57" i="78"/>
  <c r="H53" i="78"/>
  <c r="H49" i="78"/>
  <c r="H45" i="78"/>
  <c r="H41" i="78"/>
  <c r="H37" i="78"/>
  <c r="H33" i="78"/>
  <c r="H29" i="78"/>
  <c r="H25" i="78"/>
  <c r="H21" i="78"/>
  <c r="H17" i="78"/>
  <c r="H13" i="78"/>
  <c r="H9" i="78"/>
  <c r="H5" i="78"/>
  <c r="H120" i="78"/>
  <c r="H116" i="78"/>
  <c r="H112" i="78"/>
  <c r="H108" i="78"/>
  <c r="H104" i="78"/>
  <c r="H100" i="78"/>
  <c r="H96" i="78"/>
  <c r="H92" i="78"/>
  <c r="H88" i="78"/>
  <c r="H84" i="78"/>
  <c r="H80" i="78"/>
  <c r="H76" i="78"/>
  <c r="H72" i="78"/>
  <c r="H68" i="78"/>
  <c r="H64" i="78"/>
  <c r="H60" i="78"/>
  <c r="H56" i="78"/>
  <c r="H52" i="78"/>
  <c r="H48" i="78"/>
  <c r="H44" i="78"/>
  <c r="H40" i="78"/>
  <c r="H36" i="78"/>
  <c r="H32" i="78"/>
  <c r="H28" i="78"/>
  <c r="H24" i="78"/>
  <c r="H20" i="78"/>
  <c r="H16" i="78"/>
  <c r="H12" i="78"/>
  <c r="H8" i="78"/>
  <c r="H3" i="78"/>
  <c r="H119" i="78"/>
  <c r="H115" i="78"/>
  <c r="H111" i="78"/>
  <c r="H107" i="78"/>
  <c r="H103" i="78"/>
  <c r="H99" i="78"/>
  <c r="H95" i="78"/>
  <c r="H91" i="78"/>
  <c r="H87" i="78"/>
  <c r="H83" i="78"/>
  <c r="H79" i="78"/>
  <c r="H75" i="78"/>
  <c r="H71" i="78"/>
  <c r="H67" i="78"/>
  <c r="H63" i="78"/>
  <c r="H59" i="78"/>
  <c r="H55" i="78"/>
  <c r="H51" i="78"/>
  <c r="H47" i="78"/>
  <c r="H43" i="78"/>
  <c r="H39" i="78"/>
  <c r="H35" i="78"/>
  <c r="H31" i="78"/>
  <c r="H27" i="78"/>
  <c r="H23" i="78"/>
  <c r="H19" i="78"/>
  <c r="H15" i="78"/>
  <c r="H11" i="78"/>
  <c r="H7" i="78"/>
  <c r="H122" i="78"/>
  <c r="H118" i="78"/>
  <c r="H114" i="78"/>
  <c r="H110" i="78"/>
  <c r="H106" i="78"/>
  <c r="H102" i="78"/>
  <c r="H98" i="78"/>
  <c r="H94" i="78"/>
  <c r="H90" i="78"/>
  <c r="H86" i="78"/>
  <c r="H82" i="78"/>
  <c r="H78" i="78"/>
  <c r="H74" i="78"/>
  <c r="H70" i="78"/>
  <c r="H66" i="78"/>
  <c r="H62" i="78"/>
  <c r="H58" i="78"/>
  <c r="H54" i="78"/>
  <c r="H50" i="78"/>
  <c r="H46" i="78"/>
  <c r="H42" i="78"/>
  <c r="H38" i="78"/>
  <c r="H34" i="78"/>
  <c r="H30" i="78"/>
  <c r="H26" i="78"/>
  <c r="H22" i="78"/>
  <c r="H18" i="78"/>
  <c r="H14" i="78"/>
  <c r="H10" i="78"/>
  <c r="H6" i="78"/>
  <c r="H118" i="9"/>
  <c r="C35" i="9"/>
  <c r="H123" i="78" l="1"/>
  <c r="F118" i="9"/>
  <c r="G118" i="9" s="1"/>
  <c r="G4" i="52" s="1"/>
  <c r="B52" i="72" s="1"/>
  <c r="G35" i="9"/>
  <c r="C34" i="9"/>
  <c r="D14" i="74"/>
  <c r="I118" i="9"/>
  <c r="H4" i="52"/>
  <c r="C104" i="9"/>
  <c r="H101" i="9"/>
  <c r="H119" i="9"/>
  <c r="H5" i="52" s="1"/>
  <c r="F119" i="9" l="1"/>
  <c r="F5" i="52" s="1"/>
  <c r="B53" i="72" s="1"/>
  <c r="F4" i="52"/>
  <c r="B51" i="72" s="1"/>
  <c r="D118" i="9"/>
  <c r="D4" i="52" s="1"/>
  <c r="B47" i="72" s="1"/>
  <c r="G34" i="9"/>
  <c r="M48" i="9"/>
  <c r="D5" i="53"/>
  <c r="D45" i="9"/>
  <c r="H107" i="9"/>
  <c r="E14" i="74"/>
  <c r="B5" i="74"/>
  <c r="F14" i="74"/>
  <c r="H102" i="9"/>
  <c r="D7" i="53" s="1"/>
  <c r="B21" i="72" s="1"/>
  <c r="E118" i="9"/>
  <c r="E4" i="52" s="1"/>
  <c r="B48" i="72" s="1"/>
  <c r="C105" i="9"/>
  <c r="I4" i="52"/>
  <c r="D119" i="9" l="1"/>
  <c r="D5" i="52" s="1"/>
  <c r="B49" i="72" s="1"/>
  <c r="C5" i="74"/>
  <c r="D5" i="74"/>
  <c r="M49" i="9"/>
  <c r="D13" i="53"/>
  <c r="D122" i="9"/>
  <c r="H108" i="9"/>
  <c r="D15" i="53" s="1"/>
  <c r="B31" i="72" s="1"/>
  <c r="B20" i="72"/>
  <c r="D6" i="53"/>
  <c r="B22" i="72" s="1"/>
  <c r="D52" i="9"/>
  <c r="D55" i="9"/>
  <c r="M53" i="9" s="1"/>
  <c r="C93" i="9"/>
  <c r="C86" i="9" s="1"/>
  <c r="C72" i="9"/>
  <c r="C85" i="9"/>
  <c r="C64" i="9"/>
  <c r="C63" i="9" s="1"/>
  <c r="C67" i="9" s="1"/>
  <c r="C68" i="9" s="1"/>
  <c r="D54" i="9" s="1"/>
  <c r="D53" i="9"/>
  <c r="C78" i="9"/>
  <c r="C73" i="9" s="1"/>
  <c r="C95" i="9" l="1"/>
  <c r="C79" i="9"/>
  <c r="B30" i="72"/>
  <c r="D14" i="53"/>
  <c r="B32" i="72" s="1"/>
  <c r="C96" i="9"/>
  <c r="E96" i="9" s="1"/>
  <c r="E97" i="9" s="1"/>
  <c r="G14" i="74"/>
  <c r="B6" i="74" s="1"/>
  <c r="D8" i="52"/>
  <c r="D123" i="9"/>
  <c r="D9" i="52" s="1"/>
  <c r="L68" i="9"/>
  <c r="M68" i="9" s="1"/>
  <c r="L66" i="9"/>
  <c r="M66" i="9" s="1"/>
  <c r="L63" i="9"/>
  <c r="M63" i="9" s="1"/>
  <c r="L65" i="9"/>
  <c r="M65" i="9" s="1"/>
  <c r="L64" i="9"/>
  <c r="M64" i="9" s="1"/>
  <c r="L67" i="9"/>
  <c r="M67" i="9" s="1"/>
  <c r="C97" i="9" l="1"/>
  <c r="D58" i="9" s="1"/>
  <c r="D56" i="9" s="1"/>
  <c r="M54" i="9" s="1"/>
  <c r="N57" i="9" s="1"/>
  <c r="N58" i="9" s="1"/>
  <c r="M69" i="9"/>
  <c r="N69" i="9" s="1"/>
  <c r="C6" i="74"/>
  <c r="D6" i="74"/>
  <c r="C80" i="9"/>
  <c r="E80" i="9" s="1"/>
  <c r="E81" i="9" s="1"/>
  <c r="C81" i="9" l="1"/>
  <c r="N59" i="9"/>
  <c r="N60" i="9" s="1"/>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<sst xmlns="http://schemas.openxmlformats.org/spreadsheetml/2006/main" count="8057" uniqueCount="3282">
  <si>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</si>
  <si>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</si>
  <si>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</si>
  <si>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</si>
  <si>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</si>
  <si>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</si>
  <si>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</si>
  <si>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</si>
  <si>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</si>
  <si>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</si>
  <si>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</si>
  <si>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</si>
  <si>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</si>
  <si>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</si>
  <si>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</si>
  <si>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</si>
  <si>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</si>
  <si>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</si>
  <si>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</si>
  <si>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</si>
  <si>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</si>
  <si>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</si>
  <si>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</si>
  <si>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</si>
  <si>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</si>
  <si>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</si>
  <si>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</si>
  <si>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</si>
  <si>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</si>
  <si>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</si>
  <si>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</si>
  <si>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</si>
  <si>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</si>
  <si>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</si>
  <si>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</si>
  <si>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</si>
  <si>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</si>
  <si>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</si>
  <si>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</si>
  <si>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</si>
  <si>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</si>
  <si>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</si>
  <si>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</si>
  <si>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</si>
  <si>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</si>
  <si>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</si>
  <si>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</si>
  <si>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</si>
  <si>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</si>
  <si>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</si>
  <si>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</si>
  <si>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</si>
  <si>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</si>
  <si>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</si>
  <si>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</si>
  <si>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</si>
  <si>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</si>
  <si>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</si>
  <si>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</si>
  <si>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</si>
  <si>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</si>
  <si>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</si>
  <si>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</si>
  <si>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</si>
  <si>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</si>
  <si>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</si>
  <si>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</si>
  <si>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</si>
  <si>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</si>
  <si>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</si>
  <si>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</si>
  <si>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</si>
  <si>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</si>
  <si>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</si>
  <si>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</si>
  <si>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</si>
  <si>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</si>
  <si>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</si>
  <si>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</si>
  <si>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</si>
  <si>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</si>
  <si>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</si>
  <si>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</si>
  <si>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</si>
  <si>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</si>
  <si>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</si>
  <si>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</si>
  <si>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</si>
  <si>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</si>
  <si>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</si>
  <si>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</si>
  <si>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</si>
  <si>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</si>
  <si>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</si>
  <si>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</si>
  <si>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</si>
  <si>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</si>
  <si>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</si>
  <si>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</si>
  <si>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</si>
  <si>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</si>
  <si>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</si>
  <si>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</si>
  <si>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</si>
  <si>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</si>
  <si>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</si>
  <si>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</si>
  <si>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</si>
  <si>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</si>
  <si>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</si>
  <si>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</si>
  <si>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</si>
  <si>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</si>
  <si>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</si>
  <si>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</si>
  <si>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</si>
  <si>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</si>
  <si>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</si>
  <si>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</si>
  <si>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</si>
  <si>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</si>
  <si>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</si>
  <si>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</si>
  <si>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</si>
  <si>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</si>
  <si>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</si>
  <si>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</si>
  <si>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</si>
  <si>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</si>
  <si>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</si>
  <si>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</si>
  <si>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</si>
  <si>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</si>
  <si>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</si>
  <si>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</si>
  <si>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</si>
  <si>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</si>
  <si>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</si>
  <si>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</si>
  <si>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</si>
  <si>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</si>
  <si>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</si>
  <si>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</si>
  <si>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</si>
  <si>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</si>
  <si>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</si>
  <si>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</si>
  <si>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</si>
  <si>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</si>
  <si>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</si>
  <si>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</si>
  <si>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</si>
  <si>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</si>
  <si>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</si>
  <si>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</si>
  <si>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</si>
  <si>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</si>
  <si>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</si>
  <si>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</si>
  <si>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</si>
  <si>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</si>
  <si>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</si>
  <si>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</si>
  <si>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</si>
  <si>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</si>
  <si>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</si>
  <si>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</si>
  <si>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</si>
  <si>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</si>
  <si>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</si>
  <si>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</si>
  <si>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</si>
  <si>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</si>
  <si>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</si>
  <si>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</si>
  <si>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</si>
  <si>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</si>
  <si>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</si>
  <si>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</si>
  <si>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</si>
  <si>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</si>
  <si>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</si>
  <si>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</si>
  <si>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</si>
  <si>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</si>
  <si>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</si>
  <si>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</si>
  <si>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</si>
  <si>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</si>
  <si>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</si>
  <si>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</si>
  <si>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</si>
  <si>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</si>
  <si>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</si>
  <si>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</si>
  <si>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</si>
  <si>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</si>
  <si>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</si>
  <si>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</si>
  <si>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</si>
  <si>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</si>
  <si>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</si>
  <si>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</si>
  <si>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</si>
  <si>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</si>
  <si>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</si>
  <si>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</si>
  <si>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</si>
  <si>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</si>
  <si>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</si>
  <si>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</si>
  <si>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</si>
  <si>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</si>
  <si>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</si>
  <si>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</si>
  <si>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</si>
  <si>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</si>
  <si>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</si>
  <si>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</si>
  <si>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</si>
  <si>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</si>
  <si>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</si>
  <si>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</si>
  <si>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</si>
  <si>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</si>
  <si>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</si>
  <si>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</si>
  <si>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</si>
  <si>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</si>
  <si>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</si>
  <si>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</si>
  <si>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</si>
  <si>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</si>
  <si>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</si>
  <si>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</si>
  <si>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</si>
  <si>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</si>
  <si>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</si>
  <si>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</si>
  <si>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</si>
  <si>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</si>
  <si>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</si>
  <si>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</si>
  <si>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</si>
  <si>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</si>
  <si>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</si>
  <si>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</si>
  <si>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</si>
  <si>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</si>
  <si>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</si>
  <si>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</si>
  <si>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</si>
  <si>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</si>
  <si>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</si>
  <si>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</si>
  <si>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</si>
  <si>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</si>
  <si>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</si>
  <si>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</si>
  <si>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</si>
  <si>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</si>
  <si>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</si>
  <si>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</si>
  <si>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</si>
  <si>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</si>
  <si>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</si>
  <si>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</si>
  <si>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</si>
  <si>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</si>
  <si>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</si>
  <si>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</si>
  <si>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</si>
  <si>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</si>
  <si>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</si>
  <si>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</si>
  <si>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</si>
  <si>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</si>
  <si>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</si>
  <si>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</si>
  <si>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</si>
  <si>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</si>
  <si>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</si>
  <si>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</si>
  <si>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</si>
  <si>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</si>
  <si>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</si>
  <si>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</si>
  <si>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</si>
  <si>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</si>
  <si>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</si>
  <si>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</si>
  <si>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</si>
  <si>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</si>
  <si>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</si>
  <si>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</si>
  <si>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</si>
  <si>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</si>
  <si>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</si>
  <si>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</si>
  <si>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</si>
  <si>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</si>
  <si>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</si>
  <si>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</si>
  <si>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</si>
  <si>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</si>
  <si>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</si>
  <si>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</si>
  <si>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</si>
  <si>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</si>
  <si>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</si>
  <si>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</si>
  <si>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</si>
  <si>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</si>
  <si>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</si>
  <si>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</si>
  <si>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</si>
  <si>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</si>
  <si>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</si>
  <si>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</si>
  <si>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</si>
  <si>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</si>
  <si>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</si>
  <si>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</si>
  <si>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</si>
  <si>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</si>
  <si>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</si>
  <si>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</si>
  <si>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</si>
  <si>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</si>
  <si>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</si>
  <si>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</si>
  <si>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</si>
  <si>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</si>
  <si>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</si>
  <si>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</si>
  <si>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</si>
  <si>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</si>
  <si>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</si>
  <si>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</si>
  <si>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</si>
  <si>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</si>
  <si>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</si>
  <si>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</si>
  <si>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</si>
  <si>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</si>
  <si>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</si>
  <si>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</si>
  <si>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</si>
  <si>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</si>
  <si>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</si>
  <si>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</si>
  <si>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</si>
  <si>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</si>
  <si>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</si>
  <si>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</si>
  <si>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</si>
  <si>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</si>
  <si>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</si>
  <si>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</si>
  <si>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</si>
  <si>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</si>
  <si>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</si>
  <si>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</si>
  <si>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</si>
  <si>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</si>
  <si>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</si>
  <si>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</si>
  <si>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</si>
  <si>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</si>
  <si>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</si>
  <si>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</si>
  <si>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</si>
  <si>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</si>
  <si>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</si>
  <si>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</si>
  <si>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</si>
  <si>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</si>
  <si>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</si>
  <si>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</si>
  <si>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</si>
  <si>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</si>
  <si>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</si>
  <si>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</si>
  <si>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</si>
  <si>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</si>
  <si>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</si>
  <si>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</si>
  <si>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</si>
  <si>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</si>
  <si>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</si>
  <si>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</si>
  <si>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</si>
  <si>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</si>
  <si>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</si>
  <si>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</si>
  <si>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</si>
  <si>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</si>
  <si>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</si>
  <si>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</si>
  <si>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</si>
  <si>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</si>
  <si>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</si>
  <si>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</si>
  <si>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</si>
  <si>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</si>
  <si>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</si>
  <si>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</si>
  <si>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</si>
  <si>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</si>
  <si>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</si>
  <si>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</si>
  <si>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</si>
  <si>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</si>
  <si>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</si>
  <si>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</si>
  <si>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</si>
  <si>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</si>
  <si>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</si>
  <si>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</si>
  <si>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</si>
  <si>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</si>
  <si>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</si>
  <si>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</si>
  <si>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</si>
  <si>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</si>
  <si>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</si>
  <si>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</si>
  <si>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</si>
  <si>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</si>
  <si>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</si>
  <si>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</si>
  <si>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</si>
  <si>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</si>
  <si>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</si>
  <si>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</si>
  <si>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</si>
  <si>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</si>
  <si>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</si>
  <si>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</si>
  <si>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</si>
  <si>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</si>
  <si>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</si>
  <si>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</si>
  <si>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</si>
  <si>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</si>
  <si>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</si>
  <si>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</si>
  <si>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</si>
  <si>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</si>
  <si>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</si>
  <si>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</si>
  <si>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</si>
  <si>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</si>
  <si>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</si>
  <si>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</si>
  <si>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</si>
  <si>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</si>
  <si>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</si>
  <si>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</si>
  <si>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</si>
  <si>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</si>
  <si>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</si>
  <si>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</si>
  <si>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</si>
  <si>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</si>
  <si>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</si>
  <si>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</si>
  <si>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</si>
  <si>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</si>
  <si>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</si>
  <si>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</si>
  <si>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</si>
  <si>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</si>
  <si>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</si>
  <si>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</si>
  <si>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</si>
  <si>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</si>
  <si>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</si>
  <si>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</si>
  <si>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</si>
  <si>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</si>
  <si>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</si>
  <si>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</si>
  <si>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</si>
  <si>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</si>
  <si>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</si>
  <si>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</si>
  <si>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</si>
  <si>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</si>
  <si>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</si>
  <si>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</si>
  <si>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</si>
  <si>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</si>
  <si>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</si>
  <si>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</si>
  <si>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</si>
  <si>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</si>
  <si>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</si>
  <si>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</si>
  <si>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</si>
  <si>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</si>
  <si>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</si>
  <si>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</si>
  <si>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</si>
  <si>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</si>
  <si>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</si>
  <si>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</si>
  <si>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</si>
  <si>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</si>
  <si>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</si>
  <si>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</si>
  <si>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</si>
  <si>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</si>
  <si>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</si>
  <si>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</si>
  <si>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</si>
  <si>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</si>
  <si>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</si>
  <si>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</si>
  <si>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</si>
  <si>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</si>
  <si>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</si>
  <si>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</si>
  <si>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</si>
  <si>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</si>
  <si>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</si>
  <si>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</si>
  <si>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</si>
  <si>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</si>
  <si>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</si>
  <si>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</si>
  <si>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</si>
  <si>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</si>
  <si>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</si>
  <si>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</si>
  <si>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</si>
  <si>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</si>
  <si>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</si>
  <si>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</si>
  <si>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</si>
  <si>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</si>
  <si>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</si>
  <si>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</si>
  <si>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</si>
  <si>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</si>
  <si>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</si>
  <si>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</si>
  <si>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</si>
  <si>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</si>
  <si>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</si>
  <si>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</si>
  <si>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</si>
  <si>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</si>
  <si>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</si>
  <si>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</si>
  <si>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</si>
  <si>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</si>
  <si>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</si>
  <si>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</si>
  <si>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</si>
  <si>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</si>
  <si>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</si>
  <si>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</si>
  <si>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</si>
  <si>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</si>
  <si>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</si>
  <si>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</si>
  <si>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</si>
  <si>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</si>
  <si>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</si>
  <si>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</si>
  <si>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</si>
  <si>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</si>
  <si>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</si>
  <si>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</si>
  <si>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</si>
  <si>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</si>
  <si>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</si>
  <si>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</si>
  <si>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</si>
  <si>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</si>
  <si>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</si>
  <si>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</si>
  <si>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</si>
  <si>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</si>
  <si>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</si>
  <si>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</si>
  <si>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</si>
  <si>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</si>
  <si>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</si>
  <si>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</si>
  <si>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</si>
  <si>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</si>
  <si>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</si>
  <si>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</si>
  <si>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</si>
  <si>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</si>
  <si>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</si>
  <si>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</si>
  <si>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</si>
  <si>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</si>
  <si>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</si>
  <si>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</si>
  <si>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</si>
  <si>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</si>
  <si>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</si>
  <si>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</si>
  <si>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</si>
  <si>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</si>
  <si>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</si>
  <si>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</si>
  <si>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</si>
  <si>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</si>
  <si>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</si>
  <si>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</si>
  <si>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</si>
  <si>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</si>
  <si>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</si>
  <si>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</si>
  <si>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</si>
  <si>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</si>
  <si>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</si>
  <si>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</si>
  <si>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</si>
  <si>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</si>
  <si>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</si>
  <si>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</si>
  <si>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</si>
  <si>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</si>
  <si>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</si>
  <si>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</si>
  <si>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</si>
  <si>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</si>
  <si>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</si>
  <si>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</si>
  <si>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</si>
  <si>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</si>
  <si>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</si>
  <si>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</si>
  <si>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</si>
  <si>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</si>
  <si>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</si>
  <si>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</si>
  <si>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</si>
  <si>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</si>
  <si>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</si>
  <si>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</si>
  <si>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</si>
  <si>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</si>
  <si>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</si>
  <si>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</si>
  <si>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</si>
  <si>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</si>
  <si>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</si>
  <si>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</si>
  <si>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</si>
  <si>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</si>
  <si>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</si>
  <si>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</si>
  <si>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</si>
  <si>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</si>
  <si>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</si>
  <si>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</si>
  <si>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</si>
  <si>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</si>
  <si>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</si>
  <si>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</si>
  <si>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</si>
  <si>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</si>
  <si>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</si>
  <si>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</si>
  <si>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</si>
  <si>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</si>
  <si>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</si>
  <si>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</si>
  <si>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</si>
  <si>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</si>
  <si>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</si>
  <si>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</si>
  <si>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</si>
  <si>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</si>
  <si>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</si>
  <si>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</si>
  <si>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</si>
  <si>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</si>
  <si>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</si>
  <si>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</si>
  <si>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</si>
  <si>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</si>
  <si>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</si>
  <si>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</si>
  <si>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</si>
  <si>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</si>
  <si>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</si>
  <si>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</si>
  <si>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</si>
  <si>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</si>
  <si>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</si>
  <si>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</si>
  <si>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</si>
  <si>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</si>
  <si>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</si>
  <si>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</si>
  <si>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</si>
  <si>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</si>
  <si>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</si>
  <si>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</si>
  <si>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</si>
  <si>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</si>
  <si>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</si>
  <si>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</si>
  <si>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</si>
  <si>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</si>
  <si>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</si>
  <si>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</si>
  <si>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</si>
  <si>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</si>
  <si>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</si>
  <si>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</si>
  <si>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</si>
  <si>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</si>
  <si>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</si>
  <si>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</si>
  <si>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</si>
  <si>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</si>
  <si>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</si>
  <si>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</si>
  <si>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</si>
  <si>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</si>
  <si>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</si>
  <si>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</si>
  <si>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</si>
  <si>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</si>
  <si>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</si>
  <si>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</si>
  <si>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</si>
  <si>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</si>
  <si>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</si>
  <si>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</si>
  <si>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</si>
  <si>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</si>
  <si>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</si>
  <si>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</si>
  <si>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</si>
  <si>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</si>
  <si>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</si>
  <si>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</si>
  <si>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</si>
  <si>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</si>
  <si>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</si>
  <si>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</si>
  <si>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</si>
  <si>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</si>
  <si>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</si>
  <si>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</si>
  <si>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</si>
  <si>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</si>
  <si>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</si>
  <si>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</si>
  <si>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</si>
  <si>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</si>
  <si>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</si>
  <si>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</si>
  <si>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</si>
  <si>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</si>
  <si>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</si>
  <si>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</si>
  <si>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</si>
  <si>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</si>
  <si>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</si>
  <si>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</si>
  <si>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</si>
  <si>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</si>
  <si>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</si>
  <si>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</si>
  <si>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</si>
  <si>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</si>
  <si>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</si>
  <si>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</si>
  <si>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</si>
  <si>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</si>
  <si>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</si>
  <si>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</si>
  <si>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</si>
  <si>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</si>
  <si>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</si>
  <si>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</si>
  <si>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</si>
  <si>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</si>
  <si>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</si>
  <si>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</si>
  <si>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</si>
  <si>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</si>
  <si>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</si>
  <si>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</si>
  <si>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</si>
  <si>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</si>
  <si>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</si>
  <si>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</si>
  <si>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</si>
  <si>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</si>
  <si>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</si>
  <si>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</si>
  <si>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</si>
  <si>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</si>
  <si>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</si>
  <si>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</si>
  <si>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</si>
  <si>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</si>
  <si>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</si>
  <si>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</si>
  <si>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</si>
  <si>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</si>
  <si>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</si>
  <si>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</si>
  <si>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</si>
  <si>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</si>
  <si>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</si>
  <si>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</si>
  <si>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</si>
  <si>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</si>
  <si>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</si>
  <si>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</si>
  <si>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</si>
  <si>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</si>
  <si>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</si>
  <si>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</si>
  <si>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</si>
  <si>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</si>
  <si>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</si>
  <si>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</si>
  <si>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</si>
  <si>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</si>
  <si>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</si>
  <si>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</si>
  <si>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</si>
  <si>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</si>
  <si>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</si>
  <si>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</si>
  <si>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</si>
  <si>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</si>
  <si>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</si>
  <si>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</si>
  <si>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</si>
  <si>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</si>
  <si>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</si>
  <si>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</si>
  <si>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</si>
  <si>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</si>
  <si>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</si>
  <si>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</si>
  <si>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</si>
  <si>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</si>
  <si>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</si>
  <si>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</si>
  <si>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</si>
  <si>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</si>
  <si>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</si>
  <si>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</si>
  <si>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</si>
  <si>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</si>
  <si>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</si>
  <si>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</si>
  <si>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</si>
  <si>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</si>
  <si>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</si>
  <si>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</si>
  <si>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</si>
  <si>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</si>
  <si>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</si>
  <si>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</si>
  <si>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</si>
  <si>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</si>
  <si>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</si>
  <si>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</si>
  <si>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</si>
  <si>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</si>
  <si>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</si>
  <si>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</si>
  <si>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</si>
  <si>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</si>
  <si>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</si>
  <si>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</si>
  <si>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</si>
  <si>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</si>
  <si>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</si>
  <si>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</si>
  <si>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</si>
  <si>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</si>
  <si>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</si>
  <si>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</si>
  <si>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</si>
  <si>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</si>
  <si>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</si>
  <si>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</si>
  <si>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</si>
  <si>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</si>
  <si>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</si>
  <si>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</si>
  <si>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</si>
  <si>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</si>
  <si>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</si>
  <si>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</si>
  <si>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</si>
  <si>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</si>
  <si>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</si>
  <si>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</si>
  <si>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</si>
  <si>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</si>
  <si>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</si>
  <si>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</si>
  <si>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</si>
  <si>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</si>
  <si>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</si>
  <si>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</si>
  <si>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</si>
  <si>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</si>
  <si>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</si>
  <si>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</si>
  <si>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</si>
  <si>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</si>
  <si>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</si>
  <si>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</si>
  <si>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</si>
  <si>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</si>
  <si>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</si>
  <si>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</si>
  <si>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</si>
  <si>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</si>
  <si>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</si>
  <si>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</si>
  <si>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</si>
  <si>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</si>
  <si>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</si>
  <si>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</si>
  <si>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</si>
  <si>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</si>
  <si>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</si>
  <si>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</si>
  <si>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</si>
  <si>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</si>
  <si>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</si>
  <si>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</si>
  <si>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</si>
  <si>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</si>
  <si>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</si>
  <si>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</si>
  <si>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</si>
  <si>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</si>
  <si>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</si>
  <si>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</si>
  <si>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</si>
  <si>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</si>
  <si>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</si>
  <si>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</si>
  <si>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</si>
  <si>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</si>
  <si>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</si>
  <si>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</si>
  <si>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</si>
  <si>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</si>
  <si>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</si>
  <si>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</si>
  <si>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</si>
  <si>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</si>
  <si>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</si>
  <si>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</si>
  <si>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</si>
  <si>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</si>
  <si>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</si>
  <si>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</si>
  <si>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</si>
  <si>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</si>
  <si>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</si>
  <si>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</si>
  <si>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</si>
  <si>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</si>
  <si>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</si>
  <si>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</si>
  <si>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</si>
  <si>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</si>
  <si>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</si>
  <si>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</si>
  <si>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</si>
  <si>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</si>
  <si>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</si>
  <si>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</si>
  <si>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</si>
  <si>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</si>
  <si>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</si>
  <si>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</si>
  <si>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</si>
  <si>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</si>
  <si>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</si>
  <si>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</si>
  <si>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</si>
  <si>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</si>
  <si>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</si>
  <si>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</si>
  <si>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</si>
  <si>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</si>
  <si>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</si>
  <si>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</si>
  <si>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</si>
  <si>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</si>
  <si>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</si>
  <si>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</si>
  <si>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</si>
  <si>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</si>
  <si>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</si>
  <si>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</si>
  <si>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</si>
  <si>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</si>
  <si>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</si>
  <si>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</si>
  <si>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</si>
  <si>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</si>
  <si>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</si>
  <si>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</si>
  <si>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</si>
  <si>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</si>
  <si>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</si>
  <si>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</si>
  <si>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</si>
  <si>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</si>
  <si>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</si>
  <si>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</si>
  <si>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</si>
  <si>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</si>
  <si>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</si>
  <si>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</si>
  <si>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</si>
  <si>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</si>
  <si>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</si>
  <si>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</si>
  <si>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</si>
  <si>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</si>
  <si>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</si>
  <si>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</si>
  <si>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</si>
  <si>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</si>
  <si>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</si>
  <si>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</si>
  <si>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</si>
  <si>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</si>
  <si>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</si>
  <si>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</si>
  <si>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</si>
  <si>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</si>
  <si>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</si>
  <si>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</si>
  <si>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</si>
  <si>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</si>
  <si>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</si>
  <si>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</si>
  <si>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</si>
  <si>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</si>
  <si>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</si>
  <si>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</si>
  <si>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</si>
  <si>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</si>
  <si>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</si>
  <si>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</si>
  <si>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</si>
  <si>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</si>
  <si>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</si>
  <si>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</si>
  <si>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</si>
  <si>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</si>
  <si>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</si>
  <si>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</si>
  <si>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</si>
  <si>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</si>
  <si>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</si>
  <si>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</si>
  <si>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</si>
  <si>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</si>
  <si>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</si>
  <si>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</si>
  <si>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</si>
  <si>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</si>
  <si>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</si>
  <si>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</si>
  <si>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</si>
  <si>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</si>
  <si>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</si>
  <si>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</si>
  <si>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</si>
  <si>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</si>
  <si>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</si>
  <si>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</si>
  <si>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</si>
  <si>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</si>
  <si>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</si>
  <si>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</si>
  <si>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</si>
  <si>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</si>
  <si>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</si>
  <si>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</si>
  <si>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</si>
  <si>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</si>
  <si>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</si>
  <si>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</si>
  <si>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</si>
  <si>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</si>
  <si>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</si>
  <si>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</si>
  <si>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</si>
  <si>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</si>
  <si>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</si>
  <si>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</si>
  <si>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</si>
  <si>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</si>
  <si>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</si>
  <si>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</si>
  <si>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</si>
  <si>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</si>
  <si>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</si>
  <si>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</si>
  <si>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</si>
  <si>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</si>
  <si>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</si>
  <si>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</si>
  <si>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</si>
  <si>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</si>
  <si>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</si>
  <si>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</si>
  <si>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</si>
  <si>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</si>
  <si>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</si>
  <si>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</si>
  <si>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</si>
  <si>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</si>
  <si>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</si>
  <si>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</si>
  <si>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</si>
  <si>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</si>
  <si>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</si>
  <si>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</si>
  <si>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</si>
  <si>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</si>
  <si>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</si>
  <si>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</si>
  <si>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</si>
  <si>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</si>
  <si>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</si>
  <si>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</si>
  <si>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</si>
  <si>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</si>
  <si>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</si>
  <si>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</si>
  <si>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</si>
  <si>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</si>
  <si>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</si>
  <si>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</si>
  <si>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</si>
  <si>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</si>
  <si>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</si>
  <si>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</si>
  <si>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</si>
  <si>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</si>
  <si>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</si>
  <si>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</si>
  <si>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</si>
  <si>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</si>
  <si>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</si>
  <si>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</si>
  <si>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</si>
  <si>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</si>
  <si>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</si>
  <si>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</si>
  <si>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</si>
  <si>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</si>
  <si>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</si>
  <si>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</si>
  <si>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</si>
  <si>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</si>
  <si>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</si>
  <si>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</si>
  <si>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</si>
  <si>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</si>
  <si>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</si>
  <si>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</si>
  <si>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</si>
  <si>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</si>
  <si>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</si>
  <si>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</si>
  <si>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</si>
  <si>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</si>
  <si>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</si>
  <si>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</si>
  <si>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</si>
  <si>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</si>
  <si>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</si>
  <si>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</si>
  <si>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</si>
  <si>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</si>
  <si>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</si>
  <si>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</si>
  <si>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</si>
  <si>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</si>
  <si>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</si>
  <si>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</si>
  <si>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</si>
  <si>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</si>
  <si>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</si>
  <si>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</si>
  <si>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</si>
  <si>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</si>
  <si>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</si>
  <si>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</si>
  <si>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</si>
  <si>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</si>
  <si>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</si>
  <si>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</si>
  <si>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</si>
  <si>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</si>
  <si>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</si>
  <si>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</si>
  <si>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</si>
  <si>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</si>
  <si>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</si>
  <si>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</si>
  <si>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</si>
  <si>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</si>
  <si>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</si>
  <si>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</si>
  <si>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</si>
  <si>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</si>
  <si>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</si>
  <si>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</si>
  <si>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</si>
  <si>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</si>
  <si>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</si>
  <si>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</si>
  <si>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</si>
  <si>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</si>
  <si>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</si>
  <si>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</si>
  <si>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</si>
  <si>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</si>
  <si>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</si>
  <si>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</si>
  <si>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</si>
  <si>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</si>
  <si>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</si>
  <si>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</si>
  <si>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</si>
  <si>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</si>
  <si>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</si>
  <si>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</si>
  <si>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</si>
  <si>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</si>
  <si>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</si>
  <si>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</si>
  <si>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</si>
  <si>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</si>
  <si>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</si>
  <si>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</si>
  <si>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</si>
  <si>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</si>
  <si>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</si>
  <si>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</si>
  <si>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</si>
  <si>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</si>
  <si>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</si>
  <si>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</si>
  <si>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</si>
  <si>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</si>
  <si>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</si>
  <si>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</si>
  <si>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</si>
  <si>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</si>
  <si>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</si>
  <si>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</si>
  <si>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</si>
  <si>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</si>
  <si>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</si>
  <si>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</si>
  <si>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</si>
  <si>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</si>
  <si>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</si>
  <si>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</si>
  <si>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</si>
  <si>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</si>
  <si>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</si>
  <si>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</si>
  <si>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</si>
  <si>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</si>
  <si>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</si>
  <si>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</si>
  <si>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</si>
  <si>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</si>
  <si>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</si>
  <si>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</si>
  <si>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</si>
  <si>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</si>
  <si>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</si>
  <si>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</si>
  <si>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</si>
  <si>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</si>
  <si>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</si>
  <si>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</si>
  <si>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</si>
  <si>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</si>
  <si>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</si>
  <si>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</si>
  <si>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</si>
  <si>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</si>
  <si>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</si>
  <si>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</si>
  <si>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</si>
  <si>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</si>
  <si>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</si>
  <si>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</si>
  <si>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</si>
  <si>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</si>
  <si>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</si>
  <si>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</si>
  <si>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</si>
  <si>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</si>
  <si>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</si>
  <si>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</si>
  <si>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</si>
  <si>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</si>
  <si>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</si>
  <si>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</si>
  <si>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</si>
  <si>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</si>
  <si>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</si>
  <si>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</si>
  <si>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</si>
  <si>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</si>
  <si>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</si>
  <si>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</si>
  <si>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</si>
  <si>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</si>
  <si>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</si>
  <si>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</si>
  <si>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</si>
  <si>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</si>
  <si>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</si>
  <si>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</si>
  <si>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</si>
  <si>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</si>
  <si>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</si>
  <si>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</si>
  <si>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</si>
  <si>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</si>
  <si>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</si>
  <si>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</si>
  <si>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</si>
  <si>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</si>
  <si>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</si>
  <si>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</si>
  <si>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</si>
  <si>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</si>
  <si>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</si>
  <si>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</si>
  <si>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</si>
  <si>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</si>
  <si>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</si>
  <si>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</si>
  <si>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</si>
  <si>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</si>
  <si>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</si>
  <si>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</si>
  <si>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</si>
  <si>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</si>
  <si>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</si>
  <si>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</si>
  <si>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</si>
  <si>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</si>
  <si>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</si>
  <si>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</si>
  <si>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</si>
  <si>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</si>
  <si>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</si>
  <si>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</si>
  <si>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</si>
  <si>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</si>
  <si>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</si>
  <si>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</si>
  <si>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</si>
  <si>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</si>
  <si>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</si>
  <si>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</si>
  <si>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</si>
  <si>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</si>
  <si>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</si>
  <si>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</si>
  <si>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</si>
  <si>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</si>
  <si>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</si>
  <si>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</si>
  <si>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</si>
  <si>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</si>
  <si>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</si>
  <si>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</si>
  <si>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</si>
  <si>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</si>
  <si>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</si>
  <si>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</si>
  <si>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</si>
  <si>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</si>
  <si>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</si>
  <si>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</si>
  <si>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</si>
  <si>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</si>
  <si>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</si>
  <si>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</si>
  <si>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</si>
  <si>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</si>
  <si>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</si>
  <si>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</si>
  <si>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</si>
  <si>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</si>
  <si>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</si>
  <si>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</si>
  <si>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</si>
  <si>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</si>
  <si>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</si>
  <si>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</si>
  <si>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</si>
  <si>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</si>
  <si>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</si>
  <si>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</si>
  <si>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</si>
  <si>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</si>
  <si>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</si>
  <si>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</si>
  <si>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</si>
  <si>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</si>
  <si>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</si>
  <si>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</si>
  <si>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</si>
  <si>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</si>
  <si>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</si>
  <si>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</si>
  <si>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</si>
  <si>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</si>
  <si>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</si>
  <si>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</si>
  <si>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</si>
  <si>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</si>
  <si>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</si>
  <si>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</si>
  <si>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</si>
  <si>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</si>
  <si>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</si>
  <si>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</si>
  <si>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</si>
  <si>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</si>
  <si>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</si>
  <si>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</si>
  <si>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</si>
  <si>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</si>
  <si>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</si>
  <si>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</si>
  <si>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</si>
  <si>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</si>
  <si>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</si>
  <si>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</si>
  <si>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</si>
  <si>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</si>
  <si>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</si>
  <si>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</si>
  <si>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</si>
  <si>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</si>
  <si>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</si>
  <si>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</si>
  <si>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</si>
  <si>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</si>
  <si>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</si>
  <si>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</si>
  <si>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</si>
  <si>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</si>
  <si>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</si>
  <si>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</si>
  <si>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</si>
  <si>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</si>
  <si>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</si>
  <si>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</si>
  <si>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</si>
  <si>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</si>
  <si>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</si>
  <si>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</si>
  <si>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</si>
  <si>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</si>
  <si>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</si>
  <si>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</si>
  <si>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</si>
  <si>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</si>
  <si>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</si>
  <si>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</si>
  <si>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</si>
  <si>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</si>
  <si>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</si>
  <si>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</si>
  <si>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</si>
  <si>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</si>
  <si>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</si>
  <si>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</si>
  <si>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</si>
  <si>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</si>
  <si>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</si>
  <si>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</si>
  <si>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</si>
  <si>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</si>
  <si>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</si>
  <si>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</si>
  <si>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</si>
  <si>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</si>
  <si>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</si>
  <si>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</si>
  <si>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</si>
  <si>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</si>
  <si>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</si>
  <si>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</si>
  <si>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</si>
  <si>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</si>
  <si>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</si>
  <si>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</si>
  <si>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</si>
  <si>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</si>
  <si>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</si>
  <si>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</si>
  <si>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</si>
  <si>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</si>
  <si>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</si>
  <si>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</si>
  <si>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</si>
  <si>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</si>
  <si>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</si>
  <si>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</si>
  <si>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</si>
  <si>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</si>
  <si>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</si>
  <si>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</si>
  <si>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</si>
  <si>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</si>
  <si>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</si>
  <si>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</si>
  <si>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</si>
  <si>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</si>
  <si>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</si>
  <si>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</si>
  <si>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</si>
  <si>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</si>
  <si>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</si>
  <si>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</si>
  <si>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</si>
  <si>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</si>
  <si>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</si>
  <si>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</si>
  <si>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</si>
  <si>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</si>
  <si>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</si>
  <si>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</si>
  <si>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</si>
  <si>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</si>
  <si>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</si>
  <si>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</si>
  <si>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</si>
  <si>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</si>
  <si>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</si>
  <si>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</si>
  <si>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</si>
  <si>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</si>
  <si>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</si>
  <si>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</si>
  <si>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</si>
  <si>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</si>
  <si>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</si>
  <si>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</si>
  <si>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</si>
  <si>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</si>
  <si>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</si>
  <si>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</si>
  <si>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</si>
  <si>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</si>
  <si>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</si>
  <si>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</si>
  <si>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</si>
  <si>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</si>
  <si>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</si>
  <si>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</si>
  <si>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</si>
  <si>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</si>
  <si>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</si>
  <si>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</si>
  <si>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</si>
  <si>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</si>
  <si>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</si>
  <si>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</si>
  <si>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</si>
  <si>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</si>
  <si>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</si>
  <si>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</si>
  <si>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</si>
  <si>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</si>
  <si>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</si>
  <si>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</si>
  <si>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</si>
  <si>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</si>
  <si>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</si>
  <si>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</si>
  <si>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</si>
  <si>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</si>
  <si>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</si>
  <si>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</si>
  <si>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</si>
  <si>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</si>
  <si>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</si>
  <si>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</si>
  <si>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</si>
  <si>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</si>
  <si>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</si>
  <si>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</si>
  <si>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</si>
  <si>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</si>
  <si>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</si>
  <si>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</si>
  <si>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</si>
  <si>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</si>
  <si>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</si>
  <si>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</si>
  <si>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</si>
  <si>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</si>
  <si>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</si>
  <si>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</si>
  <si>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</si>
  <si>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</si>
  <si>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</si>
  <si>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</si>
  <si>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</si>
  <si>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</si>
  <si>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</si>
  <si>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</si>
  <si>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</si>
  <si>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</si>
  <si>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</si>
  <si>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</si>
  <si>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</si>
  <si>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</si>
  <si>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</si>
  <si>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</si>
  <si>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</si>
  <si>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</si>
  <si>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</si>
  <si>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</si>
  <si>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</si>
  <si>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</si>
  <si>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</si>
  <si>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</si>
  <si>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</si>
  <si>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</si>
  <si>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</si>
  <si>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</si>
  <si>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</si>
  <si>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</si>
  <si>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</si>
  <si>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</si>
  <si>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</si>
  <si>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</si>
  <si>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</si>
  <si>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</si>
  <si>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</si>
  <si>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</si>
  <si>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</si>
  <si>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</si>
  <si>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</si>
  <si>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</si>
  <si>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</si>
  <si>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</si>
  <si>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</si>
  <si>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</si>
  <si>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</si>
  <si>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</si>
  <si>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</si>
  <si>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</si>
  <si>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</si>
  <si>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</si>
  <si>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</si>
  <si>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</si>
  <si>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</si>
  <si>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</si>
  <si>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</si>
  <si>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</si>
  <si>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</si>
  <si>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</si>
  <si>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</si>
  <si>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</si>
  <si>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</si>
  <si>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</si>
  <si>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</si>
  <si>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</si>
  <si>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</si>
  <si>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</si>
  <si>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</si>
  <si>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</si>
  <si>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</si>
  <si>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</si>
  <si>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</si>
  <si>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</si>
  <si>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</si>
  <si>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</si>
  <si>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</si>
  <si>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</si>
  <si>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</si>
  <si>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</si>
  <si>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</si>
  <si>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</si>
  <si>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</si>
  <si>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</si>
  <si>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</si>
  <si>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</si>
  <si>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</si>
  <si>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</si>
  <si>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</si>
  <si>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</si>
  <si>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</si>
  <si>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</si>
  <si>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</si>
  <si>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</si>
  <si>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</si>
  <si>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</si>
  <si>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</si>
  <si>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</si>
  <si>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</si>
  <si>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</si>
  <si>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</si>
  <si>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</si>
  <si>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</si>
  <si>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</si>
  <si>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</si>
  <si>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</si>
  <si>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</si>
  <si>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</si>
  <si>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</si>
  <si>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</si>
  <si>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</si>
  <si>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</si>
  <si>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</si>
  <si>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</si>
  <si>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</si>
  <si>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</si>
  <si>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</si>
  <si>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</si>
  <si>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</si>
  <si>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</si>
  <si>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</si>
  <si>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</si>
  <si>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</si>
  <si>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</si>
  <si>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</si>
  <si>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</si>
  <si>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</si>
  <si>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</si>
  <si>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</si>
  <si>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</si>
  <si>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</si>
  <si>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</si>
  <si>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</si>
  <si>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</si>
  <si>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</si>
  <si>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</si>
  <si>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</si>
  <si>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</si>
  <si>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</si>
  <si>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</si>
  <si>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</si>
  <si>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</si>
  <si>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</si>
  <si>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</si>
  <si>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</si>
  <si>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</si>
  <si>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</si>
  <si>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</si>
  <si>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</si>
  <si>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</si>
  <si>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</si>
  <si>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</si>
  <si>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</si>
  <si>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</si>
  <si>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</si>
  <si>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</si>
  <si>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</si>
  <si>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</si>
  <si>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</si>
  <si>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</si>
  <si>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</si>
  <si>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</si>
  <si>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</si>
  <si>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</si>
  <si>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</si>
  <si>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</si>
  <si>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</si>
  <si>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</si>
  <si>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</si>
  <si>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</si>
  <si>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</si>
  <si>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</si>
  <si>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</si>
  <si>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</si>
  <si>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</si>
  <si>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</si>
  <si>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</si>
  <si>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</si>
  <si>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</si>
  <si>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</si>
  <si>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</si>
  <si>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</si>
  <si>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</si>
  <si>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</si>
  <si>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</si>
  <si>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</si>
  <si>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</si>
  <si>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</si>
  <si>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</si>
  <si>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</si>
  <si>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</si>
  <si>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</si>
  <si>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</si>
  <si>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</si>
  <si>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</si>
  <si>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</si>
  <si>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</si>
  <si>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</si>
  <si>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</si>
  <si>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</si>
  <si>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</si>
  <si>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</si>
  <si>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</si>
  <si>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</si>
  <si>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</si>
  <si>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</si>
  <si>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</si>
  <si>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</si>
  <si>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</si>
  <si>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</si>
  <si>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</si>
  <si>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</si>
  <si>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</si>
  <si>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</si>
  <si>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</si>
  <si>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</si>
  <si>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</si>
  <si>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</si>
  <si>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</si>
  <si>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</si>
  <si>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</si>
  <si>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</si>
  <si>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</si>
  <si>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</si>
  <si>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</si>
  <si>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</si>
  <si>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</si>
  <si>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</si>
  <si>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</si>
  <si>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</si>
  <si>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</si>
  <si>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</si>
  <si>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</si>
  <si>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</si>
  <si>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</si>
  <si>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</si>
  <si>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</si>
  <si>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</si>
  <si>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</si>
  <si>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</si>
  <si>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</si>
  <si>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</si>
  <si>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</si>
  <si>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</si>
  <si>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</si>
  <si>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</si>
  <si>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</si>
  <si>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</si>
  <si>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</si>
  <si>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</si>
  <si>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</si>
  <si>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</si>
  <si>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</si>
  <si>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</si>
  <si>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</si>
  <si>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</si>
  <si>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</si>
  <si>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</si>
  <si>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</si>
  <si>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</si>
  <si>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</si>
  <si>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</si>
  <si>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</si>
  <si>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</si>
  <si>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</si>
  <si>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</si>
  <si>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</si>
  <si>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</si>
  <si>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</si>
  <si>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</si>
  <si>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</si>
  <si>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</si>
  <si>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</si>
  <si>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</si>
  <si>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</si>
  <si>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</si>
  <si>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</si>
  <si>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</si>
  <si>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</si>
  <si>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</si>
  <si>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</si>
  <si>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</si>
  <si>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</si>
  <si>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</si>
  <si>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</si>
  <si>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</si>
  <si>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</si>
  <si>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</si>
  <si>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</si>
  <si>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</si>
  <si>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</si>
  <si>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</si>
  <si>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</si>
  <si>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</si>
  <si>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</si>
  <si>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</si>
  <si>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</si>
  <si>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</si>
  <si>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</si>
  <si>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</si>
  <si>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</si>
  <si>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</si>
  <si>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</si>
  <si>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</si>
  <si>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</si>
  <si>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</si>
  <si>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</si>
  <si>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</si>
  <si>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</si>
  <si>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</si>
  <si>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</si>
  <si>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</si>
  <si>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</si>
  <si>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</si>
  <si>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</si>
  <si>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</si>
  <si>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</si>
  <si>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</si>
  <si>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</si>
  <si>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</si>
  <si>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</si>
  <si>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</si>
  <si>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</si>
  <si>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</si>
  <si>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</si>
  <si>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</si>
  <si>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</si>
  <si>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</si>
  <si>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</si>
  <si>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</si>
  <si>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</si>
  <si>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</si>
  <si>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</si>
  <si>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</si>
  <si>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</si>
  <si>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</si>
  <si>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</si>
  <si>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</si>
  <si>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</si>
  <si>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</si>
  <si>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</si>
  <si>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</si>
  <si>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</si>
  <si>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</si>
  <si>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</si>
  <si>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</si>
  <si>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</si>
  <si>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</si>
  <si>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</si>
  <si>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</si>
  <si>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</si>
  <si>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</si>
  <si>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</si>
  <si>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</si>
  <si>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</si>
  <si>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</si>
  <si>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</si>
  <si>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</si>
  <si>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</si>
  <si>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</si>
  <si>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</si>
  <si>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</si>
  <si>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</si>
  <si>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</si>
  <si>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</si>
  <si>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</si>
  <si>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</si>
  <si>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</si>
  <si>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</si>
  <si>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</si>
  <si>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</si>
  <si>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</si>
  <si>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</si>
  <si>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</si>
  <si>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</si>
  <si>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</si>
  <si>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</si>
  <si>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</si>
  <si>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</si>
  <si>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</si>
  <si>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</si>
  <si>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</si>
  <si>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</si>
  <si>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</si>
  <si>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</si>
  <si>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</si>
  <si>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</si>
  <si>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</si>
  <si>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</si>
  <si>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</si>
  <si>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</si>
  <si>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</si>
  <si>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</si>
  <si>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</si>
  <si>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</si>
  <si>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</si>
  <si>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</si>
  <si>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</si>
  <si>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</si>
  <si>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</si>
  <si>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</si>
  <si>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</si>
  <si>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</si>
  <si>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</si>
  <si>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</si>
  <si>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</si>
  <si>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</si>
  <si>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</si>
  <si>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</si>
  <si>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</si>
  <si>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</si>
  <si>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</si>
  <si>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</si>
  <si>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</si>
  <si>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</si>
  <si>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</si>
  <si>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</si>
  <si>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</si>
  <si>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</si>
  <si>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</si>
  <si>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</si>
  <si>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</si>
  <si>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</si>
  <si>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</si>
  <si>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</si>
  <si>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</si>
  <si>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</si>
  <si>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</si>
  <si>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</si>
  <si>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</si>
  <si>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</si>
  <si>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</si>
  <si>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</si>
  <si>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</si>
  <si>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</si>
  <si>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</si>
  <si>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</si>
  <si>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</si>
  <si>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</si>
  <si>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</si>
  <si>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</si>
  <si>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</si>
  <si>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</si>
  <si>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</si>
  <si>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</si>
  <si>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</si>
  <si>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</si>
  <si>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</si>
  <si>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</si>
  <si>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</si>
  <si>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</si>
  <si>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</si>
  <si>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</si>
  <si>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</si>
  <si>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</si>
  <si>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</si>
  <si>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</si>
  <si>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</si>
  <si>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</si>
  <si>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</si>
  <si>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</si>
  <si>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</si>
  <si>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</si>
  <si>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</si>
  <si>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</si>
  <si>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</si>
  <si>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</si>
  <si>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</si>
  <si>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</si>
  <si>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</si>
  <si>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</si>
  <si>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</si>
  <si>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</si>
  <si>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</si>
  <si>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</si>
  <si>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</si>
  <si>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</si>
  <si>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</si>
  <si>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</si>
  <si>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</si>
  <si>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</si>
  <si>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</si>
  <si>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</si>
  <si>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</si>
  <si>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</si>
  <si>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</si>
  <si>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</si>
  <si>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</si>
  <si>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</si>
  <si>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</si>
  <si>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</si>
  <si>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</si>
  <si>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</si>
  <si>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</si>
  <si>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</si>
  <si>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</si>
  <si>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</si>
  <si>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</si>
  <si>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</si>
  <si>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</si>
  <si>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</si>
  <si>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</si>
  <si>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</si>
  <si>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</si>
  <si>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</si>
  <si>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</si>
  <si>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</si>
  <si>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</si>
  <si>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</si>
  <si>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</si>
  <si>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</si>
  <si>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</si>
  <si>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</si>
  <si>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</si>
  <si>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</si>
  <si>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</si>
  <si>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</si>
  <si>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</si>
  <si>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</si>
  <si>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</si>
  <si>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</si>
  <si>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</si>
  <si>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</si>
  <si>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</si>
  <si>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</si>
  <si>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</si>
  <si>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</si>
  <si>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</si>
  <si>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</si>
  <si>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</si>
  <si>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</si>
  <si>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</si>
  <si>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</si>
  <si>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</si>
  <si>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</si>
  <si>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</si>
  <si>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</si>
  <si>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</si>
  <si>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</si>
  <si>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</si>
  <si>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</si>
  <si>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</si>
  <si>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</si>
  <si>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</si>
  <si>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</si>
  <si>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</si>
  <si>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</si>
  <si>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</si>
  <si>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</si>
  <si>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</si>
  <si>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</si>
  <si>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</si>
  <si>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</si>
  <si>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</si>
  <si>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</si>
  <si>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</si>
  <si>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</si>
  <si>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</si>
  <si>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</si>
  <si>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</si>
  <si>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</si>
  <si>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</si>
  <si>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</si>
  <si>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</si>
  <si>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</si>
  <si>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</si>
  <si>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</si>
  <si>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</si>
  <si>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</si>
  <si>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</si>
  <si>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</si>
  <si>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</si>
  <si>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</si>
  <si>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</si>
  <si>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</si>
  <si>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</si>
  <si>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</si>
  <si>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</si>
  <si>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</si>
  <si>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</si>
  <si>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</si>
  <si>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</si>
  <si>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</si>
  <si>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</si>
  <si>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</si>
  <si>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</si>
  <si>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</si>
  <si>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</si>
  <si>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</si>
  <si>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</si>
  <si>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</si>
  <si>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</si>
  <si>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</si>
  <si>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</si>
  <si>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</si>
  <si>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</si>
  <si>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</si>
  <si>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</si>
  <si>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</si>
  <si>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</si>
  <si>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</si>
  <si>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</si>
  <si>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</si>
  <si>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</si>
  <si>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</si>
  <si>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</si>
  <si>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</si>
  <si>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</si>
  <si>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</si>
  <si>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</si>
  <si>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</si>
  <si>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</si>
  <si>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</si>
  <si>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</si>
  <si>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</si>
  <si>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</si>
  <si>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</si>
  <si>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</si>
  <si>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</si>
  <si>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</si>
  <si>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</si>
  <si>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</si>
  <si>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</si>
  <si>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</si>
  <si>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</si>
  <si>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</si>
  <si>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</si>
  <si>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</si>
  <si>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</si>
  <si>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</si>
  <si>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</si>
  <si>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</si>
  <si>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</si>
  <si>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</si>
  <si>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</si>
  <si>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</si>
  <si>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</si>
  <si>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</si>
  <si>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</si>
  <si>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</si>
  <si>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</si>
  <si>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</si>
  <si>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</si>
  <si>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</si>
  <si>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</si>
  <si>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</si>
  <si>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</si>
  <si>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</si>
  <si>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</si>
  <si>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</si>
  <si>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</si>
  <si>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</si>
  <si>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</si>
  <si>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</si>
  <si>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</si>
  <si>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</si>
  <si>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</si>
  <si>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</si>
  <si>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</si>
  <si>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</si>
  <si>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</si>
  <si>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</si>
  <si>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</si>
  <si>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</si>
  <si>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</si>
  <si>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</si>
  <si>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</si>
  <si>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</si>
  <si>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</si>
  <si>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</si>
  <si>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</si>
  <si>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</si>
  <si>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</si>
  <si>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</si>
  <si>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</si>
  <si>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</si>
  <si>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</si>
  <si>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</si>
  <si>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</si>
  <si>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</si>
  <si>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</si>
  <si>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</si>
  <si>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</si>
  <si>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</si>
  <si>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</si>
  <si>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</si>
  <si>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</si>
  <si>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</si>
  <si>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</si>
  <si>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</si>
  <si>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</si>
  <si>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</si>
  <si>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</si>
  <si>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</si>
  <si>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</si>
  <si>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</si>
  <si>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</si>
  <si>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</si>
  <si>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</si>
  <si>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</si>
  <si>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</si>
  <si>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</si>
  <si>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</si>
  <si>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</si>
  <si>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</si>
  <si>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</si>
  <si>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</si>
  <si>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</si>
  <si>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</si>
  <si>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</si>
  <si>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</si>
  <si>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</si>
  <si>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</si>
  <si>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</si>
  <si>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</si>
  <si>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</si>
  <si>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</si>
  <si>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</si>
  <si>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</si>
  <si>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</si>
  <si>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</si>
  <si>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</si>
  <si>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</si>
  <si>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</si>
  <si>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</si>
  <si>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</si>
  <si>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</si>
  <si>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</si>
  <si>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</si>
  <si>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</si>
  <si>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</si>
  <si>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</si>
  <si>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</si>
  <si>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</si>
  <si>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</si>
  <si>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</si>
  <si>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</si>
  <si>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</si>
  <si>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</si>
  <si>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</si>
  <si>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</si>
  <si>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</si>
  <si>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</si>
  <si>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</si>
  <si>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</si>
  <si>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</si>
  <si>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</si>
  <si>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</si>
  <si>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</si>
  <si>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</si>
  <si>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</si>
  <si>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</si>
  <si>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</si>
  <si>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</si>
  <si>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</si>
  <si>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</si>
  <si>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</si>
  <si>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</si>
  <si>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</si>
  <si>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</si>
  <si>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</si>
  <si>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</si>
  <si>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</si>
  <si>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</si>
  <si>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</si>
  <si>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</si>
  <si>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</si>
  <si>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</si>
  <si>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</si>
  <si>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</si>
  <si>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</si>
  <si>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</si>
  <si>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</si>
  <si>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</si>
  <si>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</si>
  <si>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</si>
  <si>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</si>
  <si>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</si>
  <si>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</si>
  <si>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</si>
  <si>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</si>
  <si>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</si>
  <si>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</si>
  <si>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</si>
  <si>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</si>
  <si>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</si>
  <si>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</si>
  <si>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</si>
  <si>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</si>
  <si>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</si>
  <si>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</si>
  <si>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</si>
  <si>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</si>
  <si>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</si>
  <si>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</si>
  <si>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</si>
  <si>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</si>
  <si>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</si>
  <si>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</si>
  <si>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</si>
  <si>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</si>
  <si>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</si>
  <si>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</si>
  <si>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</si>
  <si>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</si>
  <si>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</si>
  <si>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</si>
  <si>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</si>
  <si>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</si>
  <si>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</si>
  <si>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</si>
  <si>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</si>
  <si>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</si>
  <si>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</si>
  <si>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</si>
  <si>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</si>
  <si>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</si>
  <si>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</si>
  <si>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</si>
  <si>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</si>
  <si>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</si>
  <si>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</si>
  <si>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</si>
  <si>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</si>
  <si>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</si>
  <si>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</si>
  <si>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</si>
  <si>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</si>
  <si>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</si>
  <si>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</si>
  <si>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</si>
  <si>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</si>
  <si>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</si>
  <si>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</si>
  <si>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</si>
  <si>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</si>
  <si>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</si>
  <si>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</si>
  <si>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</si>
  <si>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</si>
  <si>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</si>
  <si>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</si>
  <si>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</si>
  <si>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</si>
  <si>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</si>
  <si>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</si>
  <si>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</si>
  <si>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</si>
  <si>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</si>
  <si>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</si>
  <si>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</si>
  <si>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</si>
  <si>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</si>
  <si>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</si>
  <si>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</si>
  <si>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</si>
  <si>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</si>
  <si>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</si>
  <si>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</si>
  <si>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</si>
  <si>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</si>
  <si>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</si>
  <si>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</si>
  <si>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</si>
  <si>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</si>
  <si>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</si>
  <si>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</si>
  <si>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</si>
  <si>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</si>
  <si>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</si>
  <si>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</si>
  <si>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</si>
  <si>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</si>
  <si>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</si>
  <si>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</si>
  <si>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</si>
  <si>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</si>
  <si>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</si>
  <si>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</si>
  <si>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</si>
  <si>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</si>
  <si>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</si>
  <si>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</si>
  <si>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</si>
  <si>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</si>
  <si>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</si>
  <si>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</si>
  <si>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</si>
  <si>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</si>
  <si>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</si>
  <si>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</si>
  <si>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</si>
  <si>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</si>
  <si>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</si>
  <si>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</si>
  <si>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</si>
  <si>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</si>
  <si>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</si>
  <si>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</si>
  <si>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</si>
  <si>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</si>
  <si>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</si>
  <si>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</si>
  <si>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</si>
  <si>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</si>
  <si>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</si>
  <si>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</si>
  <si>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</si>
  <si>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</si>
  <si>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</si>
  <si>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</si>
  <si>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</si>
  <si>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</si>
  <si>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</si>
  <si>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</si>
  <si>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</si>
  <si>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</si>
  <si>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</si>
  <si>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</si>
  <si>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</si>
  <si>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</si>
  <si>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</si>
  <si>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</si>
  <si>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</si>
  <si>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</si>
  <si>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</si>
  <si>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</si>
  <si>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</si>
  <si>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</si>
  <si>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</si>
  <si>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</si>
  <si>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</si>
  <si>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</si>
  <si>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</si>
  <si>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</si>
  <si>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</si>
  <si>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</si>
  <si>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</si>
  <si>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</si>
  <si>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</si>
  <si>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</si>
  <si>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</si>
  <si>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</si>
  <si>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</si>
  <si>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</si>
  <si>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</si>
  <si>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</si>
  <si>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</si>
  <si>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</si>
  <si>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</si>
  <si>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</si>
  <si>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</si>
  <si>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</si>
  <si>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</si>
  <si>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</si>
  <si>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</si>
  <si>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</si>
  <si>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</si>
  <si>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</si>
  <si>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</si>
  <si>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</si>
  <si>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</si>
  <si>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</si>
  <si>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</si>
  <si>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</si>
  <si>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</si>
  <si>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</si>
  <si>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</si>
  <si>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</si>
  <si>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</si>
  <si>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</si>
  <si>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</si>
  <si>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</si>
  <si>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</si>
  <si>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</si>
  <si>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</si>
  <si>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</si>
  <si>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</si>
  <si>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</si>
  <si>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</si>
  <si>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</si>
  <si>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</si>
  <si>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</si>
  <si>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</si>
  <si>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</si>
  <si>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</si>
  <si>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</si>
  <si>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</si>
  <si>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</si>
  <si>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</si>
  <si>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</si>
  <si>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</si>
  <si>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</si>
  <si>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</si>
  <si>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</si>
  <si>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</si>
  <si>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</si>
  <si>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</si>
  <si>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</si>
  <si>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</si>
  <si>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</si>
  <si>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</si>
  <si>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</si>
  <si>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</si>
  <si>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</si>
  <si>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</si>
  <si>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</si>
  <si>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</si>
  <si>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</si>
  <si>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</si>
  <si>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</si>
  <si>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</si>
  <si>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</si>
  <si>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</si>
  <si>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</si>
  <si>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</si>
  <si>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</si>
  <si>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</si>
  <si>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</si>
  <si>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</si>
  <si>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</si>
  <si>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</si>
  <si>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</si>
  <si>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</si>
  <si>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</si>
  <si>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</si>
  <si>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</si>
  <si>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</si>
  <si>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</si>
  <si>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</si>
  <si>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</si>
  <si>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</si>
  <si>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</si>
  <si>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</si>
  <si>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</si>
  <si>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</si>
  <si>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</si>
  <si>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</si>
  <si>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</si>
  <si>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</si>
  <si>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</si>
  <si>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</si>
  <si>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</si>
  <si>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</si>
  <si>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</si>
  <si>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</si>
  <si>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</si>
  <si>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</si>
  <si>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</si>
  <si>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</si>
  <si>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</si>
  <si>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</si>
  <si>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</si>
  <si>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</si>
  <si>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</si>
  <si>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</si>
  <si>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</si>
  <si>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</si>
  <si>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</si>
  <si>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</si>
  <si>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</si>
  <si>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</si>
  <si>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</si>
  <si>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</si>
  <si>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</si>
  <si>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</si>
  <si>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</si>
  <si>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</si>
  <si>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</si>
  <si>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</si>
  <si>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</si>
  <si>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</si>
  <si>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</si>
  <si>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</si>
  <si>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</si>
  <si>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</si>
  <si>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</si>
  <si>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</si>
  <si>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</si>
  <si>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</si>
  <si>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</si>
  <si>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</si>
  <si>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</si>
  <si>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</si>
  <si>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</si>
  <si>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</si>
  <si>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</si>
  <si>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</si>
  <si>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</si>
  <si>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</si>
  <si>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</si>
  <si>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</si>
  <si>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</si>
  <si>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</si>
  <si>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</si>
  <si>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</si>
  <si>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</si>
  <si>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</si>
  <si>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</si>
  <si>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</si>
  <si>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</si>
  <si>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</si>
  <si>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</si>
  <si>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</si>
  <si>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</si>
  <si>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</si>
  <si>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</si>
  <si>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</si>
  <si>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</si>
  <si>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</si>
  <si>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</si>
  <si>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</si>
  <si>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</si>
  <si>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</si>
  <si>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</si>
  <si>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</si>
  <si>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</si>
  <si>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</si>
  <si>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</si>
  <si>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</si>
  <si>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</si>
  <si>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</si>
  <si>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</si>
  <si>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</si>
  <si>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</si>
  <si>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</si>
  <si>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</si>
  <si>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</si>
  <si>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</si>
  <si>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</si>
  <si>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</si>
  <si>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</si>
  <si>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</si>
  <si>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</si>
  <si>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</si>
  <si>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</si>
  <si>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</si>
  <si>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</si>
  <si>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</si>
  <si>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</si>
  <si>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</si>
  <si>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</si>
  <si>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</si>
  <si>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</si>
  <si>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</si>
  <si>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</si>
  <si>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</si>
  <si>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</si>
  <si>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</si>
  <si>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</si>
  <si>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</si>
  <si>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</si>
  <si>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</si>
  <si>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</si>
  <si>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</si>
  <si>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</si>
  <si>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</si>
  <si>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</si>
  <si>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</si>
  <si>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</si>
  <si>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</si>
  <si>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</si>
  <si>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</si>
  <si>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</si>
  <si>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</si>
  <si>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</si>
  <si>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</si>
  <si>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</si>
  <si>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</si>
  <si>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</si>
  <si>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</si>
  <si>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</si>
  <si>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</si>
  <si>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</si>
  <si>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</si>
  <si>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</si>
  <si>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</si>
  <si>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</si>
  <si>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</si>
  <si>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</si>
  <si>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</si>
  <si>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</si>
  <si>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</si>
  <si>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</si>
  <si>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</si>
  <si>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</si>
  <si>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</si>
  <si>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</si>
  <si>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</si>
  <si>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</si>
  <si>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</si>
  <si>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</si>
  <si>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</si>
  <si>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</si>
  <si>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</si>
  <si>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</si>
  <si>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</si>
  <si>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</si>
  <si>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</si>
  <si>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</si>
  <si>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</si>
  <si>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</si>
  <si>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</si>
  <si>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</si>
  <si>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</si>
  <si>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</si>
  <si>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</si>
  <si>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</si>
  <si>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</si>
  <si>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</si>
  <si>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</si>
  <si>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</si>
  <si>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</si>
  <si>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</si>
  <si>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</si>
  <si>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</si>
  <si>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</si>
  <si>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</si>
  <si>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</si>
  <si>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</si>
  <si>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</si>
  <si>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</si>
  <si>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</si>
  <si>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</si>
  <si>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</si>
  <si>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</si>
  <si>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</si>
  <si>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</si>
  <si>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</si>
  <si>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</si>
  <si>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</si>
  <si>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</si>
  <si>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</si>
  <si>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</si>
  <si>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</si>
  <si>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</si>
  <si>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</si>
  <si>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</si>
  <si>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</si>
  <si>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</si>
  <si>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</si>
  <si>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</si>
  <si>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</si>
  <si>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</si>
  <si>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</si>
  <si>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</si>
  <si>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</si>
  <si>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</si>
  <si>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</si>
  <si>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</si>
  <si>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</si>
  <si>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</si>
  <si>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</si>
  <si>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</si>
  <si>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</si>
  <si>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</si>
  <si>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</si>
  <si>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</si>
  <si>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</si>
  <si>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</si>
  <si>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</si>
  <si>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</si>
  <si>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</si>
  <si>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</si>
  <si>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</si>
  <si>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</si>
  <si>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</si>
  <si>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</si>
  <si>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</si>
  <si>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</si>
  <si>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</si>
  <si>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</si>
  <si>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</si>
  <si>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</si>
  <si>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</si>
  <si>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</si>
  <si>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</si>
  <si>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</si>
  <si>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</si>
  <si>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</si>
  <si>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</si>
  <si>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</si>
  <si>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</si>
  <si>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</si>
  <si>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</si>
  <si>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</si>
  <si>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</si>
  <si>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</si>
  <si>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</si>
  <si>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</si>
  <si>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</si>
  <si>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</si>
  <si>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</si>
  <si>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</si>
  <si>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</si>
  <si>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</si>
  <si>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</si>
  <si>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</si>
  <si>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</si>
  <si>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</si>
  <si>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</si>
  <si>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</si>
  <si>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</si>
  <si>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</si>
  <si>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</si>
  <si>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</si>
  <si>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</si>
  <si>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</si>
  <si>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</si>
  <si>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</si>
  <si>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</si>
  <si>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</si>
  <si>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</si>
  <si>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</si>
  <si>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</si>
  <si>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</si>
  <si>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</si>
  <si>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</si>
  <si>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</si>
  <si>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</si>
  <si>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</si>
  <si>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</si>
  <si>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</si>
  <si>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</si>
  <si>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</si>
  <si>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</si>
  <si>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</si>
  <si>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</si>
  <si>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</si>
  <si>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</si>
  <si>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</si>
  <si>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</si>
  <si>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</si>
  <si>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</si>
  <si>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</si>
  <si>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</si>
  <si>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</si>
  <si>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</si>
  <si>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</si>
  <si>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</si>
  <si>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</si>
  <si>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</si>
  <si>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</si>
  <si>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</si>
  <si>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</si>
  <si>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</si>
  <si>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</si>
  <si>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</si>
  <si>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</si>
  <si>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</si>
  <si>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</si>
  <si>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</si>
  <si>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</si>
  <si>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</si>
  <si>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</si>
  <si>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</si>
  <si>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</si>
  <si>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</si>
  <si>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</si>
  <si>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</si>
  <si>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</si>
  <si>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</si>
  <si>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</si>
  <si>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</si>
  <si>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</si>
  <si>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</si>
  <si>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</si>
  <si>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</si>
  <si>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</si>
  <si>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</si>
  <si>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</si>
  <si>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</si>
  <si>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</si>
  <si>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</si>
  <si>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</si>
  <si>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</si>
  <si>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</si>
  <si>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</si>
  <si>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</si>
  <si>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</si>
  <si>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</si>
  <si>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</si>
  <si>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</si>
  <si>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</si>
  <si>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</si>
  <si>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</si>
  <si>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</si>
  <si>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</si>
  <si>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</si>
  <si>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</si>
  <si>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</si>
  <si>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</si>
  <si>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</si>
  <si>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</si>
  <si>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</si>
  <si>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</si>
  <si>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</si>
  <si>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</si>
  <si>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</si>
  <si>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</si>
  <si>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</si>
  <si>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</si>
  <si>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</si>
  <si>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</si>
  <si>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</si>
  <si>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</si>
  <si>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</si>
  <si>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</si>
  <si>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</si>
  <si>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</si>
  <si>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</si>
  <si>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</si>
  <si>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</si>
  <si>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</si>
  <si>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</si>
  <si>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</si>
  <si>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郑燚</t>
  </si>
  <si>
    <t>王萌</t>
  </si>
  <si>
    <t>武汉伟鹏房地产开发建筑有限公司</t>
    <phoneticPr fontId="3" type="noConversion"/>
  </si>
  <si>
    <t>中诚信托有限责任公司</t>
    <phoneticPr fontId="3" type="noConversion"/>
  </si>
  <si>
    <t>抵押</t>
  </si>
  <si>
    <t>房地产抵押价值</t>
  </si>
  <si>
    <t>其他：</t>
  </si>
  <si>
    <r>
      <rPr>
        <sz val="12"/>
        <color indexed="8"/>
        <rFont val="宋体"/>
        <family val="3"/>
        <charset val="134"/>
      </rPr>
      <t>湖北省武汉市江夏区纸坊街红旗村</t>
    </r>
    <r>
      <rPr>
        <sz val="12"/>
        <color indexed="8"/>
        <rFont val="Arial"/>
        <family val="2"/>
      </rPr>
      <t>“</t>
    </r>
    <r>
      <rPr>
        <sz val="12"/>
        <color indexed="8"/>
        <rFont val="宋体"/>
        <family val="3"/>
        <charset val="134"/>
      </rPr>
      <t>江南新天地</t>
    </r>
    <r>
      <rPr>
        <sz val="12"/>
        <color indexed="8"/>
        <rFont val="Arial"/>
        <family val="2"/>
      </rPr>
      <t>”</t>
    </r>
    <r>
      <rPr>
        <sz val="12"/>
        <color indexed="8"/>
        <rFont val="宋体"/>
        <family val="3"/>
        <charset val="134"/>
      </rPr>
      <t>（又名</t>
    </r>
    <r>
      <rPr>
        <sz val="12"/>
        <color indexed="8"/>
        <rFont val="Arial"/>
        <family val="2"/>
      </rPr>
      <t>“</t>
    </r>
    <r>
      <rPr>
        <sz val="12"/>
        <color indexed="8"/>
        <rFont val="宋体"/>
        <family val="3"/>
        <charset val="134"/>
      </rPr>
      <t>鹏湖湾</t>
    </r>
    <r>
      <rPr>
        <sz val="12"/>
        <color indexed="8"/>
        <rFont val="Arial"/>
        <family val="2"/>
      </rPr>
      <t>”</t>
    </r>
    <r>
      <rPr>
        <sz val="12"/>
        <color indexed="8"/>
        <rFont val="宋体"/>
        <family val="3"/>
        <charset val="134"/>
      </rPr>
      <t>）项目</t>
    </r>
    <phoneticPr fontId="6" type="noConversion"/>
  </si>
  <si>
    <t>企业</t>
  </si>
  <si>
    <t>出让</t>
  </si>
  <si>
    <t>住宅</t>
  </si>
  <si>
    <t>住宅</t>
    <phoneticPr fontId="6" type="noConversion"/>
  </si>
  <si>
    <r>
      <rPr>
        <sz val="12"/>
        <color theme="9" tint="-0.249977111117893"/>
        <rFont val="宋体"/>
        <family val="3"/>
        <charset val="134"/>
      </rPr>
      <t>住宅</t>
    </r>
    <r>
      <rPr>
        <sz val="12"/>
        <color theme="9" tint="-0.249977111117893"/>
        <rFont val="Arial"/>
        <family val="2"/>
      </rPr>
      <t>58.89</t>
    </r>
    <r>
      <rPr>
        <sz val="12"/>
        <color theme="9" tint="-0.249977111117893"/>
        <rFont val="宋体"/>
        <family val="3"/>
        <charset val="134"/>
      </rPr>
      <t>年</t>
    </r>
    <phoneticPr fontId="6" type="noConversion"/>
  </si>
  <si>
    <t>《国有土地使用证》[夏国用（2007）第268号]、《武汉市江夏区鹏湖湾三期房产面积预测技术报告书》[编号：2016099、2017018]、《委托估价函》</t>
    <phoneticPr fontId="6" type="noConversion"/>
  </si>
  <si>
    <t>《建设工程规划许可证》[武规（夏）建[2014]017号]及附图、《武汉市江夏区鹏湖湾三期房产面积预测技术报告书》[编号：2017018]</t>
    <phoneticPr fontId="6" type="noConversion"/>
  </si>
  <si>
    <t>是</t>
  </si>
  <si>
    <t>否</t>
  </si>
  <si>
    <t>《国有土地使用证》</t>
  </si>
  <si>
    <t>居住项目</t>
  </si>
  <si>
    <t>无</t>
  </si>
  <si>
    <t>在建</t>
  </si>
  <si>
    <t>正常</t>
  </si>
  <si>
    <t>正常</t>
    <phoneticPr fontId="6" type="noConversion"/>
  </si>
  <si>
    <t>规证附图指标表</t>
    <phoneticPr fontId="3" type="noConversion"/>
  </si>
  <si>
    <t>一期</t>
    <phoneticPr fontId="3" type="noConversion"/>
  </si>
  <si>
    <t>二期</t>
    <phoneticPr fontId="3" type="noConversion"/>
  </si>
  <si>
    <t>预测报告[2016099]</t>
    <phoneticPr fontId="3" type="noConversion"/>
  </si>
  <si>
    <t>三期（3、4、5）</t>
    <phoneticPr fontId="3" type="noConversion"/>
  </si>
  <si>
    <t>预测报告[2017018]</t>
    <phoneticPr fontId="3" type="noConversion"/>
  </si>
  <si>
    <t>经济指标表</t>
    <phoneticPr fontId="3" type="noConversion"/>
  </si>
  <si>
    <t>四期</t>
    <phoneticPr fontId="3" type="noConversion"/>
  </si>
  <si>
    <t>五期</t>
    <phoneticPr fontId="3" type="noConversion"/>
  </si>
  <si>
    <t>地上</t>
  </si>
  <si>
    <t>普通住宅</t>
  </si>
  <si>
    <t>底商</t>
  </si>
  <si>
    <t>办公楼</t>
  </si>
  <si>
    <t>三期6、7、8、9、10、11</t>
    <phoneticPr fontId="3" type="noConversion"/>
  </si>
  <si>
    <t>三期1分摊土地</t>
    <phoneticPr fontId="3" type="noConversion"/>
  </si>
  <si>
    <t>三期2分摊土地</t>
    <phoneticPr fontId="3" type="noConversion"/>
  </si>
  <si>
    <r>
      <t>1#</t>
    </r>
    <r>
      <rPr>
        <sz val="10"/>
        <color indexed="8"/>
        <rFont val="宋体"/>
        <family val="3"/>
        <charset val="134"/>
      </rPr>
      <t>住宅楼</t>
    </r>
    <phoneticPr fontId="7" type="noConversion"/>
  </si>
  <si>
    <r>
      <t>2#</t>
    </r>
    <r>
      <rPr>
        <sz val="10"/>
        <color indexed="8"/>
        <rFont val="宋体"/>
        <family val="3"/>
        <charset val="134"/>
      </rPr>
      <t>住宅楼</t>
    </r>
    <phoneticPr fontId="7" type="noConversion"/>
  </si>
  <si>
    <t>未包含在土地购买价格中</t>
  </si>
  <si>
    <t>全部缴纳</t>
  </si>
  <si>
    <t>已全部缴纳</t>
  </si>
  <si>
    <t>住宅</t>
    <phoneticPr fontId="25" type="noConversion"/>
  </si>
  <si>
    <t>50-60（含）</t>
  </si>
  <si>
    <t>60-70（含）</t>
  </si>
  <si>
    <t>较好</t>
  </si>
  <si>
    <t>好</t>
  </si>
  <si>
    <t>一般</t>
  </si>
  <si>
    <t>六通</t>
  </si>
  <si>
    <t>独栋别墅</t>
    <phoneticPr fontId="25" type="noConversion"/>
  </si>
  <si>
    <t>联排别墅</t>
    <phoneticPr fontId="25" type="noConversion"/>
  </si>
  <si>
    <t>花园洋房</t>
    <phoneticPr fontId="25" type="noConversion"/>
  </si>
  <si>
    <t>普通住宅</t>
    <phoneticPr fontId="25" type="noConversion"/>
  </si>
  <si>
    <t>钢混</t>
  </si>
  <si>
    <t>钢混</t>
    <phoneticPr fontId="25" type="noConversion"/>
  </si>
  <si>
    <t>混合</t>
    <phoneticPr fontId="25" type="noConversion"/>
  </si>
  <si>
    <t>高档</t>
    <phoneticPr fontId="25" type="noConversion"/>
  </si>
  <si>
    <t>中档</t>
  </si>
  <si>
    <t>中档</t>
    <phoneticPr fontId="25" type="noConversion"/>
  </si>
  <si>
    <t>低档</t>
    <phoneticPr fontId="25" type="noConversion"/>
  </si>
  <si>
    <t>精装修</t>
  </si>
  <si>
    <t>精装修</t>
    <phoneticPr fontId="25" type="noConversion"/>
  </si>
  <si>
    <t>普通装修</t>
    <phoneticPr fontId="25" type="noConversion"/>
  </si>
  <si>
    <t>毛坯</t>
    <phoneticPr fontId="25" type="noConversion"/>
  </si>
  <si>
    <t>专业</t>
  </si>
  <si>
    <t>专业</t>
    <phoneticPr fontId="25" type="noConversion"/>
  </si>
  <si>
    <t>非专业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</si>
  <si>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</si>
  <si>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</si>
  <si>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</si>
  <si>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</si>
  <si>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</si>
  <si>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80-120</t>
    <phoneticPr fontId="25" type="noConversion"/>
  </si>
  <si>
    <t>120-140</t>
    <phoneticPr fontId="25" type="noConversion"/>
  </si>
  <si>
    <t>140-180</t>
    <phoneticPr fontId="25" type="noConversion"/>
  </si>
  <si>
    <r>
      <t>180</t>
    </r>
    <r>
      <rPr>
        <sz val="11"/>
        <color indexed="8"/>
        <rFont val="宋体"/>
        <family val="3"/>
        <charset val="134"/>
      </rPr>
      <t>以上</t>
    </r>
    <phoneticPr fontId="25" type="noConversion"/>
  </si>
  <si>
    <t>普通装修</t>
    <phoneticPr fontId="25" type="noConversion"/>
  </si>
  <si>
    <t>毛坯</t>
    <phoneticPr fontId="25" type="noConversion"/>
  </si>
  <si>
    <t>120-140</t>
    <phoneticPr fontId="25" type="noConversion"/>
  </si>
  <si>
    <t>80-120</t>
    <phoneticPr fontId="25" type="noConversion"/>
  </si>
  <si>
    <t>1#住宅楼</t>
  </si>
  <si>
    <t>2#住宅楼</t>
  </si>
  <si>
    <r>
      <rPr>
        <sz val="11"/>
        <color indexed="8"/>
        <rFont val="宋体"/>
        <family val="3"/>
        <charset val="134"/>
      </rPr>
      <t>住宅</t>
    </r>
    <r>
      <rPr>
        <sz val="11"/>
        <color indexed="8"/>
        <rFont val="Arial"/>
        <family val="2"/>
      </rPr>
      <t>70</t>
    </r>
    <r>
      <rPr>
        <sz val="11"/>
        <color indexed="8"/>
        <rFont val="宋体"/>
        <family val="3"/>
        <charset val="134"/>
      </rPr>
      <t>年</t>
    </r>
    <phoneticPr fontId="31" type="noConversion"/>
  </si>
  <si>
    <t>住宅</t>
    <phoneticPr fontId="31" type="noConversion"/>
  </si>
  <si>
    <t>武汉监测指标情况一览表</t>
  </si>
  <si>
    <t>时间</t>
  </si>
  <si>
    <t>水平值</t>
  </si>
  <si>
    <t>环比增长率</t>
  </si>
  <si>
    <t>指数</t>
  </si>
  <si>
    <t>快速路</t>
    <phoneticPr fontId="31" type="noConversion"/>
  </si>
  <si>
    <t>高速路</t>
    <phoneticPr fontId="31" type="noConversion"/>
  </si>
  <si>
    <t>主干道</t>
    <phoneticPr fontId="31" type="noConversion"/>
  </si>
  <si>
    <t>次干道</t>
    <phoneticPr fontId="31" type="noConversion"/>
  </si>
  <si>
    <t>支路</t>
    <phoneticPr fontId="31" type="noConversion"/>
  </si>
  <si>
    <t>规则</t>
  </si>
  <si>
    <t>规则</t>
    <phoneticPr fontId="31" type="noConversion"/>
  </si>
  <si>
    <t>较规则</t>
  </si>
  <si>
    <t>较规则</t>
    <phoneticPr fontId="31" type="noConversion"/>
  </si>
  <si>
    <t>较不规则</t>
    <phoneticPr fontId="31" type="noConversion"/>
  </si>
  <si>
    <t>不规则</t>
  </si>
  <si>
    <t>不规则</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</si>
  <si>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</si>
  <si>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</si>
  <si>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</si>
  <si>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</si>
  <si>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</si>
  <si>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</si>
  <si>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</si>
  <si>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</si>
  <si>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</si>
  <si>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</si>
  <si>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项目局部</t>
  </si>
  <si>
    <t>成本法</t>
  </si>
  <si>
    <t>假设开发法</t>
  </si>
  <si>
    <t>楼号</t>
    <phoneticPr fontId="143" type="noConversion"/>
  </si>
  <si>
    <t>规划建筑面积</t>
    <phoneticPr fontId="143" type="noConversion"/>
  </si>
  <si>
    <t>分摊土地面积</t>
    <phoneticPr fontId="143" type="noConversion"/>
  </si>
  <si>
    <t>住宅</t>
    <phoneticPr fontId="143" type="noConversion"/>
  </si>
  <si>
    <t>设备用房</t>
    <phoneticPr fontId="143" type="noConversion"/>
  </si>
  <si>
    <r>
      <t>1</t>
    </r>
    <r>
      <rPr>
        <sz val="11"/>
        <color theme="1"/>
        <rFont val="宋体"/>
        <family val="3"/>
        <charset val="134"/>
        <scheme val="minor"/>
      </rPr>
      <t>#</t>
    </r>
    <phoneticPr fontId="143" type="noConversion"/>
  </si>
  <si>
    <r>
      <t>2</t>
    </r>
    <r>
      <rPr>
        <sz val="11"/>
        <color theme="1"/>
        <rFont val="宋体"/>
        <family val="3"/>
        <charset val="134"/>
        <scheme val="minor"/>
      </rPr>
      <t>#</t>
    </r>
    <phoneticPr fontId="143" type="noConversion"/>
  </si>
  <si>
    <t>合计</t>
    <phoneticPr fontId="143" type="noConversion"/>
  </si>
  <si>
    <t>成本比率</t>
  </si>
  <si>
    <t>比较因素</t>
  </si>
  <si>
    <t>估价对象</t>
  </si>
  <si>
    <r>
      <t>案例：</t>
    </r>
    <r>
      <rPr>
        <sz val="9"/>
        <color rgb="FFE36C0A"/>
        <rFont val="Arial"/>
        <family val="2"/>
      </rPr>
      <t>A</t>
    </r>
  </si>
  <si>
    <r>
      <t>案例：</t>
    </r>
    <r>
      <rPr>
        <sz val="9"/>
        <color rgb="FFE36C0A"/>
        <rFont val="Arial"/>
        <family val="2"/>
      </rPr>
      <t>B</t>
    </r>
  </si>
  <si>
    <r>
      <t>案例：</t>
    </r>
    <r>
      <rPr>
        <sz val="9"/>
        <color rgb="FFE36C0A"/>
        <rFont val="Arial"/>
        <family val="2"/>
      </rPr>
      <t>C</t>
    </r>
  </si>
  <si>
    <t>项目名称</t>
  </si>
  <si>
    <t>地址</t>
  </si>
  <si>
    <r>
      <t>成交价格（元</t>
    </r>
    <r>
      <rPr>
        <sz val="9"/>
        <color theme="1"/>
        <rFont val="Arial"/>
        <family val="2"/>
      </rPr>
      <t>/</t>
    </r>
    <r>
      <rPr>
        <sz val="9"/>
        <color rgb="FF000000"/>
        <rFont val="Arial"/>
        <family val="2"/>
      </rPr>
      <t xml:space="preserve"> m</t>
    </r>
    <r>
      <rPr>
        <vertAlign val="superscript"/>
        <sz val="9"/>
        <color rgb="FF000000"/>
        <rFont val="Arial"/>
        <family val="2"/>
      </rPr>
      <t>2</t>
    </r>
    <r>
      <rPr>
        <sz val="9"/>
        <color theme="1"/>
        <rFont val="华文细黑"/>
        <family val="3"/>
        <charset val="134"/>
      </rPr>
      <t>）</t>
    </r>
  </si>
  <si>
    <t>待估</t>
  </si>
  <si>
    <t>交易时间</t>
  </si>
  <si>
    <t>市场状况</t>
  </si>
  <si>
    <t>权益状况</t>
  </si>
  <si>
    <t>土地使用年限（年）</t>
  </si>
  <si>
    <t>容积率</t>
  </si>
  <si>
    <t>区位状况</t>
  </si>
  <si>
    <t>居住社区成熟度</t>
  </si>
  <si>
    <t>交通便捷度</t>
  </si>
  <si>
    <t>区域土地利用方向</t>
  </si>
  <si>
    <t>自然及人文环境状况</t>
  </si>
  <si>
    <t>公共配套设施</t>
  </si>
  <si>
    <t>基础设施水平</t>
  </si>
  <si>
    <t>实物状况</t>
  </si>
  <si>
    <r>
      <t>宗地面积（</t>
    </r>
    <r>
      <rPr>
        <sz val="9"/>
        <color rgb="FF000000"/>
        <rFont val="Arial"/>
        <family val="2"/>
      </rPr>
      <t>m</t>
    </r>
    <r>
      <rPr>
        <vertAlign val="superscript"/>
        <sz val="9"/>
        <color rgb="FF000000"/>
        <rFont val="Arial"/>
        <family val="2"/>
      </rPr>
      <t>2</t>
    </r>
    <r>
      <rPr>
        <sz val="9"/>
        <color rgb="FF000000"/>
        <rFont val="华文细黑"/>
        <family val="3"/>
        <charset val="134"/>
      </rPr>
      <t>）</t>
    </r>
  </si>
  <si>
    <t>宗地形状</t>
  </si>
  <si>
    <t>临街宽度及深度</t>
  </si>
  <si>
    <t>比例较适宜</t>
  </si>
  <si>
    <t>宗地开发程度</t>
  </si>
  <si>
    <t>工程地质条件</t>
  </si>
  <si>
    <t>P（2017）081号</t>
    <phoneticPr fontId="31" type="noConversion"/>
  </si>
  <si>
    <t>P（2017）081号</t>
    <phoneticPr fontId="143" type="noConversion"/>
  </si>
  <si>
    <t>江夏区大桥新区豹山村</t>
    <phoneticPr fontId="31" type="noConversion"/>
  </si>
  <si>
    <t>江夏区大桥新区豹山村</t>
    <phoneticPr fontId="143" type="noConversion"/>
  </si>
  <si>
    <t>P（2017）082号</t>
    <phoneticPr fontId="3" type="noConversion"/>
  </si>
  <si>
    <t>P（2017）082号</t>
    <phoneticPr fontId="143" type="noConversion"/>
  </si>
  <si>
    <t>江夏区大桥新区豹山村</t>
    <phoneticPr fontId="3" type="noConversion"/>
  </si>
  <si>
    <t>P（2017）083号</t>
    <phoneticPr fontId="3" type="noConversion"/>
  </si>
  <si>
    <t>P（2017）083号</t>
    <phoneticPr fontId="143" type="noConversion"/>
  </si>
  <si>
    <t>住宅</t>
    <phoneticPr fontId="143" type="noConversion"/>
  </si>
  <si>
    <t>较好</t>
    <phoneticPr fontId="143" type="noConversion"/>
  </si>
  <si>
    <t>周边有豹山小区等社区，社区发展完善程度一般。综合考虑居住社区成熟度较好</t>
    <phoneticPr fontId="143" type="noConversion"/>
  </si>
  <si>
    <t>周边1公里范围内道路密集，有城市快速路武昌大道、城市主干道文化大道、城市次干道环湖路及若干城市支路等各级市政道路，项目紧邻城市主干道文化大道；区域内公共交通便捷度一般，有905、908、921等不足五条公交线路设站，但正在建设中的地铁7号线二期预计2018年底通车投入使用，且大花岭街站距估价对象所属项目约100米。综合考虑估价对象所处区域交通条件好；</t>
    <phoneticPr fontId="143" type="noConversion"/>
  </si>
  <si>
    <t>周边有中建汤逊湖壹号、新长江香榭湾、菩提苑、联投荣域、红旗小区等多种规模的新旧社区，社区发展完善程度较好。综合考虑居住社区成熟度较好；</t>
    <phoneticPr fontId="143" type="noConversion"/>
  </si>
  <si>
    <t>周边1公里范围内道路较密集，区域内公共交通便捷度一般，有917、918等不足五条公交线路设站，综合考虑估价对象所处区域交通条件一般；</t>
    <phoneticPr fontId="143" type="noConversion"/>
  </si>
  <si>
    <t>较好</t>
    <phoneticPr fontId="143" type="noConversion"/>
  </si>
  <si>
    <t>自然及人文环境状况</t>
    <phoneticPr fontId="143" type="noConversion"/>
  </si>
  <si>
    <t>周边2公里范围内有汤逊湖壹号湿地公园、鹏湖公园等小型城市公园，绿化程度较好，自然环境好；2公里范围内有华中师范大学汉口学院、武汉东湖学院、长江工程职业技术学院等高等院校，缺乏文物古迹、体育场馆、公共文化活动场所等，人文环境一般。综合考虑自然及人文环境状况较好；</t>
    <phoneticPr fontId="143" type="noConversion"/>
  </si>
  <si>
    <t>公共配套设施</t>
    <phoneticPr fontId="143" type="noConversion"/>
  </si>
  <si>
    <t>周边1公里内的公共服务配套设施情况一般，有购物场所（中百超市）、医院（武汉大学城医院、汉口学院医院）、银行（武汉市农村商业银行、中国银行）、学校（江夏区大花岭小学、大桥中学）、餐饮等公共服务配套设施，公共配套设施状况一般；</t>
    <phoneticPr fontId="143" type="noConversion"/>
  </si>
  <si>
    <t>区域基础设施水平</t>
    <phoneticPr fontId="143" type="noConversion"/>
  </si>
  <si>
    <t>六通</t>
    <phoneticPr fontId="143" type="noConversion"/>
  </si>
  <si>
    <t>不规则</t>
    <phoneticPr fontId="143" type="noConversion"/>
  </si>
  <si>
    <t>规则</t>
    <phoneticPr fontId="143" type="noConversion"/>
  </si>
  <si>
    <t>一般</t>
    <phoneticPr fontId="143" type="noConversion"/>
  </si>
  <si>
    <t>六通</t>
    <phoneticPr fontId="143" type="noConversion"/>
  </si>
  <si>
    <r>
      <t>案例：</t>
    </r>
    <r>
      <rPr>
        <sz val="9"/>
        <color theme="1"/>
        <rFont val="Arial"/>
        <family val="2"/>
      </rPr>
      <t>A</t>
    </r>
  </si>
  <si>
    <r>
      <t>案例：</t>
    </r>
    <r>
      <rPr>
        <sz val="9"/>
        <color theme="1"/>
        <rFont val="Arial"/>
        <family val="2"/>
      </rPr>
      <t>B</t>
    </r>
  </si>
  <si>
    <r>
      <t>案例：</t>
    </r>
    <r>
      <rPr>
        <sz val="9"/>
        <color theme="1"/>
        <rFont val="Arial"/>
        <family val="2"/>
      </rPr>
      <t>C</t>
    </r>
  </si>
  <si>
    <t>交易情况</t>
  </si>
  <si>
    <t>100/</t>
  </si>
  <si>
    <t>土地使用年限</t>
  </si>
  <si>
    <r>
      <t>销售价格（元</t>
    </r>
    <r>
      <rPr>
        <sz val="9"/>
        <color theme="1"/>
        <rFont val="Arial"/>
        <family val="2"/>
      </rPr>
      <t>/</t>
    </r>
    <r>
      <rPr>
        <sz val="9"/>
        <color theme="1"/>
        <rFont val="华文细黑"/>
        <family val="3"/>
        <charset val="134"/>
      </rPr>
      <t>平方米）</t>
    </r>
  </si>
  <si>
    <r>
      <t>比较价值（元</t>
    </r>
    <r>
      <rPr>
        <sz val="9"/>
        <color theme="1"/>
        <rFont val="Arial"/>
        <family val="2"/>
      </rPr>
      <t>/</t>
    </r>
    <r>
      <rPr>
        <sz val="9"/>
        <color theme="1"/>
        <rFont val="华文细黑"/>
        <family val="3"/>
        <charset val="134"/>
      </rPr>
      <t>平方米）</t>
    </r>
  </si>
  <si>
    <t>交易时间</t>
    <phoneticPr fontId="143" type="noConversion"/>
  </si>
  <si>
    <t>案例：D</t>
    <phoneticPr fontId="143" type="noConversion"/>
  </si>
  <si>
    <t>案例：E</t>
    <phoneticPr fontId="143" type="noConversion"/>
  </si>
  <si>
    <t>案例：F</t>
    <phoneticPr fontId="143" type="noConversion"/>
  </si>
  <si>
    <t>江南新天地</t>
    <phoneticPr fontId="143" type="noConversion"/>
  </si>
  <si>
    <t>联投龙湾四期</t>
    <phoneticPr fontId="3" type="noConversion"/>
  </si>
  <si>
    <t>联投龙湾四期</t>
    <phoneticPr fontId="143" type="noConversion"/>
  </si>
  <si>
    <t>江夏区珞狮南路延长线文化大道（武汉东湖学院旁）</t>
    <phoneticPr fontId="3" type="noConversion"/>
  </si>
  <si>
    <t>中锐.滨湖尚城</t>
    <phoneticPr fontId="3" type="noConversion"/>
  </si>
  <si>
    <r>
      <rPr>
        <sz val="9"/>
        <color rgb="FF000000"/>
        <rFont val="宋体"/>
        <family val="3"/>
        <charset val="134"/>
      </rPr>
      <t>中锐</t>
    </r>
    <r>
      <rPr>
        <sz val="9"/>
        <color rgb="FF000000"/>
        <rFont val="Arial"/>
        <family val="2"/>
      </rPr>
      <t>.</t>
    </r>
    <r>
      <rPr>
        <sz val="9"/>
        <color rgb="FF000000"/>
        <rFont val="宋体"/>
        <family val="3"/>
        <charset val="134"/>
      </rPr>
      <t>滨湖尚城</t>
    </r>
    <phoneticPr fontId="143" type="noConversion"/>
  </si>
  <si>
    <t>江夏区腾讯大道与金龙大街交汇处</t>
    <phoneticPr fontId="3" type="noConversion"/>
  </si>
  <si>
    <t>江夏区腾讯大道与金龙大街交汇处</t>
    <phoneticPr fontId="143" type="noConversion"/>
  </si>
  <si>
    <t>枫泽星都汇</t>
    <phoneticPr fontId="3" type="noConversion"/>
  </si>
  <si>
    <t>枫泽星都汇</t>
    <phoneticPr fontId="143" type="noConversion"/>
  </si>
  <si>
    <t>江夏区文化大道西侧（大桥新区办事处西北侧）</t>
    <phoneticPr fontId="3" type="noConversion"/>
  </si>
  <si>
    <t>江夏区文化大道西侧（大桥新区办事处西北侧）</t>
    <phoneticPr fontId="143" type="noConversion"/>
  </si>
  <si>
    <t>江夏区珞狮南路延长线文化大道（武汉东湖学院旁）</t>
    <phoneticPr fontId="143" type="noConversion"/>
  </si>
  <si>
    <t>江夏区珞狮南路延长线文化大道鹏湖公园</t>
    <phoneticPr fontId="143" type="noConversion"/>
  </si>
  <si>
    <t>正常</t>
    <phoneticPr fontId="143" type="noConversion"/>
  </si>
  <si>
    <t>住宅</t>
    <phoneticPr fontId="143" type="noConversion"/>
  </si>
  <si>
    <r>
      <t>50-60</t>
    </r>
    <r>
      <rPr>
        <sz val="9"/>
        <color rgb="FF000000"/>
        <rFont val="宋体"/>
        <family val="3"/>
        <charset val="134"/>
      </rPr>
      <t>年</t>
    </r>
    <phoneticPr fontId="143" type="noConversion"/>
  </si>
  <si>
    <r>
      <t>60-70</t>
    </r>
    <r>
      <rPr>
        <sz val="9"/>
        <color rgb="FF000000"/>
        <rFont val="宋体"/>
        <family val="3"/>
        <charset val="134"/>
      </rPr>
      <t>年</t>
    </r>
    <phoneticPr fontId="143" type="noConversion"/>
  </si>
  <si>
    <t>主力户型建筑面积</t>
    <phoneticPr fontId="143" type="noConversion"/>
  </si>
  <si>
    <t>好</t>
    <phoneticPr fontId="143" type="noConversion"/>
  </si>
  <si>
    <t>六通</t>
    <phoneticPr fontId="143" type="noConversion"/>
  </si>
  <si>
    <t>普通住宅</t>
    <phoneticPr fontId="143" type="noConversion"/>
  </si>
  <si>
    <t>钢混</t>
    <phoneticPr fontId="143" type="noConversion"/>
  </si>
  <si>
    <t>中档</t>
    <phoneticPr fontId="143" type="noConversion"/>
  </si>
  <si>
    <t>精装修</t>
    <phoneticPr fontId="143" type="noConversion"/>
  </si>
  <si>
    <t>专业</t>
    <phoneticPr fontId="143" type="noConversion"/>
  </si>
  <si>
    <t>六通</t>
    <phoneticPr fontId="143" type="noConversion"/>
  </si>
  <si>
    <t>120-140</t>
    <phoneticPr fontId="143" type="noConversion"/>
  </si>
  <si>
    <t>80-120</t>
    <phoneticPr fontId="143" type="noConversion"/>
  </si>
  <si>
    <t>销售价格（元/平方米）</t>
  </si>
  <si>
    <t>比较价值（元/平方米）</t>
  </si>
  <si>
    <t>案例：E</t>
    <phoneticPr fontId="143" type="noConversion"/>
  </si>
  <si>
    <t>案例：F</t>
    <phoneticPr fontId="143" type="noConversion"/>
  </si>
  <si>
    <t>序号</t>
  </si>
  <si>
    <t>栋号</t>
  </si>
  <si>
    <t>所在层数</t>
  </si>
  <si>
    <t>房号</t>
  </si>
  <si>
    <t>房屋用途</t>
  </si>
  <si>
    <t>预测建筑面积</t>
  </si>
  <si>
    <t>在建工程价值</t>
  </si>
  <si>
    <r>
      <t>　</t>
    </r>
    <r>
      <rPr>
        <sz val="9"/>
        <color theme="1"/>
        <rFont val="Arial"/>
        <family val="2"/>
      </rPr>
      <t>/</t>
    </r>
  </si>
  <si>
    <r>
      <t> </t>
    </r>
    <r>
      <rPr>
        <sz val="12"/>
        <color theme="1"/>
        <rFont val="宋体"/>
        <family val="3"/>
        <charset val="134"/>
      </rPr>
      <t>与结果表不匹配</t>
    </r>
  </si>
  <si>
    <t>3-1</t>
    <phoneticPr fontId="143" type="noConversion"/>
  </si>
  <si>
    <t>3-2</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</si>
</sst>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9"/>
      <color rgb="FF000000"/>
      <name val="华文细黑"/>
      <family val="3"/>
      <charset val="134"/>
    </font>
    <font>
      <sz val="9"/>
      <color rgb="FF000000"/>
      <name val="Arial"/>
      <family val="2"/>
    </font>
    <font>
      <sz val="9"/>
      <color rgb="FFE36C0A"/>
      <name val="华文细黑"/>
      <family val="3"/>
      <charset val="134"/>
    </font>
    <font>
      <sz val="9"/>
      <color rgb="FFE36C0A"/>
      <name val="Arial"/>
      <family val="2"/>
    </font>
    <font>
      <sz val="9"/>
      <color theme="1"/>
      <name val="华文细黑"/>
      <family val="3"/>
      <charset val="134"/>
    </font>
    <font>
      <sz val="9"/>
      <color theme="1"/>
      <name val="Arial"/>
      <family val="2"/>
    </font>
    <font>
      <vertAlign val="superscript"/>
      <sz val="9"/>
      <color rgb="FF000000"/>
      <name val="Arial"/>
      <family val="2"/>
    </font>
    <font>
      <sz val="9"/>
      <color rgb="FF000000"/>
      <name val="宋体"/>
      <family val="3"/>
      <charset val="134"/>
    </font>
    <font>
      <b/>
      <sz val="9"/>
      <color theme="1"/>
      <name val="宋体"/>
      <family val="3"/>
      <charset val="134"/>
    </font>
    <font>
      <sz val="9"/>
      <color theme="1"/>
      <name val="宋体"/>
      <family val="3"/>
      <charset val="134"/>
    </font>
    <font>
      <sz val="10.5"/>
      <color theme="1"/>
      <name val="Times New Roman"/>
      <family val="1"/>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F0"/>
        <bgColor indexed="64"/>
      </patternFill>
    </fill>
  </fills>
  <borders count="1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254"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11"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5" fillId="0" borderId="0" xfId="0" applyFont="1" applyAlignment="1">
      <alignment horizontal="center" vertical="center"/>
    </xf>
    <xf numFmtId="0" fontId="256" fillId="17" borderId="155" xfId="0" applyFont="1" applyFill="1" applyBorder="1" applyAlignment="1">
      <alignment horizontal="center"/>
    </xf>
    <xf numFmtId="0" fontId="256" fillId="17" borderId="156" xfId="0" applyFont="1" applyFill="1" applyBorder="1" applyAlignment="1">
      <alignment horizontal="center"/>
    </xf>
    <xf numFmtId="0" fontId="99" fillId="0" borderId="0" xfId="0" applyFont="1" applyAlignment="1">
      <alignment horizontal="left" vertical="center" wrapText="1"/>
    </xf>
    <xf numFmtId="0" fontId="0" fillId="0" borderId="157" xfId="0" applyBorder="1" applyAlignment="1">
      <alignment horizontal="right" vertical="center" wrapText="1"/>
    </xf>
    <xf numFmtId="0" fontId="99" fillId="0" borderId="157" xfId="0" applyFont="1" applyBorder="1" applyAlignment="1">
      <alignment horizontal="right" vertical="center" wrapText="1"/>
    </xf>
    <xf numFmtId="0" fontId="99" fillId="18" borderId="0" xfId="0" applyFont="1" applyFill="1" applyAlignment="1">
      <alignment horizontal="left" vertical="center" wrapText="1"/>
    </xf>
    <xf numFmtId="0" fontId="0" fillId="18" borderId="157" xfId="0" applyFill="1" applyBorder="1" applyAlignment="1">
      <alignment horizontal="right" vertical="center" wrapText="1"/>
    </xf>
    <xf numFmtId="0" fontId="99" fillId="18" borderId="157" xfId="0" applyFont="1" applyFill="1" applyBorder="1" applyAlignment="1">
      <alignment horizontal="right" vertical="center" wrapText="1"/>
    </xf>
    <xf numFmtId="0" fontId="257" fillId="19" borderId="0" xfId="0" applyFont="1" applyFill="1" applyAlignment="1">
      <alignment horizontal="left" vertical="center" wrapText="1"/>
    </xf>
    <xf numFmtId="0" fontId="257" fillId="19" borderId="157" xfId="0" applyFont="1" applyFill="1" applyBorder="1" applyAlignment="1">
      <alignment horizontal="right" vertical="center" wrapText="1"/>
    </xf>
    <xf numFmtId="0" fontId="132" fillId="20" borderId="72" xfId="0" applyNumberFormat="1" applyFont="1" applyFill="1" applyBorder="1" applyAlignment="1" applyProtection="1">
      <alignment horizontal="center" vertical="center" wrapText="1"/>
      <protection locked="0"/>
    </xf>
    <xf numFmtId="186" fontId="108" fillId="20" borderId="1" xfId="0" applyNumberFormat="1" applyFont="1" applyFill="1" applyBorder="1" applyAlignment="1" applyProtection="1">
      <alignment horizontal="center" vertical="center"/>
      <protection locked="0"/>
    </xf>
    <xf numFmtId="186" fontId="108" fillId="20" borderId="13" xfId="0" applyNumberFormat="1" applyFont="1" applyFill="1" applyBorder="1" applyAlignment="1" applyProtection="1">
      <alignment horizontal="center" vertical="center"/>
      <protection locked="0"/>
    </xf>
    <xf numFmtId="0" fontId="99" fillId="0" borderId="1" xfId="0" applyFont="1" applyBorder="1">
      <alignment vertical="center"/>
    </xf>
    <xf numFmtId="0" fontId="0" fillId="0" borderId="1" xfId="0" applyBorder="1">
      <alignment vertical="center"/>
    </xf>
    <xf numFmtId="0" fontId="258" fillId="0" borderId="164" xfId="0" applyFont="1" applyBorder="1" applyAlignment="1">
      <alignment vertical="center" wrapText="1"/>
    </xf>
    <xf numFmtId="0" fontId="260" fillId="0" borderId="164" xfId="0" applyFont="1" applyBorder="1" applyAlignment="1">
      <alignment vertical="center" wrapText="1"/>
    </xf>
    <xf numFmtId="0" fontId="260" fillId="0" borderId="163" xfId="0" applyFont="1" applyBorder="1" applyAlignment="1">
      <alignment vertical="center" wrapText="1"/>
    </xf>
    <xf numFmtId="0" fontId="262" fillId="0" borderId="163" xfId="0" applyFont="1" applyBorder="1" applyAlignment="1">
      <alignment vertical="center" wrapText="1"/>
    </xf>
    <xf numFmtId="0" fontId="259" fillId="0" borderId="163" xfId="0" applyFont="1" applyBorder="1" applyAlignment="1">
      <alignment vertical="center" wrapText="1"/>
    </xf>
    <xf numFmtId="31" fontId="259" fillId="0" borderId="163" xfId="0" applyNumberFormat="1" applyFont="1" applyBorder="1" applyAlignment="1">
      <alignment vertical="center" wrapText="1"/>
    </xf>
    <xf numFmtId="0" fontId="258" fillId="0" borderId="163" xfId="0" applyFont="1" applyBorder="1" applyAlignment="1">
      <alignment vertical="center" wrapText="1"/>
    </xf>
    <xf numFmtId="0" fontId="258" fillId="0" borderId="163" xfId="0" applyFont="1" applyBorder="1">
      <alignment vertical="center"/>
    </xf>
    <xf numFmtId="0" fontId="263" fillId="0" borderId="169" xfId="0" applyFont="1" applyBorder="1" applyAlignment="1">
      <alignment vertical="center" wrapText="1"/>
    </xf>
    <xf numFmtId="0" fontId="261" fillId="0" borderId="163" xfId="0" applyFont="1" applyBorder="1" applyAlignment="1">
      <alignment vertical="center" wrapText="1"/>
    </xf>
    <xf numFmtId="0" fontId="262" fillId="0" borderId="163" xfId="0" applyFont="1" applyBorder="1">
      <alignment vertical="center"/>
    </xf>
    <xf numFmtId="0" fontId="265" fillId="0" borderId="163" xfId="0" applyFont="1" applyBorder="1" applyAlignment="1">
      <alignment vertical="center" wrapText="1"/>
    </xf>
    <xf numFmtId="14" fontId="259" fillId="0" borderId="163" xfId="0" applyNumberFormat="1" applyFont="1" applyBorder="1" applyAlignment="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2" fillId="0" borderId="167" xfId="0" applyFont="1" applyBorder="1">
      <alignment vertical="center"/>
    </xf>
    <xf numFmtId="0" fontId="262" fillId="0" borderId="164" xfId="0" applyFont="1" applyBorder="1">
      <alignment vertical="center"/>
    </xf>
    <xf numFmtId="0" fontId="262" fillId="0" borderId="167" xfId="0" applyFont="1" applyBorder="1" applyAlignment="1">
      <alignment vertical="center" wrapText="1"/>
    </xf>
    <xf numFmtId="0" fontId="262" fillId="0" borderId="164" xfId="0" applyFont="1" applyBorder="1" applyAlignment="1">
      <alignment vertical="center" wrapText="1"/>
    </xf>
    <xf numFmtId="0" fontId="262" fillId="0" borderId="168" xfId="0" applyFont="1" applyBorder="1" applyAlignment="1">
      <alignment horizontal="center" vertical="center" textRotation="255" wrapText="1"/>
    </xf>
    <xf numFmtId="0" fontId="262" fillId="0" borderId="166" xfId="0" applyFont="1" applyBorder="1" applyAlignment="1">
      <alignment horizontal="center" vertical="center" textRotation="255" wrapText="1"/>
    </xf>
    <xf numFmtId="0" fontId="262" fillId="0" borderId="165" xfId="0" applyFont="1" applyBorder="1" applyAlignment="1">
      <alignment horizontal="center" vertical="center" textRotation="255" wrapText="1"/>
    </xf>
    <xf numFmtId="0" fontId="258" fillId="0" borderId="167" xfId="0" applyFont="1" applyBorder="1">
      <alignment vertical="center"/>
    </xf>
    <xf numFmtId="0" fontId="258" fillId="0" borderId="164" xfId="0" applyFont="1" applyBorder="1">
      <alignment vertical="center"/>
    </xf>
    <xf numFmtId="0" fontId="258" fillId="0" borderId="168" xfId="0" applyFont="1" applyBorder="1">
      <alignment vertical="center"/>
    </xf>
    <xf numFmtId="0" fontId="258" fillId="0" borderId="166" xfId="0" applyFont="1" applyBorder="1">
      <alignment vertical="center"/>
    </xf>
    <xf numFmtId="0" fontId="258" fillId="0" borderId="165" xfId="0" applyFont="1" applyBorder="1">
      <alignment vertical="center"/>
    </xf>
    <xf numFmtId="0" fontId="258" fillId="0" borderId="27" xfId="0" applyFont="1" applyBorder="1">
      <alignment vertical="center"/>
    </xf>
    <xf numFmtId="0" fontId="258" fillId="0" borderId="80" xfId="0" applyFont="1" applyBorder="1">
      <alignment vertical="center"/>
    </xf>
    <xf numFmtId="0" fontId="258" fillId="0" borderId="81" xfId="0" applyFont="1" applyBorder="1">
      <alignment vertical="center"/>
    </xf>
    <xf numFmtId="0" fontId="258" fillId="0" borderId="158" xfId="0" applyFont="1" applyBorder="1">
      <alignment vertical="center"/>
    </xf>
    <xf numFmtId="0" fontId="258" fillId="0" borderId="159" xfId="0" applyFont="1" applyBorder="1">
      <alignment vertical="center"/>
    </xf>
    <xf numFmtId="0" fontId="258" fillId="0" borderId="160" xfId="0" applyFont="1" applyBorder="1">
      <alignment vertical="center"/>
    </xf>
    <xf numFmtId="0" fontId="258" fillId="0" borderId="161" xfId="0" applyFont="1" applyBorder="1">
      <alignment vertical="center"/>
    </xf>
    <xf numFmtId="0" fontId="258" fillId="0" borderId="162" xfId="0" applyFont="1" applyBorder="1">
      <alignment vertical="center"/>
    </xf>
    <xf numFmtId="0" fontId="258" fillId="0" borderId="163" xfId="0" applyFont="1" applyBorder="1">
      <alignment vertical="center"/>
    </xf>
    <xf numFmtId="0" fontId="258" fillId="0" borderId="167" xfId="0" applyFont="1" applyBorder="1" applyAlignment="1">
      <alignment vertical="center" wrapText="1"/>
    </xf>
    <xf numFmtId="0" fontId="258" fillId="0" borderId="164" xfId="0" applyFont="1" applyBorder="1" applyAlignment="1">
      <alignment vertical="center" wrapText="1"/>
    </xf>
    <xf numFmtId="0" fontId="260" fillId="0" borderId="167" xfId="0" applyFont="1" applyBorder="1" applyAlignment="1">
      <alignment vertical="center" wrapText="1"/>
    </xf>
    <xf numFmtId="0" fontId="260" fillId="0" borderId="164" xfId="0" applyFont="1" applyBorder="1" applyAlignment="1">
      <alignment vertical="center" wrapText="1"/>
    </xf>
    <xf numFmtId="0" fontId="265" fillId="0" borderId="167" xfId="0" applyFont="1" applyBorder="1" applyAlignment="1">
      <alignment horizontal="center" vertical="center" wrapText="1"/>
    </xf>
    <xf numFmtId="0" fontId="265" fillId="0" borderId="164" xfId="0" applyFont="1" applyBorder="1" applyAlignment="1">
      <alignment horizontal="center" vertical="center" wrapText="1"/>
    </xf>
    <xf numFmtId="0" fontId="260" fillId="0" borderId="167" xfId="0" applyFont="1" applyBorder="1" applyAlignment="1">
      <alignment horizontal="center" vertical="center" wrapText="1"/>
    </xf>
    <xf numFmtId="0" fontId="260" fillId="0" borderId="164" xfId="0" applyFont="1" applyBorder="1" applyAlignment="1">
      <alignment horizontal="center" vertical="center" wrapText="1"/>
    </xf>
    <xf numFmtId="0" fontId="259" fillId="0" borderId="167" xfId="0" applyFont="1" applyBorder="1" applyAlignment="1">
      <alignment horizontal="center" vertical="center" wrapText="1"/>
    </xf>
    <xf numFmtId="0" fontId="259" fillId="0" borderId="164" xfId="0" applyFont="1" applyBorder="1" applyAlignment="1">
      <alignment horizontal="center" vertical="center" wrapText="1"/>
    </xf>
    <xf numFmtId="0" fontId="263" fillId="0" borderId="167" xfId="0" applyFont="1" applyBorder="1">
      <alignment vertical="center"/>
    </xf>
    <xf numFmtId="0" fontId="263" fillId="0" borderId="164" xfId="0" applyFont="1" applyBorder="1">
      <alignment vertical="center"/>
    </xf>
    <xf numFmtId="0" fontId="262" fillId="0" borderId="168" xfId="0" applyFont="1" applyBorder="1" applyAlignment="1">
      <alignment horizontal="center" vertical="center" wrapText="1"/>
    </xf>
    <xf numFmtId="0" fontId="262" fillId="0" borderId="166" xfId="0" applyFont="1" applyBorder="1" applyAlignment="1">
      <alignment horizontal="center" vertical="center" wrapText="1"/>
    </xf>
    <xf numFmtId="0" fontId="262" fillId="0" borderId="165" xfId="0" applyFont="1" applyBorder="1" applyAlignment="1">
      <alignment horizontal="center" vertical="center" wrapText="1"/>
    </xf>
    <xf numFmtId="0" fontId="258" fillId="0" borderId="168" xfId="0" applyFont="1" applyBorder="1" applyAlignment="1">
      <alignment vertical="center" wrapText="1"/>
    </xf>
    <xf numFmtId="0" fontId="258" fillId="0" borderId="166" xfId="0" applyFont="1" applyBorder="1" applyAlignment="1">
      <alignment vertical="center" wrapText="1"/>
    </xf>
    <xf numFmtId="0" fontId="258" fillId="0" borderId="168" xfId="0" applyFont="1" applyBorder="1" applyAlignment="1">
      <alignment horizontal="center" vertical="center" wrapText="1"/>
    </xf>
    <xf numFmtId="0" fontId="258" fillId="0" borderId="166" xfId="0" applyFont="1" applyBorder="1" applyAlignment="1">
      <alignment horizontal="center" vertical="center" wrapText="1"/>
    </xf>
    <xf numFmtId="0" fontId="258" fillId="0" borderId="165" xfId="0" applyFont="1" applyBorder="1" applyAlignment="1">
      <alignment horizontal="center" vertical="center" wrapText="1"/>
    </xf>
    <xf numFmtId="0" fontId="99" fillId="0" borderId="1" xfId="0" applyFont="1" applyBorder="1" applyAlignment="1">
      <alignment horizontal="center" vertical="center"/>
    </xf>
    <xf numFmtId="0" fontId="266" fillId="0" borderId="82" xfId="0" applyFont="1" applyBorder="1" applyAlignment="1">
      <alignment horizontal="justify" vertical="center" wrapText="1"/>
    </xf>
    <xf numFmtId="0" fontId="266" fillId="0" borderId="65" xfId="0" applyFont="1" applyBorder="1" applyAlignment="1">
      <alignment horizontal="justify" vertical="center" wrapText="1"/>
    </xf>
    <xf numFmtId="0" fontId="263" fillId="0" borderId="81" xfId="0" applyFont="1" applyBorder="1" applyAlignment="1">
      <alignment horizontal="justify" vertical="center" wrapText="1"/>
    </xf>
    <xf numFmtId="0" fontId="263" fillId="0" borderId="43" xfId="0" applyFont="1" applyBorder="1" applyAlignment="1">
      <alignment horizontal="justify" vertical="center" wrapText="1"/>
    </xf>
    <xf numFmtId="0" fontId="267" fillId="0" borderId="43" xfId="0" applyFont="1" applyBorder="1" applyAlignment="1">
      <alignment horizontal="justify" vertical="center" wrapText="1"/>
    </xf>
    <xf numFmtId="0" fontId="263" fillId="0" borderId="43" xfId="0" applyFont="1" applyBorder="1" applyAlignment="1">
      <alignment horizontal="justify" vertical="center"/>
    </xf>
    <xf numFmtId="0" fontId="267" fillId="13" borderId="43" xfId="0" applyFont="1" applyFill="1" applyBorder="1" applyAlignment="1">
      <alignment horizontal="justify" vertical="center"/>
    </xf>
    <xf numFmtId="0" fontId="263" fillId="13" borderId="43" xfId="0" applyFont="1" applyFill="1" applyBorder="1" applyAlignment="1">
      <alignment horizontal="justify" vertical="center"/>
    </xf>
    <xf numFmtId="0" fontId="267" fillId="13" borderId="63" xfId="0" applyFont="1" applyFill="1" applyBorder="1" applyAlignment="1">
      <alignment horizontal="justify" vertical="center"/>
    </xf>
    <xf numFmtId="0" fontId="267" fillId="13" borderId="64" xfId="0" applyFont="1" applyFill="1" applyBorder="1" applyAlignment="1">
      <alignment horizontal="justify" vertical="center"/>
    </xf>
    <xf numFmtId="0" fontId="267" fillId="13" borderId="65" xfId="0" applyFont="1" applyFill="1" applyBorder="1" applyAlignment="1">
      <alignment horizontal="justify" vertical="center"/>
    </xf>
    <xf numFmtId="0" fontId="268" fillId="0" borderId="0" xfId="0" applyFont="1">
      <alignment vertical="center"/>
    </xf>
    <xf numFmtId="49" fontId="0" fillId="0" borderId="0" xfId="0" applyNumberFormat="1">
      <alignment vertical="center"/>
    </xf>
    <xf numFmtId="49" fontId="266" fillId="0" borderId="65" xfId="0" applyNumberFormat="1" applyFont="1" applyBorder="1" applyAlignment="1">
      <alignment horizontal="justify" vertical="center" wrapText="1"/>
    </xf>
    <xf numFmtId="49" fontId="263" fillId="0" borderId="43" xfId="0" applyNumberFormat="1" applyFont="1" applyBorder="1" applyAlignment="1">
      <alignment horizontal="justify"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湖北省武汉市江夏区纸坊街红旗村“江南新天地”（又名“鹏湖湾”）项目出让国有建设用地使用权及在建建筑物房地产抵押价值预评估</v>
      </c>
    </row>
    <row r="3" spans="1:2" s="1595" customFormat="1">
      <c r="A3" s="1593" t="s">
        <v>1221</v>
      </c>
      <c r="B3" s="1594" t="str">
        <f>'预评函-封皮'!B40</f>
        <v>武汉伟鹏房地产开发建筑有限公司</v>
      </c>
    </row>
    <row r="4" spans="1:2" s="1595" customFormat="1">
      <c r="A4" s="1593" t="s">
        <v>1222</v>
      </c>
      <c r="B4" s="1594" t="str">
        <f ca="1">'预评函-封皮'!B46</f>
        <v>郑燚（注册号：1120070131)、王萌（注册号：1120130048)</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受贵公司委托，我公司对湖北省武汉市江夏区纸坊街红旗村“江南新天地”（又名“鹏湖湾”）项目出让国有建设用地使用权及在建建筑物房地产抵押价值进行了预评估。</v>
      </c>
    </row>
    <row r="7" spans="1:2" s="1595" customFormat="1">
      <c r="A7" s="1593" t="s">
        <v>1264</v>
      </c>
      <c r="B7" s="1594" t="str">
        <f>'预评函-1'!A7</f>
        <v>估价对象为湖北省武汉市江夏区纸坊街红旗村“江南新天地”（又名“鹏湖湾”）项目出让国有建设用地使用权及在建建筑物房地产，为武汉伟鹏房地产开发建筑有限公司所有。根据《国有土地使用证》[夏国用（2007）第268号]、《武汉市江夏区鹏湖湾三期房产面积预测技术报告书》[编号：2016099、2017018]、《委托估价函》，估价对象（分摊）出让国有建设用地使用权面积为13519.93平方米，建筑面积为43189.02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湖北省武汉市江夏区纸坊街红旗村“江南新天地”（又名“鹏湖湾”）项目出让国有建设用地使用权及在建建筑物房地产,属武汉伟鹏房地产开发建筑有限公司开发建设的居住项目，该项目尚在开发建设中。根据《国有土地使用证》[夏国用（2007）第268号]、《武汉市江夏区鹏湖湾三期房产面积预测技术报告书》[编号：2016099、2017018]、《委托估价函》，估价对象（分摊）出让国有建设用地使用权面积为13519.93平方米，规划建筑面积为43189.02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为估价委托人在向中诚信托有限责任公司办理贷款手续过程中，确定房地产抵押贷款额度提供参考依据而评估房地产抵押价值。</v>
      </c>
    </row>
    <row r="12" spans="1:2" s="1595" customFormat="1">
      <c r="A12" s="1593" t="s">
        <v>1226</v>
      </c>
      <c r="B12" s="1594" t="str">
        <f>'预评函-1'!A15</f>
        <v>2018年6月11日（评估专业人员实地查勘之日）</v>
      </c>
    </row>
    <row r="13" spans="1:2" s="1595" customFormat="1">
      <c r="A13" s="1593" t="s">
        <v>1227</v>
      </c>
      <c r="B13" s="1594" t="str">
        <f>'预评函-1'!A18</f>
        <v>本次估价的“房地产价值”是指在正常市场情况下，在价值时点2018年6月11日，估价对象规划用途为住宅，土地取得方式为出让，出让国有建设用地使用权剩余土地使用年限为住宅58.89年，假定未设立法定优先受偿款下的房地产市场价值。</v>
      </c>
    </row>
    <row r="14" spans="1:2" s="1595" customFormat="1">
      <c r="A14" s="1593" t="s">
        <v>1228</v>
      </c>
      <c r="B14" s="1594" t="str">
        <f>'预评函-1'!A19</f>
        <v>其中，“出让国有建设用地使用权价值”是指估价对象用途为住宅，实际开发程度为宗地红线外“七通”（即、、、、、、）、红线内场地平整条件下，剩余土地使用年限为住宅58.89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34506</v>
      </c>
    </row>
    <row r="21" spans="1:2" s="1595" customFormat="1">
      <c r="A21" s="1593" t="s">
        <v>1235</v>
      </c>
      <c r="B21" s="1594">
        <f ca="1">'预评函-2'!D7</f>
        <v>7990</v>
      </c>
    </row>
    <row r="22" spans="1:2" s="1595" customFormat="1">
      <c r="A22" s="1593" t="s">
        <v>1236</v>
      </c>
      <c r="B22" s="1594" t="str">
        <f ca="1">'预评函-2'!D6</f>
        <v>叁亿肆仟伍佰零陆万元整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34506</v>
      </c>
    </row>
    <row r="31" spans="1:2" s="1595" customFormat="1">
      <c r="A31" s="1593" t="s">
        <v>1274</v>
      </c>
      <c r="B31" s="1594">
        <f ca="1">'预评函-2'!D15</f>
        <v>7990</v>
      </c>
    </row>
    <row r="32" spans="1:2" s="1595" customFormat="1">
      <c r="A32" s="1593" t="s">
        <v>1241</v>
      </c>
      <c r="B32" s="1594" t="str">
        <f ca="1">'预评函-2'!D14</f>
        <v>叁亿肆仟伍佰零陆万元整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湖北省武汉市江夏区纸坊街红旗村“江南新天地”（又名“鹏湖湾”）项目出让国有建设用地使用权及在建建筑物房地产</v>
      </c>
    </row>
    <row r="42" spans="1:2" s="1595" customFormat="1">
      <c r="A42" s="1593" t="s">
        <v>1288</v>
      </c>
      <c r="B42" s="1594" t="str">
        <f>'预评函-3'!B2</f>
        <v>建筑面积</v>
      </c>
    </row>
    <row r="43" spans="1:2" s="1595" customFormat="1">
      <c r="A43" s="1593" t="s">
        <v>1289</v>
      </c>
      <c r="B43" s="1594">
        <f>'预评函-3'!B4</f>
        <v>43189.020000000004</v>
      </c>
    </row>
    <row r="44" spans="1:2" s="1595" customFormat="1">
      <c r="A44" s="1593" t="s">
        <v>1273</v>
      </c>
      <c r="B44" s="1594" t="str">
        <f>'预评函-3'!C2</f>
        <v>(分摊)土地面积</v>
      </c>
    </row>
    <row r="45" spans="1:2" s="1595" customFormat="1">
      <c r="A45" s="1593" t="s">
        <v>1245</v>
      </c>
      <c r="B45" s="1594">
        <f>'预评函-3'!C4</f>
        <v>13519.93</v>
      </c>
    </row>
    <row r="46" spans="1:2" s="1595" customFormat="1">
      <c r="A46" s="1593" t="s">
        <v>1271</v>
      </c>
      <c r="B46" s="1594" t="str">
        <f>'预评函-3'!D2</f>
        <v>出让国有建设用地使用权价值</v>
      </c>
    </row>
    <row r="47" spans="1:2" s="1595" customFormat="1">
      <c r="A47" s="1593" t="s">
        <v>1246</v>
      </c>
      <c r="B47" s="1594">
        <f ca="1">'预评函-3'!D4</f>
        <v>31090</v>
      </c>
    </row>
    <row r="48" spans="1:2" s="1595" customFormat="1">
      <c r="A48" s="1593" t="s">
        <v>1247</v>
      </c>
      <c r="B48" s="1594">
        <f ca="1">'预评函-3'!E4</f>
        <v>7199</v>
      </c>
    </row>
    <row r="49" spans="1:2" s="1595" customFormat="1">
      <c r="A49" s="1593" t="s">
        <v>1248</v>
      </c>
      <c r="B49" s="1594" t="str">
        <f ca="1">'预评函-3'!D5</f>
        <v>叁亿壹仟零玖拾万元整</v>
      </c>
    </row>
    <row r="50" spans="1:2" s="1595" customFormat="1">
      <c r="A50" s="1593" t="s">
        <v>1272</v>
      </c>
      <c r="B50" s="1594" t="str">
        <f>'预评函-3'!F2</f>
        <v>在建建筑物价值</v>
      </c>
    </row>
    <row r="51" spans="1:2" s="1595" customFormat="1">
      <c r="A51" s="1593" t="s">
        <v>1249</v>
      </c>
      <c r="B51" s="1594">
        <f ca="1">'预评函-3'!F4</f>
        <v>3416</v>
      </c>
    </row>
    <row r="52" spans="1:2" s="1595" customFormat="1">
      <c r="A52" s="1593" t="s">
        <v>1250</v>
      </c>
      <c r="B52" s="1594">
        <f ca="1">'预评函-3'!G4</f>
        <v>791</v>
      </c>
    </row>
    <row r="53" spans="1:2" s="1595" customFormat="1">
      <c r="A53" s="1593" t="s">
        <v>1278</v>
      </c>
      <c r="B53" s="1594" t="str">
        <f ca="1">'预评函-3'!F5</f>
        <v>叁仟肆佰壹拾陆万元整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（1）根据估价对象《国有土地使用证》原件，截至价值时点，估价对象抵押权未见登记。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王萌</v>
      </c>
    </row>
    <row r="73" spans="1:2" s="1589" customFormat="1" ht="15" thickBot="1">
      <c r="A73" s="1596" t="s">
        <v>1263</v>
      </c>
      <c r="B73" s="1597">
        <f ca="1">'预评函-4'!B5</f>
        <v>1120130048</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伟鹏房地产开发建筑有限公司拟使用湖北省武汉市江夏区纸坊街红旗村“江南新天地”（又名“鹏湖湾”）项目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23"/>
      <c r="B54" s="2024" t="s">
        <v>864</v>
      </c>
      <c r="C54" s="2021" t="s">
        <v>1281</v>
      </c>
    </row>
    <row r="55" spans="1:4">
      <c r="A55" s="3023"/>
      <c r="B55" s="2024" t="s">
        <v>865</v>
      </c>
      <c r="C55" s="2021" t="s">
        <v>1282</v>
      </c>
    </row>
    <row r="56" spans="1:4">
      <c r="A56" s="3023"/>
      <c r="B56" s="2024" t="s">
        <v>866</v>
      </c>
      <c r="C56" s="2021" t="s">
        <v>1286</v>
      </c>
    </row>
    <row r="57" spans="1:4">
      <c r="A57" s="302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9" sqref="K9"/>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32" t="str">
        <f>IF(B10="北京市","北京市",C10)&amp;F10&amp;IF(结果表!G1="在建","出让国有建设用地使用权及在建建筑物",IF(结果表!G1="土地","出让国有建设用地使用权",))&amp;B9&amp;"预评估"</f>
        <v>湖北省武汉市江夏区纸坊街红旗村“江南新天地”（又名“鹏湖湾”）项目出让国有建设用地使用权及在建建筑物房地产抵押价值预评估</v>
      </c>
      <c r="C1" s="3033"/>
      <c r="D1" s="3033"/>
      <c r="E1" s="3033"/>
      <c r="F1" s="3033"/>
      <c r="G1" s="3033"/>
      <c r="H1" s="3033"/>
      <c r="I1" s="303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湖北省武汉市江夏区纸坊街红旗村“江南新天地”（又名“鹏湖湾”）项目出让国有建设用地使用权及在建建筑物房地产抵押价值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湖北省武汉市江夏区纸坊街红旗村“江南新天地”（又名“鹏湖湾”）项目出让国有建设用地使用权及在建建筑物房地产</v>
      </c>
    </row>
    <row r="3" spans="1:19" ht="18" customHeight="1">
      <c r="A3" s="2037" t="s">
        <v>1778</v>
      </c>
      <c r="B3" s="2038">
        <v>43262</v>
      </c>
      <c r="C3" s="2039" t="s">
        <v>1779</v>
      </c>
      <c r="D3" s="2038">
        <f>B3</f>
        <v>43262</v>
      </c>
      <c r="E3" s="2028"/>
      <c r="F3" s="2028"/>
      <c r="G3" s="2028"/>
      <c r="H3" s="2028"/>
      <c r="I3" s="2028"/>
      <c r="J3" s="2028"/>
      <c r="K3" s="2029"/>
      <c r="L3" s="2030"/>
      <c r="M3" s="2030"/>
      <c r="N3" s="2031"/>
      <c r="O3" s="2032"/>
      <c r="P3" s="2031"/>
      <c r="Q3" s="2031"/>
      <c r="R3" s="2031"/>
      <c r="S3" s="2033"/>
    </row>
    <row r="4" spans="1:19" ht="18" customHeight="1" thickBot="1">
      <c r="A4" s="2040" t="s">
        <v>1780</v>
      </c>
      <c r="B4" s="2041" t="s">
        <v>3047</v>
      </c>
      <c r="C4" s="1040">
        <f ca="1">SUMIF(注册房地产估价师,B4,估价师及机构信息!B3:B24)</f>
        <v>1120070131</v>
      </c>
      <c r="D4" s="2041" t="s">
        <v>3048</v>
      </c>
      <c r="E4" s="1041">
        <f ca="1">SUMIF(注册房地产估价师,D4,估价师及机构信息!B3:B24)</f>
        <v>1120130048</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郑燚（注册号：1120070131)、王萌（注册号：1120130048)</v>
      </c>
      <c r="L4" s="2030"/>
      <c r="M4" s="2030"/>
      <c r="N4" s="2031"/>
      <c r="O4" s="2032"/>
      <c r="P4" s="2031"/>
      <c r="Q4" s="2031"/>
      <c r="R4" s="2031"/>
      <c r="S4" s="2033"/>
    </row>
    <row r="5" spans="1:19" ht="18" customHeight="1" thickTop="1">
      <c r="A5" s="2046" t="s">
        <v>1781</v>
      </c>
      <c r="B5" s="2944" t="s">
        <v>3049</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4" t="s">
        <v>3050</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4" t="s">
        <v>3049</v>
      </c>
      <c r="C7" s="2050"/>
      <c r="D7" s="2051"/>
      <c r="E7" s="2036"/>
      <c r="F7" s="2044"/>
      <c r="G7" s="2044"/>
      <c r="H7" s="2044"/>
      <c r="I7" s="2044"/>
      <c r="J7" s="2044"/>
      <c r="K7" s="2053"/>
      <c r="L7" s="2030"/>
      <c r="M7" s="2030"/>
      <c r="N7" s="2031"/>
      <c r="O7" s="2032"/>
      <c r="P7" s="2031"/>
      <c r="Q7" s="2031"/>
      <c r="R7" s="2031"/>
    </row>
    <row r="8" spans="1:19" ht="18" customHeight="1">
      <c r="A8" s="2049" t="s">
        <v>1784</v>
      </c>
      <c r="B8" s="2054" t="s">
        <v>3051</v>
      </c>
      <c r="C8" s="2055"/>
      <c r="D8" s="3035" t="s">
        <v>1785</v>
      </c>
      <c r="E8" s="2056" t="s">
        <v>3052</v>
      </c>
      <c r="F8" s="2057"/>
      <c r="G8" s="2028"/>
      <c r="H8" s="2028"/>
      <c r="I8" s="2028"/>
      <c r="J8" s="2044"/>
      <c r="K8" s="2045"/>
      <c r="L8" s="2030"/>
      <c r="M8" s="2030"/>
      <c r="N8" s="2031"/>
      <c r="O8" s="2032"/>
      <c r="P8" s="2031"/>
      <c r="Q8" s="2031"/>
      <c r="R8" s="2031"/>
    </row>
    <row r="9" spans="1:19" ht="18" customHeight="1" thickBot="1">
      <c r="A9" s="2042" t="s">
        <v>1786</v>
      </c>
      <c r="B9" s="2058" t="s">
        <v>3052</v>
      </c>
      <c r="C9" s="2059"/>
      <c r="D9" s="3036"/>
      <c r="E9" s="2058" t="s">
        <v>70</v>
      </c>
      <c r="F9" s="2060"/>
      <c r="G9" s="2061"/>
      <c r="H9" s="2061"/>
      <c r="I9" s="2061"/>
      <c r="J9" s="2044"/>
      <c r="K9" s="2053"/>
      <c r="L9" s="2030"/>
      <c r="M9" s="2030"/>
      <c r="N9" s="2031"/>
      <c r="O9" s="2032"/>
      <c r="P9" s="2031"/>
      <c r="Q9" s="2031"/>
      <c r="R9" s="2031"/>
    </row>
    <row r="10" spans="1:19" ht="18" customHeight="1" thickTop="1">
      <c r="A10" s="2062" t="s">
        <v>1787</v>
      </c>
      <c r="B10" s="2063" t="s">
        <v>3053</v>
      </c>
      <c r="C10" s="2064" t="s">
        <v>3054</v>
      </c>
      <c r="D10" s="2048"/>
      <c r="E10" s="2065" t="s">
        <v>1788</v>
      </c>
      <c r="F10" s="2066"/>
      <c r="G10" s="2067"/>
      <c r="H10" s="2068"/>
      <c r="I10" s="2048"/>
      <c r="J10" s="2044"/>
      <c r="K10" s="2053"/>
      <c r="L10" s="2030"/>
      <c r="M10" s="2030"/>
      <c r="N10" s="2031"/>
      <c r="O10" s="2032"/>
      <c r="P10" s="2031"/>
      <c r="Q10" s="2031"/>
      <c r="R10" s="2031"/>
    </row>
    <row r="11" spans="1:19" ht="18" customHeight="1">
      <c r="A11" s="2069" t="s">
        <v>1789</v>
      </c>
      <c r="B11" s="2070" t="s">
        <v>3055</v>
      </c>
      <c r="C11" s="2944" t="s">
        <v>3049</v>
      </c>
      <c r="D11" s="2071"/>
      <c r="E11" s="2044"/>
      <c r="F11" s="2044"/>
      <c r="G11" s="2044"/>
      <c r="H11" s="2044"/>
      <c r="I11" s="2044"/>
      <c r="J11" s="2044"/>
      <c r="K11" s="2053"/>
      <c r="L11" s="2030"/>
      <c r="M11" s="2030"/>
      <c r="N11" s="2031"/>
      <c r="O11" s="2032"/>
      <c r="P11" s="2031"/>
      <c r="Q11" s="2031"/>
      <c r="R11" s="2031"/>
    </row>
    <row r="12" spans="1:19" ht="18" customHeight="1">
      <c r="A12" s="2072" t="s">
        <v>1790</v>
      </c>
      <c r="B12" s="2070" t="s">
        <v>3056</v>
      </c>
      <c r="C12" s="2073" t="s">
        <v>1791</v>
      </c>
      <c r="D12" s="2074" t="s">
        <v>1792</v>
      </c>
      <c r="E12" s="2074" t="s">
        <v>1793</v>
      </c>
      <c r="F12" s="2074" t="s">
        <v>1794</v>
      </c>
      <c r="G12" s="2074" t="s">
        <v>1795</v>
      </c>
      <c r="H12" s="2074" t="s">
        <v>1796</v>
      </c>
      <c r="I12" s="2074" t="s">
        <v>1797</v>
      </c>
      <c r="J12" s="2044"/>
      <c r="K12" s="2053"/>
      <c r="L12" s="2030"/>
      <c r="M12" s="2030"/>
      <c r="N12" s="2031"/>
      <c r="O12" s="2032"/>
      <c r="P12" s="2031"/>
      <c r="Q12" s="2031"/>
      <c r="R12" s="2031"/>
    </row>
    <row r="13" spans="1:19" ht="18" customHeight="1">
      <c r="A13" s="2075"/>
      <c r="B13" s="2076"/>
      <c r="C13" s="2077" t="s">
        <v>1798</v>
      </c>
      <c r="D13" s="2078">
        <v>64758</v>
      </c>
      <c r="E13" s="2078">
        <v>53800</v>
      </c>
      <c r="F13" s="2078"/>
      <c r="G13" s="2078"/>
      <c r="H13" s="2078"/>
      <c r="I13" s="1050"/>
      <c r="J13" s="2044"/>
      <c r="K13" s="2053"/>
      <c r="L13" s="2030"/>
      <c r="M13" s="2030"/>
      <c r="N13" s="2031"/>
      <c r="O13" s="2032"/>
      <c r="P13" s="2031"/>
      <c r="Q13" s="2031"/>
      <c r="R13" s="2031"/>
    </row>
    <row r="14" spans="1:19" ht="18" customHeight="1">
      <c r="A14" s="2075"/>
      <c r="B14" s="2076"/>
      <c r="C14" s="2077" t="s">
        <v>1799</v>
      </c>
      <c r="D14" s="1053">
        <v>70</v>
      </c>
      <c r="E14" s="1053">
        <v>40</v>
      </c>
      <c r="F14" s="1053"/>
      <c r="G14" s="1053"/>
      <c r="H14" s="1053"/>
      <c r="I14" s="1053"/>
      <c r="J14" s="2044"/>
      <c r="K14" s="2079"/>
      <c r="L14" s="2030"/>
      <c r="M14" s="2030"/>
      <c r="N14" s="2031"/>
      <c r="O14" s="2032"/>
      <c r="P14" s="2031"/>
      <c r="Q14" s="2031"/>
      <c r="R14" s="2031"/>
    </row>
    <row r="15" spans="1:19" ht="18" customHeight="1">
      <c r="A15" s="2062"/>
      <c r="B15" s="2080"/>
      <c r="C15" s="2077" t="s">
        <v>1800</v>
      </c>
      <c r="D15" s="1052">
        <f>IF(B12="出让",IF(D13="","",ROUNDDOWN(MIN((D13-$D$3)/365,D14),2)),D14)</f>
        <v>58.89</v>
      </c>
      <c r="E15" s="1052">
        <f>IF(B12="出让",IF(E13="","",ROUNDDOWN(MIN((E13-$D$3)/365,E14),2)),E14)</f>
        <v>28.87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1"/>
      <c r="L15" s="2082"/>
      <c r="M15" s="2082"/>
      <c r="N15" s="2083"/>
      <c r="O15" s="2082"/>
      <c r="P15" s="2083"/>
      <c r="Q15" s="2031"/>
      <c r="R15" s="2031"/>
    </row>
    <row r="16" spans="1:19" ht="30.75" customHeight="1">
      <c r="A16" s="2065" t="s">
        <v>1801</v>
      </c>
      <c r="B16" s="3042" t="s">
        <v>3058</v>
      </c>
      <c r="C16" s="3043"/>
      <c r="D16" s="3044"/>
      <c r="E16" s="2084" t="s">
        <v>1802</v>
      </c>
      <c r="F16" s="3045" t="s">
        <v>3059</v>
      </c>
      <c r="G16" s="3046"/>
      <c r="H16" s="3046"/>
      <c r="I16" s="3047"/>
      <c r="J16" s="2031"/>
      <c r="K16" s="2081"/>
      <c r="L16" s="2082"/>
      <c r="M16" s="2082"/>
      <c r="N16" s="2083"/>
      <c r="O16" s="2082"/>
      <c r="P16" s="2083"/>
      <c r="Q16" s="2031"/>
      <c r="R16" s="2031"/>
    </row>
    <row r="17" spans="1:22" ht="18" customHeight="1">
      <c r="A17" s="2085" t="s">
        <v>1803</v>
      </c>
      <c r="B17" s="2037" t="s">
        <v>1804</v>
      </c>
      <c r="C17" s="1057">
        <f>'数据-汇总表'!E3</f>
        <v>43189.020000000004</v>
      </c>
      <c r="D17" s="2086" t="s">
        <v>1805</v>
      </c>
      <c r="E17" s="3048" t="s">
        <v>3061</v>
      </c>
      <c r="F17" s="3049"/>
      <c r="G17" s="3049"/>
      <c r="H17" s="3049"/>
      <c r="I17" s="3050"/>
      <c r="J17" s="2031"/>
      <c r="K17" s="2087"/>
      <c r="L17" s="2082"/>
      <c r="M17" s="2082"/>
      <c r="N17" s="2083"/>
      <c r="O17" s="2082"/>
      <c r="P17" s="2083"/>
      <c r="Q17" s="2031"/>
      <c r="R17" s="2031"/>
      <c r="S17" s="2031"/>
      <c r="T17" s="2031"/>
      <c r="U17" s="2031"/>
      <c r="V17" s="2031"/>
    </row>
    <row r="18" spans="1:22" ht="36" customHeight="1" thickBot="1">
      <c r="A18" s="2088" t="s">
        <v>1806</v>
      </c>
      <c r="B18" s="2040" t="s">
        <v>1807</v>
      </c>
      <c r="C18" s="1447">
        <f>'数据-汇总表'!D3</f>
        <v>13519.93</v>
      </c>
      <c r="D18" s="2089" t="s">
        <v>1805</v>
      </c>
      <c r="E18" s="3051" t="s">
        <v>3060</v>
      </c>
      <c r="F18" s="3052"/>
      <c r="G18" s="3052"/>
      <c r="H18" s="3052"/>
      <c r="I18" s="3053"/>
      <c r="J18" s="2031"/>
      <c r="K18" s="2087"/>
      <c r="L18" s="2082"/>
      <c r="M18" s="2082"/>
      <c r="N18" s="2083"/>
      <c r="O18" s="2082"/>
      <c r="P18" s="2083"/>
      <c r="Q18" s="2031"/>
      <c r="R18" s="2031"/>
      <c r="S18" s="2031"/>
      <c r="T18" s="2031"/>
      <c r="U18" s="2031"/>
      <c r="V18" s="2031"/>
    </row>
    <row r="19" spans="1:22" ht="37.5" customHeight="1" thickTop="1" thickBot="1">
      <c r="A19" s="373" t="s">
        <v>1808</v>
      </c>
      <c r="B19" s="352" t="s">
        <v>1809</v>
      </c>
      <c r="C19" s="2090" t="s">
        <v>3063</v>
      </c>
      <c r="D19" s="2091" t="s">
        <v>1810</v>
      </c>
      <c r="E19" s="2092" t="s">
        <v>70</v>
      </c>
      <c r="F19" s="2093" t="str">
        <f>IF(AND(C19="是",E19="否"),"是否提供他项权证或相关说明","")</f>
        <v/>
      </c>
      <c r="G19" s="2094" t="s">
        <v>70</v>
      </c>
      <c r="H19" s="2044"/>
      <c r="I19" s="2044"/>
      <c r="J19" s="2044"/>
      <c r="K19" s="2053"/>
      <c r="L19" s="2030"/>
      <c r="M19" s="2030"/>
      <c r="N19" s="2083"/>
      <c r="O19" s="2082"/>
      <c r="P19" s="2083"/>
      <c r="Q19" s="2031"/>
      <c r="R19" s="2031"/>
      <c r="S19" s="2031"/>
      <c r="T19" s="2031"/>
      <c r="U19" s="2031"/>
      <c r="V19" s="2031"/>
    </row>
    <row r="20" spans="1:22" ht="18" customHeight="1">
      <c r="A20" s="2095" t="s">
        <v>1811</v>
      </c>
      <c r="B20" s="3038" t="s">
        <v>1812</v>
      </c>
      <c r="C20" s="3039"/>
      <c r="D20" s="3040" t="s">
        <v>1813</v>
      </c>
      <c r="E20" s="3041"/>
      <c r="F20" s="2096" t="s">
        <v>1814</v>
      </c>
      <c r="G20" s="2044"/>
      <c r="H20" s="2044"/>
      <c r="I20" s="2044"/>
      <c r="J20" s="2044"/>
      <c r="K20" s="3037" t="s">
        <v>1815</v>
      </c>
      <c r="L20" s="748" t="str">
        <f>"根据估价对象"&amp;IF(B22="——",B21&amp;C21,B21&amp;C21&amp;"、"&amp;B22&amp;C22)&amp;"，"&amp;IF(C19="是","截至价值时点，估价对象已设定抵押。","截至价值时点，估价对象抵押权未见登记。")</f>
        <v>根据估价对象《国有土地使用证》原件，截至价值时点，估价对象抵押权未见登记。</v>
      </c>
      <c r="M20" s="2030"/>
      <c r="N20" s="2083"/>
      <c r="O20" s="2082"/>
      <c r="P20" s="2083"/>
      <c r="Q20" s="2031"/>
      <c r="R20" s="2031"/>
      <c r="S20" s="2031"/>
      <c r="T20" s="2031"/>
      <c r="U20" s="2031"/>
      <c r="V20" s="2031"/>
    </row>
    <row r="21" spans="1:22" ht="24.75" customHeight="1">
      <c r="A21" s="2095"/>
      <c r="B21" s="2097" t="s">
        <v>3064</v>
      </c>
      <c r="C21" s="2098" t="s">
        <v>1816</v>
      </c>
      <c r="D21" s="2099"/>
      <c r="E21" s="2100" t="s">
        <v>70</v>
      </c>
      <c r="F21" s="2101"/>
      <c r="G21" s="2044"/>
      <c r="H21" s="2044"/>
      <c r="I21" s="2044"/>
      <c r="J21" s="2044"/>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t="s">
        <v>70</v>
      </c>
      <c r="C22" s="2098" t="s">
        <v>70</v>
      </c>
      <c r="D22" s="2028"/>
      <c r="E22" s="2028"/>
      <c r="F22" s="2103"/>
      <c r="G22" s="2044"/>
      <c r="H22" s="2044"/>
      <c r="I22" s="2044"/>
      <c r="J22" s="2044"/>
      <c r="K22" s="30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1817</v>
      </c>
      <c r="B23" s="183" t="s">
        <v>1818</v>
      </c>
      <c r="C23" s="2105"/>
      <c r="D23" s="2106" t="s">
        <v>1818</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1819</v>
      </c>
      <c r="C24" s="2110"/>
      <c r="D24" s="2104" t="s">
        <v>1819</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1820</v>
      </c>
      <c r="C25" s="2110"/>
      <c r="D25" s="2104" t="s">
        <v>1820</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1821</v>
      </c>
      <c r="C26" s="2114"/>
      <c r="D26" s="2115" t="s">
        <v>1822</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25" t="s">
        <v>1823</v>
      </c>
      <c r="B27" s="2062" t="s">
        <v>1824</v>
      </c>
      <c r="C27" s="2118" t="s">
        <v>3065</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25"/>
      <c r="B28" s="2037" t="s">
        <v>1825</v>
      </c>
      <c r="C28" s="2120" t="s">
        <v>3066</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25"/>
      <c r="B29" s="2037" t="s">
        <v>1826</v>
      </c>
      <c r="C29" s="2123" t="s">
        <v>3063</v>
      </c>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26"/>
      <c r="B30" s="2037" t="s">
        <v>1827</v>
      </c>
      <c r="C30" s="3027"/>
      <c r="D30" s="3028"/>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29" t="s">
        <v>1828</v>
      </c>
      <c r="B31" s="2125" t="s">
        <v>3067</v>
      </c>
      <c r="C31" s="2126" t="str">
        <f>IF(B31="现房","成新及维护状况正常否",IF(B31="在建","工程状态是否正常",IF(B31="土地","是否闲置","-")))</f>
        <v>工程状态是否正常</v>
      </c>
      <c r="D31" s="2127"/>
      <c r="E31" s="2945" t="s">
        <v>3069</v>
      </c>
      <c r="F31" s="2044"/>
      <c r="G31" s="2044"/>
      <c r="H31" s="2044"/>
      <c r="I31" s="2044"/>
      <c r="J31" s="2044"/>
      <c r="K31" s="2052"/>
      <c r="L31" s="2030"/>
      <c r="M31" s="2030"/>
      <c r="N31" s="2031"/>
      <c r="O31" s="2032"/>
      <c r="P31" s="2031"/>
      <c r="Q31" s="2031"/>
      <c r="R31" s="2031"/>
      <c r="S31" s="2031"/>
      <c r="T31" s="2031"/>
      <c r="U31" s="2031"/>
      <c r="V31" s="2031"/>
    </row>
    <row r="32" spans="1:22" ht="18" customHeight="1">
      <c r="A32" s="3030"/>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30"/>
      <c r="B33" s="2129"/>
      <c r="C33" s="2069"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1829</v>
      </c>
      <c r="B34" s="2132"/>
      <c r="C34" s="2132"/>
      <c r="D34" s="2132"/>
      <c r="E34" s="2132"/>
      <c r="F34" s="2132"/>
      <c r="G34" s="2132"/>
      <c r="H34" s="2132"/>
      <c r="I34" s="2044"/>
      <c r="J34" s="2044"/>
      <c r="K34" s="1797">
        <f>COUNTIF(B34:H34,"——")</f>
        <v>0</v>
      </c>
      <c r="L34" s="2073" t="s">
        <v>1830</v>
      </c>
      <c r="M34" s="2073" t="s">
        <v>1831</v>
      </c>
      <c r="N34" s="2073" t="s">
        <v>1832</v>
      </c>
      <c r="O34" s="2073" t="s">
        <v>1833</v>
      </c>
      <c r="P34" s="2073" t="s">
        <v>1834</v>
      </c>
      <c r="Q34" s="2073" t="s">
        <v>1835</v>
      </c>
      <c r="R34" s="2073" t="s">
        <v>1836</v>
      </c>
      <c r="S34" s="3024" t="s">
        <v>1837</v>
      </c>
      <c r="T34" s="2133" t="str">
        <f>NUMBERSTRING(7-K34,1)&amp;"通"</f>
        <v>七通</v>
      </c>
      <c r="U34" s="2031"/>
      <c r="V34" s="2031"/>
    </row>
    <row r="35" spans="1:22" ht="18" customHeight="1">
      <c r="A35" s="2134"/>
      <c r="B35" s="3031" t="s">
        <v>1838</v>
      </c>
      <c r="C35" s="3031"/>
      <c r="D35" s="3031"/>
      <c r="E35" s="3031"/>
      <c r="F35" s="2135" t="str">
        <f>C10</f>
        <v>湖北省武汉市江夏区纸坊街红旗村“江南新天地”（又名“鹏湖湾”）项目</v>
      </c>
      <c r="G35" s="2044"/>
      <c r="H35" s="2044"/>
      <c r="I35" s="2044"/>
      <c r="J35" s="2044"/>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4"/>
      <c r="T35" s="48" t="str">
        <f>IF(T34="一通",L35,IF(T34="二通",M35,IF(T34="三通",N35,IF(T34="四通",O35,IF(T34="五通",P35,IF(T34="六通",Q35,R35))))))</f>
        <v>、、、、、、</v>
      </c>
      <c r="U35" s="2031"/>
      <c r="V35" s="2031"/>
    </row>
    <row r="36" spans="1:22" ht="18" customHeight="1">
      <c r="A36" s="2136"/>
      <c r="B36" s="2135" t="s">
        <v>1839</v>
      </c>
      <c r="C36" s="2135" t="s">
        <v>1840</v>
      </c>
      <c r="D36" s="2135" t="s">
        <v>1841</v>
      </c>
      <c r="E36" s="2135" t="s">
        <v>1842</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1843</v>
      </c>
      <c r="B37" s="2139"/>
      <c r="C37" s="2139"/>
      <c r="D37" s="2139"/>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1844</v>
      </c>
      <c r="B38" s="2141"/>
      <c r="C38" s="2141"/>
      <c r="D38" s="2141"/>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1846</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1847</v>
      </c>
      <c r="B42" s="1797" t="s">
        <v>1848</v>
      </c>
      <c r="C42" s="1797" t="s">
        <v>1849</v>
      </c>
      <c r="D42" s="1797" t="s">
        <v>1850</v>
      </c>
      <c r="E42" s="1797" t="s">
        <v>1851</v>
      </c>
      <c r="F42" s="1797" t="s">
        <v>1852</v>
      </c>
      <c r="G42" s="1797" t="s">
        <v>1853</v>
      </c>
      <c r="H42" s="1797" t="s">
        <v>1854</v>
      </c>
      <c r="I42" s="1797" t="s">
        <v>1855</v>
      </c>
      <c r="J42" s="2151" t="s">
        <v>1856</v>
      </c>
      <c r="K42" s="2074" t="s">
        <v>1857</v>
      </c>
      <c r="L42" s="2074" t="s">
        <v>1858</v>
      </c>
      <c r="M42" s="2074" t="s">
        <v>1859</v>
      </c>
      <c r="N42" s="1797" t="s">
        <v>1860</v>
      </c>
      <c r="O42" s="1797" t="s">
        <v>1861</v>
      </c>
      <c r="P42" s="1797" t="s">
        <v>1862</v>
      </c>
      <c r="Q42" s="2073" t="s">
        <v>1863</v>
      </c>
      <c r="R42" s="2073" t="s">
        <v>1864</v>
      </c>
      <c r="S42" s="2031"/>
      <c r="T42" s="2031"/>
      <c r="U42" s="2031"/>
      <c r="V42" s="2031"/>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N16" activePane="bottomRight" state="frozen"/>
      <selection activeCell="C50" sqref="C50"/>
      <selection pane="topRight" activeCell="C50" sqref="C50"/>
      <selection pane="bottomLeft" activeCell="C50" sqref="C50"/>
      <selection pane="bottomRight" activeCell="AY6" sqref="AY6"/>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2" width="9.5" style="2158" customWidth="1"/>
    <col min="13" max="13" width="11" style="2158" customWidth="1"/>
    <col min="14" max="14" width="9.5" style="2158"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37" width="9.5" style="2158" hidden="1" customWidth="1"/>
    <col min="38" max="41" width="9.5" style="2158" customWidth="1"/>
    <col min="42" max="45" width="9.5" style="2158" hidden="1" customWidth="1"/>
    <col min="46"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1870</v>
      </c>
      <c r="AZ2" s="1273"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301815.3</v>
      </c>
      <c r="B3" s="14">
        <f>IF(C3="否",G5-AT5,G5)</f>
        <v>964140.41</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5"/>
      <c r="C5" s="1805"/>
      <c r="D5" s="1808"/>
      <c r="E5" s="16" t="s">
        <v>1</v>
      </c>
      <c r="F5" s="16">
        <f>SUM(F13:F587)</f>
        <v>0</v>
      </c>
      <c r="G5" s="16">
        <f>SUM(G13:G587)</f>
        <v>964140.41</v>
      </c>
      <c r="H5" s="16">
        <f t="shared" ref="H5:AT5" si="0">SUM(H13:H656)</f>
        <v>780303.41</v>
      </c>
      <c r="I5" s="16">
        <f t="shared" si="0"/>
        <v>649519.33000000007</v>
      </c>
      <c r="J5" s="16">
        <f t="shared" si="0"/>
        <v>0</v>
      </c>
      <c r="K5" s="16">
        <f t="shared" si="0"/>
        <v>30784.079999999998</v>
      </c>
      <c r="L5" s="16">
        <f t="shared" si="0"/>
        <v>0</v>
      </c>
      <c r="M5" s="16">
        <f t="shared" si="0"/>
        <v>100000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183837.00000000003</v>
      </c>
      <c r="AD5" s="16">
        <f t="shared" si="0"/>
        <v>2636.5</v>
      </c>
      <c r="AE5" s="16">
        <f t="shared" si="0"/>
        <v>0</v>
      </c>
      <c r="AF5" s="16">
        <f t="shared" si="0"/>
        <v>0</v>
      </c>
      <c r="AG5" s="16">
        <f t="shared" si="0"/>
        <v>0</v>
      </c>
      <c r="AH5" s="16">
        <f t="shared" si="0"/>
        <v>0</v>
      </c>
      <c r="AI5" s="16">
        <f t="shared" si="0"/>
        <v>0</v>
      </c>
      <c r="AJ5" s="16">
        <f t="shared" si="0"/>
        <v>0</v>
      </c>
      <c r="AK5" s="16">
        <f t="shared" si="0"/>
        <v>0</v>
      </c>
      <c r="AL5" s="16">
        <f t="shared" si="0"/>
        <v>11854.83</v>
      </c>
      <c r="AM5" s="16">
        <f t="shared" si="0"/>
        <v>0</v>
      </c>
      <c r="AN5" s="16">
        <f t="shared" si="0"/>
        <v>169345.67</v>
      </c>
      <c r="AO5" s="16">
        <f t="shared" si="0"/>
        <v>0</v>
      </c>
      <c r="AP5" s="16">
        <f t="shared" si="0"/>
        <v>0</v>
      </c>
      <c r="AQ5" s="16">
        <f t="shared" si="0"/>
        <v>0</v>
      </c>
      <c r="AR5" s="16">
        <f t="shared" si="0"/>
        <v>0</v>
      </c>
      <c r="AS5" s="16">
        <f t="shared" si="0"/>
        <v>0</v>
      </c>
      <c r="AT5" s="16">
        <f t="shared" si="0"/>
        <v>0</v>
      </c>
      <c r="AU5" s="1804"/>
      <c r="AV5" s="15" t="s">
        <v>1874</v>
      </c>
      <c r="AW5" s="1805"/>
      <c r="AX5" s="1805"/>
      <c r="AY5" s="17" t="s">
        <v>3</v>
      </c>
      <c r="AZ5" s="18">
        <f t="shared" ref="AZ5:BT5" si="1">SUM(AZ13:AZ656)</f>
        <v>43189.020000000004</v>
      </c>
      <c r="BA5" s="18">
        <f t="shared" si="1"/>
        <v>42432.480000000003</v>
      </c>
      <c r="BB5" s="18">
        <f t="shared" si="1"/>
        <v>42432.480000000003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756.54</v>
      </c>
      <c r="BM5" s="18">
        <f t="shared" si="1"/>
        <v>0</v>
      </c>
      <c r="BN5" s="18">
        <f t="shared" si="1"/>
        <v>0</v>
      </c>
      <c r="BO5" s="18">
        <f t="shared" si="1"/>
        <v>0</v>
      </c>
      <c r="BP5" s="18">
        <f t="shared" si="1"/>
        <v>0</v>
      </c>
      <c r="BQ5" s="18">
        <f t="shared" si="1"/>
        <v>756.54</v>
      </c>
      <c r="BR5" s="18">
        <f t="shared" si="1"/>
        <v>0</v>
      </c>
      <c r="BS5" s="18">
        <f t="shared" si="1"/>
        <v>0</v>
      </c>
      <c r="BT5" s="19">
        <f t="shared" si="1"/>
        <v>0</v>
      </c>
    </row>
    <row r="6" spans="1:72" s="2176" customFormat="1" ht="12.75">
      <c r="A6" s="15" t="s">
        <v>1875</v>
      </c>
      <c r="B6" s="2173"/>
      <c r="C6" s="2173"/>
      <c r="D6" s="2174"/>
      <c r="E6" s="16">
        <f>H6+AC6+AT6</f>
        <v>301815.3</v>
      </c>
      <c r="F6" s="16" t="s">
        <v>1</v>
      </c>
      <c r="G6" s="16" t="s">
        <v>2</v>
      </c>
      <c r="H6" s="20">
        <f>SUMIF(I$12:AB$12,"总值",I6:AB6)</f>
        <v>244266.81</v>
      </c>
      <c r="I6" s="16">
        <f t="shared" ref="I6:AB6" si="2">ROUND($A$3*I5/$B$3,2)</f>
        <v>203326.06</v>
      </c>
      <c r="J6" s="16">
        <f t="shared" si="2"/>
        <v>0</v>
      </c>
      <c r="K6" s="16">
        <f t="shared" si="2"/>
        <v>9636.67</v>
      </c>
      <c r="L6" s="16">
        <f t="shared" si="2"/>
        <v>0</v>
      </c>
      <c r="M6" s="16">
        <f t="shared" si="2"/>
        <v>31304.080000000002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57548.49</v>
      </c>
      <c r="AD6" s="16">
        <f t="shared" ref="AD6:AS6" si="3">ROUND($A$3*AD5/$B$3,2)</f>
        <v>825.33</v>
      </c>
      <c r="AE6" s="16">
        <f t="shared" si="3"/>
        <v>0</v>
      </c>
      <c r="AF6" s="16">
        <f t="shared" si="3"/>
        <v>0</v>
      </c>
      <c r="AG6" s="16">
        <f t="shared" si="3"/>
        <v>0</v>
      </c>
      <c r="AH6" s="16">
        <f t="shared" si="3"/>
        <v>0</v>
      </c>
      <c r="AI6" s="16">
        <f t="shared" si="3"/>
        <v>0</v>
      </c>
      <c r="AJ6" s="16">
        <f t="shared" si="3"/>
        <v>0</v>
      </c>
      <c r="AK6" s="16">
        <f t="shared" si="3"/>
        <v>0</v>
      </c>
      <c r="AL6" s="16">
        <f t="shared" si="3"/>
        <v>3711.05</v>
      </c>
      <c r="AM6" s="16">
        <f t="shared" si="3"/>
        <v>0</v>
      </c>
      <c r="AN6" s="16">
        <f t="shared" si="3"/>
        <v>53012.11</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13519.93</v>
      </c>
      <c r="AZ6" s="16" t="s">
        <v>3</v>
      </c>
      <c r="BA6" s="16">
        <f>ROUND($AY$6*BA5/$AZ$5,2)</f>
        <v>13283.1</v>
      </c>
      <c r="BB6" s="16">
        <f>ROUND($AY$6*BB5/$AZ$5,2)</f>
        <v>13283.1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236.83</v>
      </c>
      <c r="BM6" s="16">
        <f t="shared" si="5"/>
        <v>0</v>
      </c>
      <c r="BN6" s="16">
        <f t="shared" si="5"/>
        <v>0</v>
      </c>
      <c r="BO6" s="16">
        <f t="shared" si="5"/>
        <v>0</v>
      </c>
      <c r="BP6" s="16">
        <f t="shared" si="5"/>
        <v>0</v>
      </c>
      <c r="BQ6" s="16">
        <f t="shared" si="5"/>
        <v>236.83</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1883</v>
      </c>
      <c r="AV7" s="23" t="s">
        <v>1884</v>
      </c>
      <c r="AW7" s="2165" t="s">
        <v>1885</v>
      </c>
      <c r="AX7" s="23" t="s">
        <v>1878</v>
      </c>
      <c r="AY7" s="1805"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0"/>
      <c r="K8" s="1820"/>
      <c r="L8" s="1820"/>
      <c r="M8" s="1820"/>
      <c r="N8" s="1820"/>
      <c r="O8" s="1820"/>
      <c r="P8" s="1820"/>
      <c r="Q8" s="1820"/>
      <c r="R8" s="1820"/>
      <c r="S8" s="1820"/>
      <c r="T8" s="1820"/>
      <c r="U8" s="1820"/>
      <c r="V8" s="2185"/>
      <c r="W8" s="1820"/>
      <c r="X8" s="1820"/>
      <c r="Y8" s="1820"/>
      <c r="Z8" s="1820"/>
      <c r="AA8" s="2185"/>
      <c r="AB8" s="2186"/>
      <c r="AC8" s="984" t="s">
        <v>1889</v>
      </c>
      <c r="AD8" s="2187"/>
      <c r="AE8" s="2179"/>
      <c r="AF8" s="1820"/>
      <c r="AG8" s="1820"/>
      <c r="AH8" s="1820"/>
      <c r="AI8" s="1820"/>
      <c r="AJ8" s="1820"/>
      <c r="AK8" s="1820"/>
      <c r="AL8" s="1820"/>
      <c r="AM8" s="1820"/>
      <c r="AN8" s="1820"/>
      <c r="AO8" s="1820"/>
      <c r="AP8" s="1820"/>
      <c r="AQ8" s="1820"/>
      <c r="AR8" s="1820"/>
      <c r="AS8" s="1820"/>
      <c r="AT8" s="1295" t="s">
        <v>1890</v>
      </c>
      <c r="AU8" s="2181" t="s">
        <v>1891</v>
      </c>
      <c r="AV8" s="1295"/>
      <c r="AW8" s="2164"/>
      <c r="AX8" s="1295"/>
      <c r="AY8" s="2165" t="s">
        <v>1892</v>
      </c>
      <c r="AZ8" s="1819" t="s">
        <v>1893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5"/>
      <c r="H9" s="2189" t="s">
        <v>1894</v>
      </c>
      <c r="I9" s="2190" t="s">
        <v>3079</v>
      </c>
      <c r="J9" s="984"/>
      <c r="K9" s="2190" t="s">
        <v>3079</v>
      </c>
      <c r="L9" s="984"/>
      <c r="M9" s="2190" t="s">
        <v>3079</v>
      </c>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0"/>
      <c r="BN9" s="2184"/>
      <c r="BO9" s="1820"/>
      <c r="BP9" s="1820"/>
      <c r="BQ9" s="1820"/>
      <c r="BR9" s="1820"/>
      <c r="BS9" s="1820"/>
      <c r="BT9" s="26"/>
    </row>
    <row r="10" spans="1:72" s="2188" customFormat="1" ht="12.75">
      <c r="A10" s="2181"/>
      <c r="B10" s="2181"/>
      <c r="C10" s="2181"/>
      <c r="D10" s="2181"/>
      <c r="E10" s="2181"/>
      <c r="F10" s="2181"/>
      <c r="G10" s="1295"/>
      <c r="H10" s="28"/>
      <c r="I10" s="2190" t="s">
        <v>3057</v>
      </c>
      <c r="J10" s="984"/>
      <c r="K10" s="2196" t="s">
        <v>1377</v>
      </c>
      <c r="L10" s="984"/>
      <c r="M10" s="2196" t="s">
        <v>1377</v>
      </c>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t="str">
        <f>K9</f>
        <v>地上</v>
      </c>
      <c r="BD10" s="29" t="str">
        <f>M9</f>
        <v>地上</v>
      </c>
      <c r="BE10" s="29">
        <f>O9</f>
        <v>0</v>
      </c>
      <c r="BF10" s="29">
        <f>Q9</f>
        <v>0</v>
      </c>
      <c r="BG10" s="29">
        <f>S9</f>
        <v>0</v>
      </c>
      <c r="BH10" s="29">
        <f>U9</f>
        <v>0</v>
      </c>
      <c r="BI10" s="29">
        <f>W9</f>
        <v>0</v>
      </c>
      <c r="BJ10" s="29">
        <f>Y9</f>
        <v>0</v>
      </c>
      <c r="BK10" s="29">
        <f>AA9</f>
        <v>0</v>
      </c>
      <c r="BL10" s="25" t="s">
        <v>1894</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5"/>
      <c r="H11" s="2198"/>
      <c r="I11" s="2201" t="s">
        <v>3080</v>
      </c>
      <c r="J11" s="2202"/>
      <c r="K11" s="2201" t="s">
        <v>3081</v>
      </c>
      <c r="L11" s="2202"/>
      <c r="M11" s="2201" t="s">
        <v>3082</v>
      </c>
      <c r="N11" s="2202"/>
      <c r="O11" s="2201"/>
      <c r="P11" s="2202"/>
      <c r="Q11" s="2201"/>
      <c r="R11" s="2202"/>
      <c r="S11" s="2201"/>
      <c r="T11" s="2202"/>
      <c r="U11" s="2201"/>
      <c r="V11" s="2202"/>
      <c r="W11" s="2201"/>
      <c r="X11" s="2202"/>
      <c r="Y11" s="2201"/>
      <c r="Z11" s="2202"/>
      <c r="AA11" s="2201"/>
      <c r="AB11" s="2202"/>
      <c r="AC11" s="1295"/>
      <c r="AD11" s="2203" t="s">
        <v>1904</v>
      </c>
      <c r="AE11" s="1821"/>
      <c r="AF11" s="2203" t="s">
        <v>1904</v>
      </c>
      <c r="AG11" s="1821"/>
      <c r="AH11" s="2203" t="s">
        <v>1905</v>
      </c>
      <c r="AI11" s="2204"/>
      <c r="AJ11" s="2203" t="s">
        <v>1905</v>
      </c>
      <c r="AK11" s="1821"/>
      <c r="AL11" s="1819"/>
      <c r="AM11" s="1821"/>
      <c r="AN11" s="1819"/>
      <c r="AO11" s="1821"/>
      <c r="AP11" s="1819"/>
      <c r="AQ11" s="1821"/>
      <c r="AR11" s="1819"/>
      <c r="AS11" s="1821"/>
      <c r="AT11" s="2164"/>
      <c r="AU11" s="2181"/>
      <c r="AV11" s="1295"/>
      <c r="AW11" s="2164"/>
      <c r="AX11" s="1295"/>
      <c r="AY11" s="28"/>
      <c r="AZ11" s="28"/>
      <c r="BA11" s="28"/>
      <c r="BB11" s="2186" t="str">
        <f>I10</f>
        <v>住宅</v>
      </c>
      <c r="BC11" s="2186" t="str">
        <f>K10</f>
        <v>商业</v>
      </c>
      <c r="BD11" s="2186" t="str">
        <f>M10</f>
        <v>商业</v>
      </c>
      <c r="BE11" s="2186">
        <f>O10</f>
        <v>0</v>
      </c>
      <c r="BF11" s="2186">
        <f>Q10</f>
        <v>0</v>
      </c>
      <c r="BG11" s="2186">
        <f>S10</f>
        <v>0</v>
      </c>
      <c r="BH11" s="2186">
        <f>U10</f>
        <v>0</v>
      </c>
      <c r="BI11" s="2186">
        <f>W10</f>
        <v>0</v>
      </c>
      <c r="BJ11" s="2186">
        <f>Y10</f>
        <v>0</v>
      </c>
      <c r="BK11" s="2186">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4" t="s">
        <v>1907</v>
      </c>
      <c r="W12" s="11" t="s">
        <v>1906</v>
      </c>
      <c r="X12" s="11" t="s">
        <v>1907</v>
      </c>
      <c r="Y12" s="11" t="s">
        <v>1906</v>
      </c>
      <c r="Z12" s="11" t="s">
        <v>1907</v>
      </c>
      <c r="AA12" s="11" t="s">
        <v>1906</v>
      </c>
      <c r="AB12" s="11" t="s">
        <v>1907</v>
      </c>
      <c r="AC12" s="2208"/>
      <c r="AD12" s="180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普通住宅</v>
      </c>
      <c r="BC12" s="2211" t="str">
        <f>K11</f>
        <v>底商</v>
      </c>
      <c r="BD12" s="2211" t="str">
        <f>M11</f>
        <v>办公楼</v>
      </c>
      <c r="BE12" s="2186">
        <f>O11</f>
        <v>0</v>
      </c>
      <c r="BF12" s="2186">
        <f>Q11</f>
        <v>0</v>
      </c>
      <c r="BG12" s="2186">
        <f>S11</f>
        <v>0</v>
      </c>
      <c r="BH12" s="2186">
        <f>U11</f>
        <v>0</v>
      </c>
      <c r="BI12" s="2186">
        <f>W11</f>
        <v>0</v>
      </c>
      <c r="BJ12" s="2186">
        <f>Y11</f>
        <v>0</v>
      </c>
      <c r="BK12" s="2186">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25.5">
      <c r="A13" s="1275"/>
      <c r="B13" s="2946" t="s">
        <v>3070</v>
      </c>
      <c r="C13" s="2946" t="s">
        <v>3071</v>
      </c>
      <c r="D13" s="2212" t="s">
        <v>3063</v>
      </c>
      <c r="E13" s="16">
        <f>IF($C$3="是",ROUND($A$3*G13/$B$3,2),ROUND($A$3*(G13-AT13)/$B$3,2))</f>
        <v>37687.71</v>
      </c>
      <c r="F13" s="32"/>
      <c r="G13" s="33">
        <f>H13+AC13+AT13</f>
        <v>120392.33</v>
      </c>
      <c r="H13" s="20">
        <f>SUMIF(I$12:AB$12,"总值",I13:AB13)</f>
        <v>97971.91</v>
      </c>
      <c r="I13" s="2213">
        <v>91583.49</v>
      </c>
      <c r="J13" s="2213"/>
      <c r="K13" s="2213">
        <v>6388.42</v>
      </c>
      <c r="L13" s="2213"/>
      <c r="M13" s="2213"/>
      <c r="N13" s="2213"/>
      <c r="O13" s="2213"/>
      <c r="P13" s="2213"/>
      <c r="Q13" s="2213"/>
      <c r="R13" s="2213"/>
      <c r="S13" s="2213"/>
      <c r="T13" s="2213"/>
      <c r="U13" s="2213"/>
      <c r="V13" s="2213"/>
      <c r="W13" s="2213"/>
      <c r="X13" s="2213"/>
      <c r="Y13" s="2213"/>
      <c r="Z13" s="2213"/>
      <c r="AA13" s="2213"/>
      <c r="AB13" s="2213"/>
      <c r="AC13" s="16">
        <f>SUMIF(AD$12:AS$12,"总值",AD13:AS13)</f>
        <v>22420.420000000002</v>
      </c>
      <c r="AD13" s="2214">
        <v>181.37</v>
      </c>
      <c r="AE13" s="2214"/>
      <c r="AF13" s="2214"/>
      <c r="AG13" s="2214"/>
      <c r="AH13" s="2214"/>
      <c r="AI13" s="2214"/>
      <c r="AJ13" s="2214"/>
      <c r="AK13" s="2214"/>
      <c r="AL13" s="2214">
        <v>839.15</v>
      </c>
      <c r="AM13" s="2214"/>
      <c r="AN13" s="2214">
        <v>21399.9</v>
      </c>
      <c r="AO13" s="2214"/>
      <c r="AP13" s="2214"/>
      <c r="AQ13" s="2214"/>
      <c r="AR13" s="2214"/>
      <c r="AS13" s="2214"/>
      <c r="AT13" s="2215"/>
      <c r="AU13" s="2216"/>
      <c r="AV13" s="11">
        <f t="shared" ref="AV13:AX17" si="6">A13</f>
        <v>0</v>
      </c>
      <c r="AW13" s="11" t="str">
        <f t="shared" si="6"/>
        <v>规证附图指标表</v>
      </c>
      <c r="AX13" s="11" t="str">
        <f t="shared" si="6"/>
        <v>一期</v>
      </c>
      <c r="AY13" s="1808">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25.5">
      <c r="A14" s="1275"/>
      <c r="B14" s="2946" t="s">
        <v>3070</v>
      </c>
      <c r="C14" s="2946" t="s">
        <v>3072</v>
      </c>
      <c r="D14" s="2212" t="s">
        <v>3063</v>
      </c>
      <c r="E14" s="16">
        <f>IF($C$3="是",ROUND($A$3*G14/$B$3,2),ROUND($A$3*(G14-AT14)/$B$3,2))</f>
        <v>67082.899999999994</v>
      </c>
      <c r="F14" s="32"/>
      <c r="G14" s="33">
        <f>H14+AC14+AT14</f>
        <v>214294.41</v>
      </c>
      <c r="H14" s="20">
        <f>SUMIF(I$12:AB$12,"总值",I14:AB14)</f>
        <v>167424.15</v>
      </c>
      <c r="I14" s="2213">
        <v>154236.79999999999</v>
      </c>
      <c r="J14" s="2213"/>
      <c r="K14" s="2213">
        <v>13187.35</v>
      </c>
      <c r="L14" s="2213"/>
      <c r="M14" s="2213"/>
      <c r="N14" s="2213"/>
      <c r="O14" s="2213"/>
      <c r="P14" s="2213"/>
      <c r="Q14" s="2213"/>
      <c r="R14" s="2213"/>
      <c r="S14" s="2213"/>
      <c r="T14" s="2213"/>
      <c r="U14" s="2213"/>
      <c r="V14" s="2213"/>
      <c r="W14" s="2213"/>
      <c r="X14" s="2213"/>
      <c r="Y14" s="2213"/>
      <c r="Z14" s="2213"/>
      <c r="AA14" s="2213"/>
      <c r="AB14" s="2213"/>
      <c r="AC14" s="16">
        <f>SUMIF(AD$12:AS$12,"总值",AD14:AS14)</f>
        <v>46870.26</v>
      </c>
      <c r="AD14" s="2214">
        <v>1726.78</v>
      </c>
      <c r="AE14" s="2214"/>
      <c r="AF14" s="2214"/>
      <c r="AG14" s="2214"/>
      <c r="AH14" s="2214"/>
      <c r="AI14" s="2214"/>
      <c r="AJ14" s="2214"/>
      <c r="AK14" s="2214"/>
      <c r="AL14" s="2214">
        <v>2424.29</v>
      </c>
      <c r="AM14" s="2214"/>
      <c r="AN14" s="2214">
        <v>42719.19</v>
      </c>
      <c r="AO14" s="2214"/>
      <c r="AP14" s="2214"/>
      <c r="AQ14" s="2214"/>
      <c r="AR14" s="2214"/>
      <c r="AS14" s="2214"/>
      <c r="AT14" s="2215"/>
      <c r="AU14" s="2216"/>
      <c r="AV14" s="11">
        <f t="shared" si="6"/>
        <v>0</v>
      </c>
      <c r="AW14" s="11" t="str">
        <f t="shared" si="6"/>
        <v>规证附图指标表</v>
      </c>
      <c r="AX14" s="11" t="str">
        <f t="shared" si="6"/>
        <v>二期</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25.5">
      <c r="A15" s="1275"/>
      <c r="B15" s="2946" t="s">
        <v>3073</v>
      </c>
      <c r="C15" s="2946" t="s">
        <v>3074</v>
      </c>
      <c r="D15" s="2212" t="s">
        <v>3063</v>
      </c>
      <c r="E15" s="16">
        <f>IF($C$3="是",ROUND($A$3*G15/$B$3,2),ROUND($A$3*(G15-AT15)/$B$3,2))</f>
        <v>10784.39</v>
      </c>
      <c r="F15" s="32"/>
      <c r="G15" s="33">
        <f>H15+AC15+AT15</f>
        <v>34450.44</v>
      </c>
      <c r="H15" s="20">
        <f>SUMIF(I$12:AB$12,"总值",I15:AB15)</f>
        <v>33437.450000000004</v>
      </c>
      <c r="I15" s="2213">
        <f>20026.86+11682.47</f>
        <v>31709.33</v>
      </c>
      <c r="J15" s="2213"/>
      <c r="K15" s="2213">
        <v>1728.12</v>
      </c>
      <c r="L15" s="2213"/>
      <c r="M15" s="2213"/>
      <c r="N15" s="2213"/>
      <c r="O15" s="2213"/>
      <c r="P15" s="2213"/>
      <c r="Q15" s="2213"/>
      <c r="R15" s="2213"/>
      <c r="S15" s="2213"/>
      <c r="T15" s="2213"/>
      <c r="U15" s="2213"/>
      <c r="V15" s="2213"/>
      <c r="W15" s="2213"/>
      <c r="X15" s="2213"/>
      <c r="Y15" s="2213"/>
      <c r="Z15" s="2213"/>
      <c r="AA15" s="2213"/>
      <c r="AB15" s="2213"/>
      <c r="AC15" s="16">
        <f>SUMIF(AD$12:AS$12,"总值",AD15:AS15)</f>
        <v>1012.99</v>
      </c>
      <c r="AD15" s="2214"/>
      <c r="AE15" s="2214"/>
      <c r="AF15" s="2214"/>
      <c r="AG15" s="2214"/>
      <c r="AH15" s="2214"/>
      <c r="AI15" s="2214"/>
      <c r="AJ15" s="2214"/>
      <c r="AK15" s="2214"/>
      <c r="AL15" s="2214">
        <f>655.32+357.67</f>
        <v>1012.99</v>
      </c>
      <c r="AM15" s="2214"/>
      <c r="AN15" s="2214"/>
      <c r="AO15" s="2214"/>
      <c r="AP15" s="2214"/>
      <c r="AQ15" s="2214"/>
      <c r="AR15" s="2214"/>
      <c r="AS15" s="2214"/>
      <c r="AT15" s="2215"/>
      <c r="AU15" s="2216"/>
      <c r="AV15" s="11">
        <f t="shared" si="6"/>
        <v>0</v>
      </c>
      <c r="AW15" s="11" t="str">
        <f t="shared" si="6"/>
        <v>预测报告[2016099]</v>
      </c>
      <c r="AX15" s="11" t="str">
        <f t="shared" si="6"/>
        <v>三期（3、4、5）</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38.25">
      <c r="A16" s="1275"/>
      <c r="B16" s="2946" t="s">
        <v>3075</v>
      </c>
      <c r="C16" s="2946" t="s">
        <v>3083</v>
      </c>
      <c r="D16" s="2212" t="s">
        <v>3063</v>
      </c>
      <c r="E16" s="16">
        <f>IF($C$3="是",ROUND($A$3*G16/$B$3,2),ROUND($A$3*(G16-AT16)/$B$3,2))</f>
        <v>39798.519999999997</v>
      </c>
      <c r="F16" s="32"/>
      <c r="G16" s="33">
        <f>H16+AC16+AT16</f>
        <v>127135.23000000001</v>
      </c>
      <c r="H16" s="20">
        <f>SUMIF(I$12:AB$12,"总值",I16:AB16)</f>
        <v>85707.07</v>
      </c>
      <c r="I16" s="2213">
        <f>12984.49*3+9296.52+34282.3</f>
        <v>82532.290000000008</v>
      </c>
      <c r="J16" s="2213"/>
      <c r="K16" s="2213">
        <f>753.8+2420.98</f>
        <v>3174.7799999999997</v>
      </c>
      <c r="L16" s="2213"/>
      <c r="M16" s="2213"/>
      <c r="N16" s="2213"/>
      <c r="O16" s="2213"/>
      <c r="P16" s="2213"/>
      <c r="Q16" s="2213"/>
      <c r="R16" s="2213"/>
      <c r="S16" s="2213"/>
      <c r="T16" s="2213"/>
      <c r="U16" s="2213"/>
      <c r="V16" s="2213"/>
      <c r="W16" s="2213"/>
      <c r="X16" s="2213"/>
      <c r="Y16" s="2213"/>
      <c r="Z16" s="2213"/>
      <c r="AA16" s="2213"/>
      <c r="AB16" s="2213"/>
      <c r="AC16" s="16">
        <f>SUMIF(AD$12:AS$12,"总值",AD16:AS16)</f>
        <v>41428.160000000003</v>
      </c>
      <c r="AD16" s="2214"/>
      <c r="AE16" s="2214"/>
      <c r="AF16" s="2214"/>
      <c r="AG16" s="2214"/>
      <c r="AH16" s="2214"/>
      <c r="AI16" s="2214"/>
      <c r="AJ16" s="2214"/>
      <c r="AK16" s="2214"/>
      <c r="AL16" s="2214">
        <f>357.3*3+238.61+712.4+698.74</f>
        <v>2721.6500000000005</v>
      </c>
      <c r="AM16" s="2214"/>
      <c r="AN16" s="2214">
        <f>38706.51</f>
        <v>38706.51</v>
      </c>
      <c r="AO16" s="2214"/>
      <c r="AP16" s="2214"/>
      <c r="AQ16" s="2214"/>
      <c r="AR16" s="2214"/>
      <c r="AS16" s="2214"/>
      <c r="AT16" s="2215"/>
      <c r="AU16" s="2216"/>
      <c r="AV16" s="11">
        <f t="shared" si="6"/>
        <v>0</v>
      </c>
      <c r="AW16" s="11" t="str">
        <f t="shared" si="6"/>
        <v>预测报告[2017018]</v>
      </c>
      <c r="AX16" s="11" t="str">
        <f t="shared" si="6"/>
        <v>三期6、7、8、9、10、11</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2946" t="s">
        <v>3076</v>
      </c>
      <c r="C17" s="2946" t="s">
        <v>3077</v>
      </c>
      <c r="D17" s="2212" t="s">
        <v>3063</v>
      </c>
      <c r="E17" s="16">
        <f>IF($C$3="是",ROUND($A$3*G17/$B$3,2),ROUND($A$3*(G17-AT17)/$B$3,2))</f>
        <v>98964.4</v>
      </c>
      <c r="F17" s="32"/>
      <c r="G17" s="33">
        <f>H17+AC17+AT17</f>
        <v>316138.98</v>
      </c>
      <c r="H17" s="20">
        <f>SUMIF(I$12:AB$12,"总值",I17:AB17)</f>
        <v>253330.35</v>
      </c>
      <c r="I17" s="2213">
        <v>247024.94</v>
      </c>
      <c r="J17" s="2213"/>
      <c r="K17" s="2213">
        <v>6305.41</v>
      </c>
      <c r="L17" s="2213"/>
      <c r="M17" s="2213"/>
      <c r="N17" s="2213"/>
      <c r="O17" s="2213"/>
      <c r="P17" s="2213"/>
      <c r="Q17" s="2213"/>
      <c r="R17" s="2213"/>
      <c r="S17" s="2213"/>
      <c r="T17" s="2213"/>
      <c r="U17" s="2213"/>
      <c r="V17" s="2213"/>
      <c r="W17" s="2213"/>
      <c r="X17" s="2213"/>
      <c r="Y17" s="2213"/>
      <c r="Z17" s="2213"/>
      <c r="AA17" s="2213"/>
      <c r="AB17" s="2213"/>
      <c r="AC17" s="16">
        <f>SUMIF(AD$12:AS$12,"总值",AD17:AS17)</f>
        <v>62808.63</v>
      </c>
      <c r="AD17" s="2214">
        <v>728.35</v>
      </c>
      <c r="AE17" s="2214"/>
      <c r="AF17" s="2214"/>
      <c r="AG17" s="2214"/>
      <c r="AH17" s="2214"/>
      <c r="AI17" s="2214"/>
      <c r="AJ17" s="2214"/>
      <c r="AK17" s="2214"/>
      <c r="AL17" s="2214">
        <v>4100.21</v>
      </c>
      <c r="AM17" s="2214"/>
      <c r="AN17" s="2214">
        <v>57980.07</v>
      </c>
      <c r="AO17" s="2214"/>
      <c r="AP17" s="2214"/>
      <c r="AQ17" s="2214"/>
      <c r="AR17" s="2214"/>
      <c r="AS17" s="2214"/>
      <c r="AT17" s="2215"/>
      <c r="AU17" s="2216"/>
      <c r="AV17" s="11">
        <f t="shared" si="6"/>
        <v>0</v>
      </c>
      <c r="AW17" s="11" t="str">
        <f t="shared" si="6"/>
        <v>经济指标表</v>
      </c>
      <c r="AX17" s="11" t="str">
        <f t="shared" si="6"/>
        <v>四期</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2946" t="s">
        <v>3076</v>
      </c>
      <c r="C18" s="2946" t="s">
        <v>3078</v>
      </c>
      <c r="D18" s="2217" t="s">
        <v>3063</v>
      </c>
      <c r="E18" s="35">
        <f t="shared" ref="E18:E112" si="7">IF($C$3="是",ROUND($A$3*G18/$B$3,2),ROUND($A$3*(G18-AT18)/$B$3,2))</f>
        <v>33977.449999999997</v>
      </c>
      <c r="F18" s="36"/>
      <c r="G18" s="37">
        <f t="shared" ref="G18:G109" si="8">H18+AC18+AT18</f>
        <v>108540</v>
      </c>
      <c r="H18" s="38">
        <f t="shared" ref="H18:H109" si="9">SUMIF(I$12:AB$12,"总值",I18:AB18)</f>
        <v>100000</v>
      </c>
      <c r="I18" s="39"/>
      <c r="J18" s="39"/>
      <c r="K18" s="39"/>
      <c r="L18" s="39"/>
      <c r="M18" s="39">
        <v>100000</v>
      </c>
      <c r="N18" s="39"/>
      <c r="O18" s="39"/>
      <c r="P18" s="39"/>
      <c r="Q18" s="39"/>
      <c r="R18" s="39"/>
      <c r="S18" s="39"/>
      <c r="T18" s="39"/>
      <c r="U18" s="39"/>
      <c r="V18" s="39"/>
      <c r="W18" s="39"/>
      <c r="X18" s="39"/>
      <c r="Y18" s="39"/>
      <c r="Z18" s="39"/>
      <c r="AA18" s="39"/>
      <c r="AB18" s="39"/>
      <c r="AC18" s="35">
        <f t="shared" ref="AC18:AC109" si="10">SUMIF(AD$12:AS$12,"总值",AD18:AS18)</f>
        <v>8540</v>
      </c>
      <c r="AD18" s="40"/>
      <c r="AE18" s="40"/>
      <c r="AF18" s="40"/>
      <c r="AG18" s="40"/>
      <c r="AH18" s="40"/>
      <c r="AI18" s="40"/>
      <c r="AJ18" s="40"/>
      <c r="AK18" s="40"/>
      <c r="AL18" s="40"/>
      <c r="AM18" s="40"/>
      <c r="AN18" s="40">
        <v>8540</v>
      </c>
      <c r="AO18" s="40"/>
      <c r="AP18" s="40"/>
      <c r="AQ18" s="40"/>
      <c r="AR18" s="40"/>
      <c r="AS18" s="40"/>
      <c r="AT18" s="41"/>
      <c r="AU18" s="2218"/>
      <c r="AV18" s="1797">
        <f t="shared" ref="AV18:AV112" si="11">A18</f>
        <v>0</v>
      </c>
      <c r="AW18" s="1797" t="str">
        <f t="shared" ref="AW18:AW112" si="12">B18</f>
        <v>经济指标表</v>
      </c>
      <c r="AX18" s="1797" t="str">
        <f t="shared" ref="AX18:AX112" si="13">C18</f>
        <v>五期</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2946" t="s">
        <v>3075</v>
      </c>
      <c r="C19" s="2946" t="s">
        <v>3084</v>
      </c>
      <c r="D19" s="2217" t="s">
        <v>3062</v>
      </c>
      <c r="E19" s="35">
        <f t="shared" si="7"/>
        <v>6760.08</v>
      </c>
      <c r="F19" s="36"/>
      <c r="G19" s="37">
        <f t="shared" si="8"/>
        <v>21594.870000000003</v>
      </c>
      <c r="H19" s="38">
        <f t="shared" si="9"/>
        <v>21216.240000000002</v>
      </c>
      <c r="I19" s="39">
        <v>21216.240000000002</v>
      </c>
      <c r="J19" s="39"/>
      <c r="K19" s="39"/>
      <c r="L19" s="39"/>
      <c r="M19" s="39"/>
      <c r="N19" s="39"/>
      <c r="O19" s="39"/>
      <c r="P19" s="39"/>
      <c r="Q19" s="39"/>
      <c r="R19" s="39"/>
      <c r="S19" s="39"/>
      <c r="T19" s="39"/>
      <c r="U19" s="39"/>
      <c r="V19" s="39"/>
      <c r="W19" s="39"/>
      <c r="X19" s="39"/>
      <c r="Y19" s="39"/>
      <c r="Z19" s="39"/>
      <c r="AA19" s="39"/>
      <c r="AB19" s="39"/>
      <c r="AC19" s="35">
        <f t="shared" si="10"/>
        <v>378.63</v>
      </c>
      <c r="AD19" s="40"/>
      <c r="AE19" s="40"/>
      <c r="AF19" s="40"/>
      <c r="AG19" s="40"/>
      <c r="AH19" s="40"/>
      <c r="AI19" s="40"/>
      <c r="AJ19" s="40"/>
      <c r="AK19" s="40"/>
      <c r="AL19" s="40">
        <v>378.63</v>
      </c>
      <c r="AM19" s="40"/>
      <c r="AN19" s="40"/>
      <c r="AO19" s="40"/>
      <c r="AP19" s="40"/>
      <c r="AQ19" s="40"/>
      <c r="AR19" s="40"/>
      <c r="AS19" s="40"/>
      <c r="AT19" s="41"/>
      <c r="AU19" s="2218"/>
      <c r="AV19" s="1797">
        <f t="shared" si="11"/>
        <v>0</v>
      </c>
      <c r="AW19" s="1797" t="str">
        <f t="shared" si="12"/>
        <v>预测报告[2017018]</v>
      </c>
      <c r="AX19" s="1797" t="str">
        <f t="shared" si="13"/>
        <v>三期1分摊土地</v>
      </c>
      <c r="AY19" s="42">
        <f t="shared" si="14"/>
        <v>6760.08</v>
      </c>
      <c r="AZ19" s="35">
        <f t="shared" si="15"/>
        <v>21594.870000000003</v>
      </c>
      <c r="BA19" s="35">
        <f t="shared" si="16"/>
        <v>21216.240000000002</v>
      </c>
      <c r="BB19" s="35">
        <f t="shared" si="17"/>
        <v>21216.240000000002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378.63</v>
      </c>
      <c r="BM19" s="35">
        <f t="shared" si="28"/>
        <v>0</v>
      </c>
      <c r="BN19" s="35">
        <f t="shared" si="29"/>
        <v>0</v>
      </c>
      <c r="BO19" s="35">
        <f t="shared" si="30"/>
        <v>0</v>
      </c>
      <c r="BP19" s="35">
        <f t="shared" si="31"/>
        <v>0</v>
      </c>
      <c r="BQ19" s="35">
        <f t="shared" si="32"/>
        <v>378.63</v>
      </c>
      <c r="BR19" s="35">
        <f t="shared" si="33"/>
        <v>0</v>
      </c>
      <c r="BS19" s="35">
        <f t="shared" si="34"/>
        <v>0</v>
      </c>
      <c r="BT19" s="43">
        <f t="shared" si="35"/>
        <v>0</v>
      </c>
    </row>
    <row r="20" spans="1:72" ht="28.5">
      <c r="A20" s="9"/>
      <c r="B20" s="2946" t="s">
        <v>3075</v>
      </c>
      <c r="C20" s="2946" t="s">
        <v>3085</v>
      </c>
      <c r="D20" s="2217" t="s">
        <v>3062</v>
      </c>
      <c r="E20" s="35">
        <f t="shared" si="7"/>
        <v>6759.85</v>
      </c>
      <c r="F20" s="36"/>
      <c r="G20" s="37">
        <f t="shared" si="8"/>
        <v>21594.15</v>
      </c>
      <c r="H20" s="38">
        <f t="shared" si="9"/>
        <v>21216.240000000002</v>
      </c>
      <c r="I20" s="39">
        <v>21216.240000000002</v>
      </c>
      <c r="J20" s="39"/>
      <c r="K20" s="39"/>
      <c r="L20" s="39"/>
      <c r="M20" s="39"/>
      <c r="N20" s="39"/>
      <c r="O20" s="39"/>
      <c r="P20" s="39"/>
      <c r="Q20" s="39"/>
      <c r="R20" s="39"/>
      <c r="S20" s="39"/>
      <c r="T20" s="39"/>
      <c r="U20" s="39"/>
      <c r="V20" s="39"/>
      <c r="W20" s="39"/>
      <c r="X20" s="39"/>
      <c r="Y20" s="39"/>
      <c r="Z20" s="39"/>
      <c r="AA20" s="39"/>
      <c r="AB20" s="39"/>
      <c r="AC20" s="35">
        <f t="shared" si="10"/>
        <v>377.91</v>
      </c>
      <c r="AD20" s="40"/>
      <c r="AE20" s="40"/>
      <c r="AF20" s="40"/>
      <c r="AG20" s="40"/>
      <c r="AH20" s="40"/>
      <c r="AI20" s="40"/>
      <c r="AJ20" s="40"/>
      <c r="AK20" s="40"/>
      <c r="AL20" s="40">
        <v>377.91</v>
      </c>
      <c r="AM20" s="40"/>
      <c r="AN20" s="40"/>
      <c r="AO20" s="40"/>
      <c r="AP20" s="40"/>
      <c r="AQ20" s="40"/>
      <c r="AR20" s="40"/>
      <c r="AS20" s="40"/>
      <c r="AT20" s="41"/>
      <c r="AU20" s="2218"/>
      <c r="AV20" s="1797">
        <f t="shared" si="11"/>
        <v>0</v>
      </c>
      <c r="AW20" s="1797" t="str">
        <f t="shared" si="12"/>
        <v>预测报告[2017018]</v>
      </c>
      <c r="AX20" s="1797" t="str">
        <f t="shared" si="13"/>
        <v>三期2分摊土地</v>
      </c>
      <c r="AY20" s="42">
        <f t="shared" si="14"/>
        <v>6759.85</v>
      </c>
      <c r="AZ20" s="35">
        <f t="shared" si="15"/>
        <v>21594.15</v>
      </c>
      <c r="BA20" s="35">
        <f t="shared" si="16"/>
        <v>21216.240000000002</v>
      </c>
      <c r="BB20" s="35">
        <f t="shared" si="17"/>
        <v>21216.240000000002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377.91</v>
      </c>
      <c r="BM20" s="35">
        <f t="shared" si="28"/>
        <v>0</v>
      </c>
      <c r="BN20" s="35">
        <f t="shared" si="29"/>
        <v>0</v>
      </c>
      <c r="BO20" s="35">
        <f t="shared" si="30"/>
        <v>0</v>
      </c>
      <c r="BP20" s="35">
        <f t="shared" si="31"/>
        <v>0</v>
      </c>
      <c r="BQ20" s="35">
        <f t="shared" si="32"/>
        <v>377.91</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65" t="s">
        <v>1934</v>
      </c>
      <c r="B2" s="3065"/>
      <c r="C2" s="3065"/>
      <c r="D2" s="970" t="s">
        <v>1910</v>
      </c>
      <c r="E2" s="2226" t="s">
        <v>1911</v>
      </c>
      <c r="F2" s="1395"/>
      <c r="G2" s="2227"/>
      <c r="H2" s="2228"/>
      <c r="I2" s="2229" t="s">
        <v>1935</v>
      </c>
      <c r="J2" s="1395"/>
      <c r="K2" s="1395"/>
      <c r="L2" s="1395"/>
      <c r="M2" s="1395"/>
      <c r="N2" s="1430"/>
      <c r="O2" s="1395"/>
      <c r="P2" s="1395"/>
    </row>
    <row r="3" spans="1:16" ht="15.75" thickBot="1">
      <c r="A3" s="3066" t="s">
        <v>1908</v>
      </c>
      <c r="B3" s="3066"/>
      <c r="C3" s="3066"/>
      <c r="D3" s="46">
        <f>'数据-基础表'!AY6</f>
        <v>13519.93</v>
      </c>
      <c r="E3" s="46">
        <f>'数据-基础表'!AZ5</f>
        <v>43189.020000000004</v>
      </c>
      <c r="F3" s="1395"/>
      <c r="G3" s="1402"/>
      <c r="H3" s="1250" t="s">
        <v>1909</v>
      </c>
      <c r="I3" s="55">
        <f>ROUND('数据-基础表'!B3/'数据-基础表'!A3,2)</f>
        <v>3.19</v>
      </c>
      <c r="J3" s="1395"/>
      <c r="K3" s="1395"/>
      <c r="L3" s="1395"/>
      <c r="M3" s="1395"/>
      <c r="N3" s="1430"/>
      <c r="O3" s="1395"/>
      <c r="P3" s="1395"/>
    </row>
    <row r="4" spans="1:16" ht="15">
      <c r="A4" s="3067"/>
      <c r="B4" s="3068"/>
      <c r="C4" s="3069"/>
      <c r="D4" s="2230" t="s">
        <v>1910</v>
      </c>
      <c r="E4" s="2231" t="s">
        <v>1911</v>
      </c>
      <c r="F4" s="1395"/>
      <c r="G4" s="2232" t="s">
        <v>1936</v>
      </c>
      <c r="H4" s="1250" t="s">
        <v>1916</v>
      </c>
      <c r="I4" s="55">
        <f>ROUND(SUMIF('数据-基础表'!I9:AS9,"地上",'数据-基础表'!I5:AS5)/'数据-基础表'!A3,2)</f>
        <v>2.63</v>
      </c>
      <c r="J4" s="1395"/>
      <c r="K4" s="1395"/>
      <c r="L4" s="1395"/>
      <c r="M4" s="1395"/>
      <c r="N4" s="1430"/>
      <c r="O4" s="1395"/>
      <c r="P4" s="1395"/>
    </row>
    <row r="5" spans="1:16">
      <c r="A5" s="47" t="s">
        <v>1912</v>
      </c>
      <c r="B5" s="3070" t="s">
        <v>1913</v>
      </c>
      <c r="C5" s="3070"/>
      <c r="D5" s="48">
        <f>ROUND($D$3*E5/$E$3,2)</f>
        <v>13283.1</v>
      </c>
      <c r="E5" s="49">
        <f>SUMIF('数据-基础表'!$11:$11,"住宅",'数据-基础表'!$5:$5)</f>
        <v>42432.480000000003</v>
      </c>
      <c r="F5" s="1395"/>
      <c r="G5" s="1402"/>
      <c r="H5" s="1250" t="s">
        <v>1909</v>
      </c>
      <c r="I5" s="55">
        <f>ROUND(E31/D31,2)</f>
        <v>3.19</v>
      </c>
      <c r="J5" s="1395"/>
      <c r="K5" s="1395"/>
      <c r="L5" s="1395"/>
      <c r="M5" s="1395"/>
      <c r="N5" s="1395"/>
      <c r="O5" s="1395"/>
      <c r="P5" s="1395"/>
    </row>
    <row r="6" spans="1:16" ht="15" thickBot="1">
      <c r="A6" s="2233"/>
      <c r="B6" s="3070" t="s">
        <v>1914</v>
      </c>
      <c r="C6" s="3070"/>
      <c r="D6" s="48">
        <f>ROUND($D$3*E6/$E$3,2)</f>
        <v>236.83</v>
      </c>
      <c r="E6" s="49">
        <f>E3-E5</f>
        <v>756.54000000000087</v>
      </c>
      <c r="F6" s="1395"/>
      <c r="G6" s="2234" t="s">
        <v>1915</v>
      </c>
      <c r="H6" s="1402" t="s">
        <v>1916</v>
      </c>
      <c r="I6" s="942">
        <f>ROUND(F31/D31,2)</f>
        <v>3.19</v>
      </c>
      <c r="J6" s="1395"/>
      <c r="K6" s="1395"/>
      <c r="L6" s="1395"/>
      <c r="M6" s="1395"/>
      <c r="N6" s="1395"/>
      <c r="O6" s="1395"/>
      <c r="P6" s="1395"/>
    </row>
    <row r="7" spans="1:16" ht="15">
      <c r="A7" s="3062"/>
      <c r="B7" s="3063"/>
      <c r="C7" s="3064"/>
      <c r="D7" s="2230" t="s">
        <v>1910</v>
      </c>
      <c r="E7" s="2235" t="s">
        <v>1917</v>
      </c>
      <c r="F7" s="1395"/>
      <c r="G7" s="2227" t="s">
        <v>1918</v>
      </c>
      <c r="H7" s="64"/>
      <c r="I7" s="420"/>
      <c r="J7" s="1395"/>
      <c r="K7" s="1395"/>
      <c r="L7" s="1395"/>
      <c r="M7" s="1395"/>
      <c r="N7" s="1395"/>
      <c r="O7" s="1395"/>
      <c r="P7" s="1395"/>
    </row>
    <row r="8" spans="1:16">
      <c r="A8" s="47" t="s">
        <v>1919</v>
      </c>
      <c r="B8" s="50" t="s">
        <v>1920</v>
      </c>
      <c r="C8" s="48" t="s">
        <v>1921</v>
      </c>
      <c r="D8" s="48">
        <f t="shared" ref="D8:D15" si="0">ROUND($D$3*E8/$E$3,2)</f>
        <v>13283.1</v>
      </c>
      <c r="E8" s="51">
        <f>SUMIF('数据-基础表'!BB10:BK10,"地上",'数据-基础表'!BB5:BK5)</f>
        <v>42432.480000000003</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13283.1</v>
      </c>
      <c r="E16" s="53">
        <f>SUM(E8:E15)</f>
        <v>42432.480000000003</v>
      </c>
      <c r="F16" s="1395"/>
      <c r="G16" s="2236"/>
      <c r="H16" s="2239" t="s">
        <v>1938</v>
      </c>
      <c r="I16" s="2240"/>
      <c r="J16" s="1395"/>
      <c r="K16" s="3059" t="s">
        <v>1938</v>
      </c>
      <c r="L16" s="3060"/>
      <c r="M16" s="3060"/>
      <c r="N16" s="3060"/>
      <c r="O16" s="3060"/>
      <c r="P16" s="3061"/>
    </row>
    <row r="17" spans="1:19" ht="15">
      <c r="A17" s="2241" t="s">
        <v>1939</v>
      </c>
      <c r="B17" s="2242" t="s">
        <v>1940</v>
      </c>
      <c r="C17" s="2243" t="s">
        <v>1941</v>
      </c>
      <c r="D17" s="2244" t="s">
        <v>1929</v>
      </c>
      <c r="E17" s="2245" t="s">
        <v>1930</v>
      </c>
      <c r="F17" s="2246"/>
      <c r="G17" s="2247"/>
      <c r="H17" s="2248" t="s">
        <v>1942</v>
      </c>
      <c r="I17" s="2249" t="s">
        <v>1927</v>
      </c>
      <c r="J17" s="1395"/>
      <c r="K17" s="3056" t="s">
        <v>1943</v>
      </c>
      <c r="L17" s="3057"/>
      <c r="M17" s="3058"/>
      <c r="N17" s="3056" t="s">
        <v>1944</v>
      </c>
      <c r="O17" s="3057"/>
      <c r="P17" s="3058"/>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259" t="s">
        <v>3086</v>
      </c>
      <c r="D19" s="48">
        <f>ROUND($D$3*E19/$E$3,2)</f>
        <v>6641.55</v>
      </c>
      <c r="E19" s="56">
        <f t="shared" ref="E19:E26" si="1">SUM(F19:G19)</f>
        <v>21216.240000000002</v>
      </c>
      <c r="F19" s="57">
        <f>'数据-基础表'!I19</f>
        <v>21216.240000000002</v>
      </c>
      <c r="G19" s="58"/>
      <c r="H19" s="723">
        <f>ROUND($D$3*I19/$E$3,2)</f>
        <v>118.41</v>
      </c>
      <c r="I19" s="51">
        <f t="shared" ref="I19:I26" si="2">IF($I$17="自定义",P19,M19)</f>
        <v>378.27</v>
      </c>
      <c r="J19" s="1395"/>
      <c r="K19" s="1394">
        <f t="shared" ref="K19:K26" si="3">ROUND(E$28*E19/E$27,2)</f>
        <v>378.27</v>
      </c>
      <c r="L19" s="1250">
        <f t="shared" ref="L19:L26" si="4">ROUND(IF(COUNTIF(C19,"*住宅*")&gt;0,E$29*E19/E$32,0),2)</f>
        <v>0</v>
      </c>
      <c r="M19" s="1406">
        <f>K19+L19</f>
        <v>378.27</v>
      </c>
      <c r="N19" s="2260"/>
      <c r="O19" s="2261"/>
      <c r="P19" s="1406">
        <f>N19+O19</f>
        <v>0</v>
      </c>
      <c r="R19" s="1250">
        <f t="shared" ref="R19:S26" si="5">D19+H19</f>
        <v>6759.96</v>
      </c>
      <c r="S19" s="1251">
        <f t="shared" si="5"/>
        <v>21594.510000000002</v>
      </c>
    </row>
    <row r="20" spans="1:19">
      <c r="A20" s="2262"/>
      <c r="B20" s="50" t="s">
        <v>1956</v>
      </c>
      <c r="C20" s="2259" t="s">
        <v>3087</v>
      </c>
      <c r="D20" s="48">
        <f t="shared" ref="D20:D26" si="6">ROUND($D$3*E20/$E$3,2)</f>
        <v>6641.55</v>
      </c>
      <c r="E20" s="56">
        <f t="shared" si="1"/>
        <v>21216.240000000002</v>
      </c>
      <c r="F20" s="57">
        <f>'数据-基础表'!I20</f>
        <v>21216.240000000002</v>
      </c>
      <c r="G20" s="58"/>
      <c r="H20" s="723">
        <f t="shared" ref="H20:H26" si="7">ROUND($D$3*I20/$E$3,2)</f>
        <v>118.41</v>
      </c>
      <c r="I20" s="51">
        <f t="shared" si="2"/>
        <v>378.27</v>
      </c>
      <c r="J20" s="1395"/>
      <c r="K20" s="1394">
        <f t="shared" si="3"/>
        <v>378.27</v>
      </c>
      <c r="L20" s="1250">
        <f t="shared" si="4"/>
        <v>0</v>
      </c>
      <c r="M20" s="1406">
        <f t="shared" ref="M20:M26" si="8">K20+L20</f>
        <v>378.27</v>
      </c>
      <c r="N20" s="2260"/>
      <c r="O20" s="2261"/>
      <c r="P20" s="1406">
        <f t="shared" ref="P20:P26" si="9">N20+O20</f>
        <v>0</v>
      </c>
      <c r="R20" s="1250">
        <f t="shared" si="5"/>
        <v>6759.96</v>
      </c>
      <c r="S20" s="1251">
        <f t="shared" si="5"/>
        <v>21594.510000000002</v>
      </c>
    </row>
    <row r="21" spans="1:19" hidden="1">
      <c r="A21" s="2262"/>
      <c r="B21" s="50" t="s">
        <v>1956</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hidden="1">
      <c r="A22" s="2262"/>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hidden="1">
      <c r="A23" s="2262"/>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hidden="1">
      <c r="A24" s="2262"/>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hidden="1">
      <c r="A25" s="2262"/>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hidden="1">
      <c r="A26" s="2262"/>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29.25" thickBot="1">
      <c r="A27" s="2262"/>
      <c r="B27" s="48"/>
      <c r="C27" s="2265" t="s">
        <v>1957</v>
      </c>
      <c r="D27" s="1396">
        <f>SUM(D19:D26)</f>
        <v>13283.1</v>
      </c>
      <c r="E27" s="1397">
        <f>IF(SUM(E19:E26)='数据-基础表'!BA5,SUM(E19:E26),IF(F27="地上面积有误","面积有误","地下面积有误"))</f>
        <v>42432.480000000003</v>
      </c>
      <c r="F27" s="1396">
        <f>IF(SUM(F19:F26)=E8,SUM(F19:F26),"地上面积有误")</f>
        <v>42432.480000000003</v>
      </c>
      <c r="G27" s="1398">
        <f>SUM(G19:G26)</f>
        <v>0</v>
      </c>
      <c r="H27" s="1399">
        <f>SUM(H19:H26)</f>
        <v>236.82</v>
      </c>
      <c r="I27" s="1400">
        <f>SUM(I19:I26)</f>
        <v>756.54</v>
      </c>
      <c r="J27" s="1395"/>
      <c r="K27" s="1403">
        <f>SUM(K19:K26)</f>
        <v>756.54</v>
      </c>
      <c r="L27" s="1404">
        <f>SUM(L19:L26)</f>
        <v>0</v>
      </c>
      <c r="M27" s="1407">
        <f>SUM(M19:M26)</f>
        <v>756.54</v>
      </c>
      <c r="N27" s="1403">
        <f t="shared" ref="N27:O27" si="10">SUM(N19:N26)</f>
        <v>0</v>
      </c>
      <c r="O27" s="1404">
        <f t="shared" si="10"/>
        <v>0</v>
      </c>
      <c r="P27" s="1405">
        <f>SUM(P19:P26)</f>
        <v>0</v>
      </c>
      <c r="R27" s="1252" t="str">
        <f>IF(SUM(R19:R26)=$D$3,SUM(R19:R26),SUM(R19:R26)&amp;"误差"&amp;ROUND(SUM(R19:R26)-$D$3,2))</f>
        <v>13519.92误差-0.01</v>
      </c>
      <c r="S27" s="1250">
        <f>IF(SUM(S19:S26)=$E$3,SUM(S19:S26),SUM(S19:S26)&amp;"误差"&amp;ROUND(SUM(S19:S26)-E3,2))</f>
        <v>43189.020000000004</v>
      </c>
    </row>
    <row r="28" spans="1:19">
      <c r="A28" s="2262"/>
      <c r="B28" s="50" t="s">
        <v>1958</v>
      </c>
      <c r="C28" s="1262" t="s">
        <v>1959</v>
      </c>
      <c r="D28" s="48">
        <f>ROUND($D$3*E28/$E$3,2)</f>
        <v>236.83</v>
      </c>
      <c r="E28" s="56">
        <f>SUM(F28:G28)</f>
        <v>756.54</v>
      </c>
      <c r="F28" s="64">
        <f>'数据-基础表'!BQ5+'数据-基础表'!BS5</f>
        <v>756.54</v>
      </c>
      <c r="G28" s="65">
        <f>'数据-基础表'!BR5+'数据-基础表'!BT5</f>
        <v>0</v>
      </c>
      <c r="H28" s="1395"/>
      <c r="I28" s="1395"/>
      <c r="J28" s="1395"/>
      <c r="K28" s="1395"/>
      <c r="L28" s="1395"/>
      <c r="M28" s="1395"/>
      <c r="N28" s="1395"/>
      <c r="O28" s="1395"/>
      <c r="P28" s="1395"/>
    </row>
    <row r="29" spans="1:19">
      <c r="A29" s="2262"/>
      <c r="B29" s="50" t="s">
        <v>1958</v>
      </c>
      <c r="C29" s="2266"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1957</v>
      </c>
      <c r="D30" s="1396">
        <f>SUM(D28:D29)</f>
        <v>236.83</v>
      </c>
      <c r="E30" s="1396">
        <f>SUM(E28:E29)</f>
        <v>756.54</v>
      </c>
      <c r="F30" s="1396">
        <f>SUM(F28:F29)</f>
        <v>756.54</v>
      </c>
      <c r="G30" s="1398">
        <f>SUM(G28:G29)</f>
        <v>0</v>
      </c>
      <c r="H30" s="1395"/>
      <c r="I30" s="1395"/>
      <c r="J30" s="1395"/>
      <c r="K30" s="1395"/>
      <c r="L30" s="1395"/>
      <c r="M30" s="1395"/>
      <c r="N30" s="1395"/>
      <c r="O30" s="1395"/>
      <c r="P30" s="1395"/>
    </row>
    <row r="31" spans="1:19" ht="15.75" thickBot="1">
      <c r="A31" s="2268"/>
      <c r="B31" s="2269"/>
      <c r="C31" s="1010" t="s">
        <v>1961</v>
      </c>
      <c r="D31" s="729">
        <f>D27+D30</f>
        <v>13519.93</v>
      </c>
      <c r="E31" s="729">
        <f>E27+E30</f>
        <v>43189.020000000004</v>
      </c>
      <c r="F31" s="730">
        <f>F27+F30</f>
        <v>43189.020000000004</v>
      </c>
      <c r="G31" s="731">
        <f>G27+G30</f>
        <v>0</v>
      </c>
      <c r="H31" s="1395"/>
      <c r="I31" s="1395"/>
      <c r="J31" s="1395"/>
      <c r="K31" s="1395"/>
      <c r="L31" s="1395"/>
      <c r="M31" s="1395"/>
      <c r="N31" s="1395"/>
      <c r="O31" s="1395"/>
      <c r="P31" s="1395"/>
    </row>
    <row r="32" spans="1:19">
      <c r="A32" s="2232"/>
      <c r="B32" s="2232" t="s">
        <v>1962</v>
      </c>
      <c r="C32" s="2232"/>
      <c r="D32" s="2232"/>
      <c r="E32" s="1277">
        <f>SUMIF(C19:C26,"*住宅*",E19:E26)</f>
        <v>42432.480000000003</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O16" sqref="O1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3"/>
      <c r="D1" s="2272"/>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1964</v>
      </c>
      <c r="B2" s="1269">
        <f>项目基本情况!D3</f>
        <v>43262</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1971</v>
      </c>
      <c r="B5" s="2289" t="s">
        <v>1972</v>
      </c>
      <c r="C5" s="2290" t="s">
        <v>1973</v>
      </c>
      <c r="D5" s="2291" t="s">
        <v>1974</v>
      </c>
      <c r="E5" s="1271" t="s">
        <v>1975</v>
      </c>
      <c r="F5" s="2292" t="s">
        <v>1976</v>
      </c>
      <c r="G5" s="1271" t="s">
        <v>1977</v>
      </c>
      <c r="H5" s="1271" t="s">
        <v>1978</v>
      </c>
      <c r="I5" s="1271"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70" t="s">
        <v>1991</v>
      </c>
      <c r="V5" s="1271" t="s">
        <v>1992</v>
      </c>
      <c r="W5" s="1271" t="s">
        <v>1993</v>
      </c>
      <c r="X5" s="71"/>
      <c r="Y5" s="70" t="s">
        <v>1994</v>
      </c>
      <c r="Z5" s="2302" t="s">
        <v>1991</v>
      </c>
      <c r="AA5" s="1271" t="s">
        <v>1992</v>
      </c>
      <c r="AB5" s="1271" t="s">
        <v>1993</v>
      </c>
      <c r="AC5" s="71"/>
      <c r="AD5" s="71" t="s">
        <v>1994</v>
      </c>
      <c r="AE5" s="1270" t="s">
        <v>1995</v>
      </c>
      <c r="AF5" s="1271" t="s">
        <v>1996</v>
      </c>
      <c r="AG5" s="70" t="s">
        <v>1997</v>
      </c>
      <c r="AH5" s="1270" t="s">
        <v>1998</v>
      </c>
      <c r="AI5" s="2302" t="s">
        <v>1999</v>
      </c>
      <c r="AJ5" s="2302" t="s">
        <v>2000</v>
      </c>
      <c r="AK5" s="1271" t="s">
        <v>2001</v>
      </c>
      <c r="AL5" s="1271" t="s">
        <v>2002</v>
      </c>
      <c r="AM5" s="70" t="s">
        <v>2003</v>
      </c>
      <c r="AN5" s="2303" t="s">
        <v>2004</v>
      </c>
      <c r="AO5" s="2073" t="s">
        <v>2005</v>
      </c>
      <c r="AP5" s="1252"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1#住宅楼</v>
      </c>
      <c r="B6" s="2306" t="str">
        <f>IF(A6=0,"","经营性")</f>
        <v>经营性</v>
      </c>
      <c r="C6" s="2307" t="s">
        <v>3057</v>
      </c>
      <c r="D6" s="1054">
        <f>SUMIF(项目基本情况!D$12:I$12,C6,项目基本情况!D$14:I$14)</f>
        <v>70</v>
      </c>
      <c r="E6" s="1051">
        <f>IF(B6="","",SUMIF(项目基本情况!D$12:I$12,C6,项目基本情况!D$13:I$13))</f>
        <v>64758</v>
      </c>
      <c r="F6" s="72">
        <f>SUMIF(项目基本情况!D$12:I$12,C6,项目基本情况!D$15:I$15)</f>
        <v>58.89</v>
      </c>
      <c r="G6" s="73">
        <f>IF(ISERROR(ROUND(POWER(1+H6,D6-F6)*(POWER(1+H6,F6)-1)/(POWER(1+H6,D6)-1),3)),0,ROUND(POWER(1+H6,D6-F6)*(POWER(1+H6,F6)-1)/(POWER(1+H6,D6)-1),3))</f>
        <v>0.97</v>
      </c>
      <c r="H6" s="802">
        <v>4.4999999999999998E-2</v>
      </c>
      <c r="I6" s="802">
        <v>0.05</v>
      </c>
      <c r="J6" s="74">
        <v>8.5000000000000006E-2</v>
      </c>
      <c r="K6" s="1254">
        <f>SUMIF('数据-汇总表'!C$19:C$33,A6,'数据-汇总表'!E$19:E$33)</f>
        <v>21216.240000000002</v>
      </c>
      <c r="L6" s="803">
        <v>2700</v>
      </c>
      <c r="M6" s="75">
        <f t="shared" ref="M6:M14" si="0">ROUND(K6*L6/10000,0)</f>
        <v>5728</v>
      </c>
      <c r="N6" s="801">
        <f>ROUND(15/45*0.65,2)</f>
        <v>0.22</v>
      </c>
      <c r="O6" s="75">
        <f>IF($N$5="成新度","——",ROUND(M6*N6,0))</f>
        <v>1260</v>
      </c>
      <c r="P6" s="76">
        <f>IF($N$5="成新度","——",M6-O6)</f>
        <v>4468</v>
      </c>
      <c r="Q6" s="804">
        <v>0.05</v>
      </c>
      <c r="R6" s="77">
        <f ca="1">SUMIF('数据-汇总表'!C$19:C$33,A6,'数据-汇总表'!R$19:R$27)</f>
        <v>6759.96</v>
      </c>
      <c r="S6" s="54">
        <f>IF('数据-汇总表'!$I$17="按面积比例",SUMIF('数据-汇总表'!C$19:C$33,A6,'数据-汇总表'!K$19:K$33),SUMIF('数据-汇总表'!C$19:C$33,A6,'数据-汇总表'!N$19:N$33))</f>
        <v>378.27</v>
      </c>
      <c r="T6" s="1446">
        <f>ROUND($L$14*S6/10000,0)</f>
        <v>68</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c r="AL6" s="88"/>
      <c r="AM6" s="89"/>
      <c r="AN6" s="2308"/>
      <c r="AO6" s="55" t="e">
        <f ca="1">SUMIF(INDIRECT("'"&amp;AN6&amp;"'"&amp;"!A:A"),"总价",INDIRECT("'"&amp;AN6&amp;"'"&amp;"!B:B"))</f>
        <v>#REF!</v>
      </c>
      <c r="AP6" s="2309">
        <f>IF(C6="住宅",K6*L6,0)</f>
        <v>57283848.000000007</v>
      </c>
      <c r="AQ6" s="55">
        <f>ROUND($L$14*$N$14*S6/10000,0)</f>
        <v>14</v>
      </c>
      <c r="AR6" s="55">
        <f>ROUND($L$14*(1-$N$14)*S6/10000,0)</f>
        <v>54</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t="str">
        <f>'数据-汇总表'!C20</f>
        <v>2#住宅楼</v>
      </c>
      <c r="B7" s="2306" t="str">
        <f t="shared" ref="B7:B13" si="1">IF(A7=0,"","经营性")</f>
        <v>经营性</v>
      </c>
      <c r="C7" s="2307" t="s">
        <v>3057</v>
      </c>
      <c r="D7" s="1054">
        <f>SUMIF(项目基本情况!D$12:I$12,C7,项目基本情况!D$14:I$14)</f>
        <v>70</v>
      </c>
      <c r="E7" s="1051">
        <f>IF(B7="","",SUMIF(项目基本情况!D$12:I$12,C7,项目基本情况!D$13:I$13))</f>
        <v>64758</v>
      </c>
      <c r="F7" s="72">
        <f>SUMIF(项目基本情况!D$12:I$12,C7,项目基本情况!D$15:I$15)</f>
        <v>58.89</v>
      </c>
      <c r="G7" s="73">
        <f t="shared" ref="G7:G11" si="2">IF(ISERROR(ROUND(POWER(1+H7,D7-F7)*(POWER(1+H7,F7)-1)/(POWER(1+H7,D7)-1),3)),0,ROUND(POWER(1+H7,D7-F7)*(POWER(1+H7,F7)-1)/(POWER(1+H7,D7)-1),3))</f>
        <v>0.97</v>
      </c>
      <c r="H7" s="802">
        <v>4.4999999999999998E-2</v>
      </c>
      <c r="I7" s="802">
        <v>0.05</v>
      </c>
      <c r="J7" s="74">
        <v>8.5000000000000006E-2</v>
      </c>
      <c r="K7" s="1254">
        <f>SUMIF('数据-汇总表'!C$19:C$33,A7,'数据-汇总表'!E$19:E$33)</f>
        <v>21216.240000000002</v>
      </c>
      <c r="L7" s="803">
        <v>2700</v>
      </c>
      <c r="M7" s="75">
        <f t="shared" si="0"/>
        <v>5728</v>
      </c>
      <c r="N7" s="801">
        <f>ROUND(17/45*0.65,2)</f>
        <v>0.25</v>
      </c>
      <c r="O7" s="75">
        <f t="shared" ref="O7:O14" si="3">IF($N$5="成新度","——",ROUND(M7*N7,0))</f>
        <v>1432</v>
      </c>
      <c r="P7" s="76">
        <f t="shared" ref="P7:P14" si="4">IF($N$5="成新度","——",M7-O7)</f>
        <v>4296</v>
      </c>
      <c r="Q7" s="804">
        <v>0.05</v>
      </c>
      <c r="R7" s="77">
        <f ca="1">SUMIF('数据-汇总表'!C$19:C$33,A7,'数据-汇总表'!R$19:R$27)</f>
        <v>6759.96</v>
      </c>
      <c r="S7" s="54">
        <f>IF('数据-汇总表'!$I$17="按面积比例",SUMIF('数据-汇总表'!C$19:C$33,A7,'数据-汇总表'!K$19:K$33),SUMIF('数据-汇总表'!C$19:C$33,A7,'数据-汇总表'!N$19:N$33))</f>
        <v>378.27</v>
      </c>
      <c r="T7" s="1446">
        <f t="shared" ref="T7:T13" si="5">ROUND($L$14*S7/10000,0)</f>
        <v>68</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57283848.000000007</v>
      </c>
      <c r="AQ7" s="55">
        <f t="shared" ref="AQ7:AQ13" si="10">ROUND($L$14*$N$14*S7/10000,0)</f>
        <v>14</v>
      </c>
      <c r="AR7" s="55">
        <f t="shared" ref="AR7:AR13" si="11">ROUND($L$14*(1-$N$14)*S7/10000,0)</f>
        <v>54</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hidden="1">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hidden="1">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hidden="1">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hidden="1">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hidden="1">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hidden="1">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2009</v>
      </c>
      <c r="B14" s="2306" t="s">
        <v>2010</v>
      </c>
      <c r="C14" s="2311" t="s">
        <v>2009</v>
      </c>
      <c r="D14" s="1054"/>
      <c r="E14" s="1051"/>
      <c r="F14" s="72"/>
      <c r="G14" s="73"/>
      <c r="H14" s="1253"/>
      <c r="I14" s="1253"/>
      <c r="J14" s="1253"/>
      <c r="K14" s="1254">
        <f>SUMIF('数据-汇总表'!C$19:C$33,A14,'数据-汇总表'!E$19:E$33)</f>
        <v>756.54</v>
      </c>
      <c r="L14" s="91">
        <v>1800</v>
      </c>
      <c r="M14" s="75">
        <f t="shared" si="0"/>
        <v>136</v>
      </c>
      <c r="N14" s="92">
        <v>0.2</v>
      </c>
      <c r="O14" s="75">
        <f t="shared" si="3"/>
        <v>27</v>
      </c>
      <c r="P14" s="76">
        <f t="shared" si="4"/>
        <v>109</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2011</v>
      </c>
      <c r="B15" s="2306" t="s">
        <v>2010</v>
      </c>
      <c r="C15" s="2311"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2013</v>
      </c>
      <c r="B16" s="97"/>
      <c r="C16" s="1008"/>
      <c r="D16" s="2313"/>
      <c r="E16" s="97"/>
      <c r="F16" s="97"/>
      <c r="G16" s="98">
        <f>ROUND(SUMPRODUCT(G6:G13,K6:K13)/SUMPRODUCT((G6:G13&gt;0)*(K6:K13)),3)</f>
        <v>0.97</v>
      </c>
      <c r="H16" s="99">
        <f>ROUND(SUMPRODUCT(H6:H13,K6:K13)/SUMPRODUCT((H6:H13&gt;0)*(K6:K13)),3)</f>
        <v>4.4999999999999998E-2</v>
      </c>
      <c r="I16" s="100"/>
      <c r="J16" s="100"/>
      <c r="K16" s="101">
        <f>SUM(K6:K15)</f>
        <v>43189.020000000004</v>
      </c>
      <c r="L16" s="102">
        <f>ROUND(M16*10000/SUM(K6:K14),0)</f>
        <v>2684</v>
      </c>
      <c r="M16" s="102">
        <f>SUM(M6:M14)</f>
        <v>11592</v>
      </c>
      <c r="N16" s="103">
        <f>ROUND(SUMPRODUCT(M6:M14,N6:N14)/M16,3)</f>
        <v>0.23499999999999999</v>
      </c>
      <c r="O16" s="102">
        <f>SUM(O6:O14)</f>
        <v>2719</v>
      </c>
      <c r="P16" s="102">
        <f>SUM(P6:P14)</f>
        <v>8873</v>
      </c>
      <c r="Q16" s="104">
        <f>ROUND(SUMPRODUCT(Q6:Q13,K6:K13)/SUMPRODUCT((Q6:Q13&gt;0)*(K6:K13)),2)</f>
        <v>0.05</v>
      </c>
      <c r="R16" s="1258">
        <f ca="1">SUM(R6:R13)</f>
        <v>13519.92</v>
      </c>
      <c r="S16" s="105">
        <f>SUM(S6:S13)</f>
        <v>756.54</v>
      </c>
      <c r="T16" s="106">
        <f>IF(SUMIF(T6:T13,"&lt;9E307")=M14,SUMIF(T6:T13,"&lt;9E307"),"有误，请检查")</f>
        <v>136</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3"/>
      <c r="D17" s="2272"/>
      <c r="E17" s="2272"/>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9"/>
      <c r="C18" s="2276"/>
      <c r="D18" s="2277"/>
      <c r="E18" s="2276"/>
      <c r="F18" s="2276"/>
      <c r="G18" s="2276"/>
      <c r="H18" s="2276"/>
      <c r="I18" s="2276"/>
      <c r="J18" s="2276"/>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2015</v>
      </c>
      <c r="B19" s="112">
        <v>0</v>
      </c>
      <c r="C19" s="2276" t="s">
        <v>2016</v>
      </c>
      <c r="D19" s="2277"/>
      <c r="E19" s="2276"/>
      <c r="F19" s="2276"/>
      <c r="G19" s="2276"/>
      <c r="H19" s="2276"/>
      <c r="I19" s="2276"/>
      <c r="J19" s="2276"/>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2017</v>
      </c>
      <c r="B20" s="113">
        <v>1.5</v>
      </c>
      <c r="C20" s="2276" t="s">
        <v>2018</v>
      </c>
      <c r="D20" s="2277"/>
      <c r="E20" s="2276"/>
      <c r="F20" s="2276"/>
      <c r="G20" s="2276"/>
      <c r="H20" s="2276"/>
      <c r="I20" s="2276"/>
      <c r="J20" s="2276"/>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2019</v>
      </c>
      <c r="B21" s="113">
        <f>ROUND(B20*0.2,2)</f>
        <v>0.3</v>
      </c>
      <c r="C21" s="2276"/>
      <c r="D21" s="2277"/>
      <c r="E21" s="2276"/>
      <c r="F21" s="2276"/>
      <c r="G21" s="2276"/>
      <c r="H21" s="2276"/>
      <c r="I21" s="2276"/>
      <c r="J21" s="2276"/>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2020</v>
      </c>
      <c r="B22" s="114">
        <f>B19+B20</f>
        <v>1.5</v>
      </c>
      <c r="C22" s="2276"/>
      <c r="D22" s="2277"/>
      <c r="E22" s="2276"/>
      <c r="F22" s="2276"/>
      <c r="G22" s="2276"/>
      <c r="H22" s="2276"/>
      <c r="I22" s="2276"/>
      <c r="J22" s="2276"/>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2021</v>
      </c>
      <c r="B23" s="114">
        <f>B19+B21</f>
        <v>0.3</v>
      </c>
      <c r="C23" s="2276"/>
      <c r="D23" s="2277"/>
      <c r="E23" s="2276"/>
      <c r="F23" s="2276"/>
      <c r="G23" s="2276"/>
      <c r="H23" s="2276"/>
      <c r="I23" s="2276"/>
      <c r="J23" s="2276"/>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2022</v>
      </c>
      <c r="B24" s="115">
        <f>B20-B21</f>
        <v>1.2</v>
      </c>
      <c r="C24" s="2276"/>
      <c r="D24" s="2277"/>
      <c r="E24" s="2276"/>
      <c r="F24" s="2276"/>
      <c r="G24" s="2276"/>
      <c r="H24" s="2276"/>
      <c r="I24" s="2276"/>
      <c r="J24" s="2276"/>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2023</v>
      </c>
      <c r="B26" s="2319" t="s">
        <v>2024</v>
      </c>
      <c r="C26" s="2320" t="s">
        <v>2025</v>
      </c>
      <c r="D26" s="2277"/>
      <c r="E26" s="2276"/>
      <c r="F26" s="2276"/>
      <c r="G26" s="2276"/>
      <c r="H26" s="2276"/>
      <c r="I26" s="2276"/>
      <c r="J26" s="2276"/>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2026</v>
      </c>
      <c r="B27" s="116">
        <v>60</v>
      </c>
      <c r="C27" s="1766" t="s">
        <v>2027</v>
      </c>
      <c r="D27" s="2322"/>
      <c r="E27" s="1430"/>
      <c r="F27" s="1430"/>
      <c r="G27" s="2276"/>
      <c r="H27" s="2276"/>
      <c r="I27" s="2276"/>
      <c r="J27" s="2276"/>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2028</v>
      </c>
      <c r="B28" s="119">
        <v>60</v>
      </c>
      <c r="C28" s="2325"/>
      <c r="D28" s="2322"/>
      <c r="E28" s="1430"/>
      <c r="F28" s="1430"/>
      <c r="G28" s="2276"/>
      <c r="H28" s="2276"/>
      <c r="I28" s="2276"/>
      <c r="J28" s="2276"/>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2029</v>
      </c>
      <c r="B29" s="121"/>
      <c r="C29" s="1766" t="s">
        <v>2030</v>
      </c>
      <c r="D29" s="2322"/>
      <c r="E29" s="1430"/>
      <c r="F29" s="1430"/>
      <c r="G29" s="2276"/>
      <c r="H29" s="2276"/>
      <c r="I29" s="2276"/>
      <c r="J29" s="2276"/>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2031</v>
      </c>
      <c r="B30" s="724">
        <v>200</v>
      </c>
      <c r="C30" s="2325"/>
      <c r="D30" s="2322"/>
      <c r="E30" s="1430"/>
      <c r="F30" s="1430"/>
      <c r="G30" s="2276"/>
      <c r="H30" s="2276"/>
      <c r="I30" s="2276"/>
      <c r="J30" s="2276"/>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2032</v>
      </c>
      <c r="B31" s="120">
        <f>B30-B32</f>
        <v>200</v>
      </c>
      <c r="C31" s="1766"/>
      <c r="D31" s="2322"/>
      <c r="E31" s="1430"/>
      <c r="F31" s="1430"/>
      <c r="G31" s="2276"/>
      <c r="H31" s="2276"/>
      <c r="I31" s="2276"/>
      <c r="J31" s="2276"/>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2033</v>
      </c>
      <c r="B32" s="725">
        <v>0</v>
      </c>
      <c r="C32" s="2325"/>
      <c r="D32" s="2277"/>
      <c r="E32" s="2276"/>
      <c r="F32" s="2276"/>
      <c r="G32" s="2276"/>
      <c r="H32" s="2276"/>
      <c r="I32" s="2276"/>
      <c r="J32" s="2276"/>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2034</v>
      </c>
      <c r="B33" s="726">
        <v>0.03</v>
      </c>
      <c r="C33" s="1765" t="s">
        <v>2035</v>
      </c>
      <c r="D33" s="2277"/>
      <c r="E33" s="2276"/>
      <c r="F33" s="2276"/>
      <c r="G33" s="2276"/>
      <c r="H33" s="2276"/>
      <c r="I33" s="2276"/>
      <c r="J33" s="2276"/>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2036</v>
      </c>
      <c r="B34" s="122">
        <v>0.05</v>
      </c>
      <c r="C34" s="1765" t="s">
        <v>2037</v>
      </c>
      <c r="D34" s="2277" t="s">
        <v>2038</v>
      </c>
      <c r="E34" s="732"/>
      <c r="F34" s="2276"/>
      <c r="G34" s="2276"/>
      <c r="H34" s="2276"/>
      <c r="I34" s="2276"/>
      <c r="J34" s="2276"/>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2039</v>
      </c>
      <c r="B35" s="119">
        <v>200</v>
      </c>
      <c r="C35" s="1765" t="s">
        <v>2040</v>
      </c>
      <c r="D35" s="2322"/>
      <c r="E35" s="1430"/>
      <c r="F35" s="1430"/>
      <c r="G35" s="2276"/>
      <c r="H35" s="2276"/>
      <c r="I35" s="2276"/>
      <c r="J35" s="2276"/>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2041</v>
      </c>
      <c r="B36" s="123">
        <v>1.4999999999999999E-2</v>
      </c>
      <c r="C36" s="1765" t="s">
        <v>2042</v>
      </c>
      <c r="D36" s="2277"/>
      <c r="E36" s="2276"/>
      <c r="F36" s="2276"/>
      <c r="G36" s="2276"/>
      <c r="H36" s="2276"/>
      <c r="I36" s="2276"/>
      <c r="J36" s="2276"/>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2043</v>
      </c>
      <c r="B37" s="124">
        <v>0.02</v>
      </c>
      <c r="C37" s="1765" t="s">
        <v>2044</v>
      </c>
      <c r="D37" s="2277"/>
      <c r="E37" s="2276"/>
      <c r="F37" s="2276"/>
      <c r="G37" s="2276"/>
      <c r="H37" s="2276"/>
      <c r="I37" s="2276"/>
      <c r="J37" s="2276"/>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2045</v>
      </c>
      <c r="B38" s="122">
        <v>0.01</v>
      </c>
      <c r="C38" s="1765" t="s">
        <v>2044</v>
      </c>
      <c r="D38" s="2277"/>
      <c r="E38" s="2276"/>
      <c r="F38" s="2276"/>
      <c r="G38" s="2276"/>
      <c r="H38" s="2276"/>
      <c r="I38" s="2276"/>
      <c r="J38" s="2276"/>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2046</v>
      </c>
      <c r="B39" s="362">
        <f ca="1">存贷款利率!I1</f>
        <v>1.4999999999999999E-2</v>
      </c>
      <c r="C39" s="1765"/>
      <c r="D39" s="2277"/>
      <c r="E39" s="2276"/>
      <c r="F39" s="2276"/>
      <c r="G39" s="2276"/>
      <c r="H39" s="2276"/>
      <c r="I39" s="2276"/>
      <c r="J39" s="2276"/>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2047</v>
      </c>
      <c r="B40" s="1303">
        <f ca="1">存贷款利率!G1</f>
        <v>4.7500000000000001E-2</v>
      </c>
      <c r="C40" s="1765" t="s">
        <v>2048</v>
      </c>
      <c r="D40" s="1583"/>
      <c r="E40" s="2277"/>
      <c r="F40" s="2276"/>
      <c r="G40" s="2276"/>
      <c r="H40" s="2276"/>
      <c r="I40" s="2276"/>
      <c r="J40" s="2276"/>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2049</v>
      </c>
      <c r="B41" s="125">
        <f>B42+B43</f>
        <v>5.6000000000000001E-2</v>
      </c>
      <c r="C41" s="1766"/>
      <c r="D41" s="1583"/>
      <c r="E41" s="2277"/>
      <c r="F41" s="2276"/>
      <c r="G41" s="2276"/>
      <c r="H41" s="2276"/>
      <c r="I41" s="2276"/>
      <c r="J41" s="2276"/>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2050</v>
      </c>
      <c r="B42" s="126">
        <v>0.05</v>
      </c>
      <c r="C42" s="2330">
        <f>IF(B2&lt;DATE(2016,5,1),0,B42)</f>
        <v>0.05</v>
      </c>
      <c r="D42" s="2277"/>
      <c r="E42" s="2276"/>
      <c r="F42" s="2276"/>
      <c r="G42" s="2276"/>
      <c r="H42" s="2276"/>
      <c r="I42" s="2276"/>
      <c r="J42" s="2276"/>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2051</v>
      </c>
      <c r="B43" s="127">
        <f>B42*(B44+B45+B46)+B47</f>
        <v>6.000000000000001E-3</v>
      </c>
      <c r="C43" s="1766"/>
      <c r="D43" s="2277"/>
      <c r="E43" s="2276"/>
      <c r="F43" s="2276"/>
      <c r="G43" s="2276"/>
      <c r="H43" s="2276"/>
      <c r="I43" s="2276"/>
      <c r="J43" s="2276"/>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2052</v>
      </c>
      <c r="B44" s="128">
        <v>7.0000000000000007E-2</v>
      </c>
      <c r="C44" s="1765" t="s">
        <v>2053</v>
      </c>
      <c r="D44" s="2277"/>
      <c r="E44" s="2276"/>
      <c r="F44" s="2276"/>
      <c r="G44" s="2276"/>
      <c r="H44" s="2276"/>
      <c r="I44" s="2276"/>
      <c r="J44" s="2276"/>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2054</v>
      </c>
      <c r="B45" s="126">
        <v>0.03</v>
      </c>
      <c r="C45" s="1766" t="s">
        <v>2055</v>
      </c>
      <c r="D45" s="2277"/>
      <c r="E45" s="2276"/>
      <c r="F45" s="2276"/>
      <c r="G45" s="2276"/>
      <c r="H45" s="2276"/>
      <c r="I45" s="2276"/>
      <c r="J45" s="2276"/>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2056</v>
      </c>
      <c r="B46" s="126">
        <v>0.02</v>
      </c>
      <c r="C46" s="1766" t="s">
        <v>2057</v>
      </c>
      <c r="D46" s="2277"/>
      <c r="E46" s="2276"/>
      <c r="F46" s="2276"/>
      <c r="G46" s="2276"/>
      <c r="H46" s="2276"/>
      <c r="I46" s="2276"/>
      <c r="J46" s="2276"/>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2058</v>
      </c>
      <c r="B47" s="129">
        <v>0</v>
      </c>
      <c r="C47" s="1766" t="s">
        <v>2059</v>
      </c>
      <c r="D47" s="2277"/>
      <c r="E47" s="2276"/>
      <c r="F47" s="2276"/>
      <c r="G47" s="2276"/>
      <c r="H47" s="2276"/>
      <c r="I47" s="2276"/>
      <c r="J47" s="2276"/>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2060</v>
      </c>
      <c r="B48" s="130">
        <v>0.04</v>
      </c>
      <c r="C48" s="1773" t="s">
        <v>2061</v>
      </c>
      <c r="D48" s="2277"/>
      <c r="E48" s="2276"/>
      <c r="F48" s="2276"/>
      <c r="G48" s="2276"/>
      <c r="H48" s="2276"/>
      <c r="I48" s="2276"/>
      <c r="J48" s="2276"/>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2062</v>
      </c>
      <c r="B49" s="126">
        <v>5.0000000000000001E-4</v>
      </c>
      <c r="C49" s="1773" t="s">
        <v>2063</v>
      </c>
      <c r="D49" s="2277"/>
      <c r="E49" s="2276"/>
      <c r="F49" s="2276"/>
      <c r="G49" s="2276"/>
      <c r="H49" s="2276"/>
      <c r="I49" s="2276"/>
      <c r="J49" s="2276"/>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2064</v>
      </c>
      <c r="B50" s="131">
        <v>1.2E-2</v>
      </c>
      <c r="C50" s="1430"/>
      <c r="D50" s="2277"/>
      <c r="E50" s="2276"/>
      <c r="F50" s="2276"/>
      <c r="G50" s="2276"/>
      <c r="H50" s="2276"/>
      <c r="I50" s="2276"/>
      <c r="J50" s="2276"/>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2065</v>
      </c>
      <c r="B51" s="132">
        <v>0.12</v>
      </c>
      <c r="C51" s="1430"/>
      <c r="D51" s="2277"/>
      <c r="E51" s="2276"/>
      <c r="F51" s="2276"/>
      <c r="G51" s="2276"/>
      <c r="H51" s="2276"/>
      <c r="I51" s="2276"/>
      <c r="J51" s="2276"/>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2066</v>
      </c>
      <c r="B52" s="133">
        <f>SUMIF(A54:A63,B53,B54:B63)</f>
        <v>4</v>
      </c>
      <c r="C52" s="1430"/>
      <c r="D52" s="2277"/>
      <c r="E52" s="2276"/>
      <c r="F52" s="2276"/>
      <c r="G52" s="2276"/>
      <c r="H52" s="2276"/>
      <c r="I52" s="2276"/>
      <c r="J52" s="2276"/>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2067</v>
      </c>
      <c r="B53" s="2335" t="s">
        <v>56</v>
      </c>
      <c r="C53" s="1430" t="s">
        <v>2068</v>
      </c>
      <c r="D53" s="2336" t="s">
        <v>2069</v>
      </c>
      <c r="E53" s="2276"/>
      <c r="F53" s="2276"/>
      <c r="G53" s="2276"/>
      <c r="H53" s="2276"/>
      <c r="I53" s="2276"/>
      <c r="J53" s="2276"/>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2070</v>
      </c>
      <c r="B54" s="84"/>
      <c r="C54" s="1430">
        <v>30</v>
      </c>
      <c r="D54" s="2277"/>
      <c r="E54" s="2276"/>
      <c r="F54" s="2276"/>
      <c r="G54" s="2276"/>
      <c r="H54" s="2276"/>
      <c r="I54" s="2276"/>
      <c r="J54" s="2276"/>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2071</v>
      </c>
      <c r="B55" s="84"/>
      <c r="C55" s="1430">
        <v>24</v>
      </c>
      <c r="D55" s="2277"/>
      <c r="E55" s="2276"/>
      <c r="F55" s="2276"/>
      <c r="G55" s="2276"/>
      <c r="H55" s="2276"/>
      <c r="I55" s="2338"/>
      <c r="J55" s="2276"/>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2072</v>
      </c>
      <c r="B56" s="84"/>
      <c r="C56" s="1430">
        <v>18</v>
      </c>
      <c r="D56" s="2277"/>
      <c r="E56" s="2276"/>
      <c r="F56" s="2276"/>
      <c r="G56" s="2276"/>
      <c r="H56" s="2276"/>
      <c r="I56" s="2276"/>
      <c r="J56" s="2276"/>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2073</v>
      </c>
      <c r="B57" s="84"/>
      <c r="C57" s="1430">
        <v>12</v>
      </c>
      <c r="D57" s="2277"/>
      <c r="E57" s="2276"/>
      <c r="F57" s="2276"/>
      <c r="G57" s="2276"/>
      <c r="H57" s="2276"/>
      <c r="I57" s="2276"/>
      <c r="J57" s="2276"/>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2074</v>
      </c>
      <c r="B58" s="84"/>
      <c r="C58" s="1430">
        <v>3</v>
      </c>
      <c r="D58" s="2277"/>
      <c r="E58" s="2276"/>
      <c r="F58" s="2276"/>
      <c r="G58" s="2276"/>
      <c r="H58" s="2276"/>
      <c r="I58" s="2276"/>
      <c r="J58" s="2276"/>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2075</v>
      </c>
      <c r="B59" s="84">
        <v>4</v>
      </c>
      <c r="C59" s="1430">
        <v>1.5</v>
      </c>
      <c r="D59" s="2277"/>
      <c r="E59" s="2276"/>
      <c r="F59" s="2276"/>
      <c r="G59" s="2276"/>
      <c r="H59" s="2276"/>
      <c r="I59" s="2276"/>
      <c r="J59" s="2276"/>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2076</v>
      </c>
      <c r="B60" s="84"/>
      <c r="C60" s="2276"/>
      <c r="D60" s="2277"/>
      <c r="E60" s="2276"/>
      <c r="F60" s="2276"/>
      <c r="G60" s="2276"/>
      <c r="H60" s="2276"/>
      <c r="I60" s="2276"/>
      <c r="J60" s="2276"/>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2077</v>
      </c>
      <c r="B61" s="84"/>
      <c r="C61" s="2276"/>
      <c r="D61" s="2277"/>
      <c r="E61" s="2276"/>
      <c r="F61" s="2276"/>
      <c r="G61" s="2276"/>
      <c r="H61" s="2276"/>
      <c r="I61" s="2276"/>
      <c r="J61" s="2276"/>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2078</v>
      </c>
      <c r="B62" s="84"/>
      <c r="C62" s="2276"/>
      <c r="D62" s="2277"/>
      <c r="E62" s="2276"/>
      <c r="F62" s="2276"/>
      <c r="G62" s="2276"/>
      <c r="H62" s="2276"/>
      <c r="I62" s="2276"/>
      <c r="J62" s="2276"/>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2079</v>
      </c>
      <c r="B63" s="134"/>
      <c r="C63" s="2276"/>
      <c r="D63" s="2277"/>
      <c r="E63" s="2276"/>
      <c r="F63" s="2276"/>
      <c r="G63" s="2276"/>
      <c r="H63" s="2276"/>
      <c r="I63" s="2276"/>
      <c r="J63" s="2276"/>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1" t="s">
        <v>2080</v>
      </c>
      <c r="B1" s="3072"/>
      <c r="C1" s="3072"/>
      <c r="D1" s="3072"/>
      <c r="E1" s="3072"/>
      <c r="F1" s="3072"/>
      <c r="G1" s="3072"/>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54">
      <c r="A3" s="415" t="s">
        <v>2083</v>
      </c>
      <c r="B3" s="1271" t="s">
        <v>2084</v>
      </c>
      <c r="C3" s="2369" t="s">
        <v>2085</v>
      </c>
      <c r="D3" s="2370"/>
      <c r="E3" s="431" t="s">
        <v>2083</v>
      </c>
      <c r="F3" s="2371" t="s">
        <v>2086</v>
      </c>
      <c r="G3" s="2372" t="s">
        <v>2087</v>
      </c>
      <c r="H3" s="2367"/>
      <c r="I3" s="2367"/>
      <c r="J3" s="2367"/>
      <c r="K3" s="2367"/>
      <c r="L3" s="2367"/>
      <c r="M3" s="2367"/>
      <c r="N3" s="2367"/>
      <c r="O3" s="2367"/>
      <c r="P3" s="2367"/>
      <c r="Q3" s="2367"/>
      <c r="R3" s="2367"/>
    </row>
    <row r="4" spans="1:29" ht="41.25">
      <c r="A4" s="431"/>
      <c r="B4" s="1797" t="s">
        <v>2088</v>
      </c>
      <c r="C4" s="2373" t="s">
        <v>2089</v>
      </c>
      <c r="D4" s="2370"/>
      <c r="E4" s="2374"/>
      <c r="F4" s="42" t="s">
        <v>2090</v>
      </c>
      <c r="G4" s="2375" t="s">
        <v>2091</v>
      </c>
      <c r="H4" s="2367"/>
      <c r="I4" s="2367"/>
      <c r="J4" s="2367"/>
      <c r="K4" s="2367"/>
      <c r="L4" s="2367"/>
      <c r="M4" s="2367"/>
      <c r="N4" s="2367"/>
      <c r="O4" s="2367"/>
      <c r="P4" s="2367"/>
      <c r="Q4" s="2367"/>
      <c r="R4" s="2367"/>
    </row>
    <row r="5" spans="1:29" ht="41.25">
      <c r="A5" s="431"/>
      <c r="B5" s="1797" t="s">
        <v>2092</v>
      </c>
      <c r="C5" s="2373" t="s">
        <v>2093</v>
      </c>
      <c r="D5" s="2370"/>
      <c r="E5" s="2374"/>
      <c r="F5" s="1797" t="s">
        <v>2094</v>
      </c>
      <c r="G5" s="2375" t="s">
        <v>2095</v>
      </c>
      <c r="H5" s="2367"/>
      <c r="I5" s="2367"/>
      <c r="J5" s="2367"/>
      <c r="K5" s="2367"/>
      <c r="L5" s="2367"/>
      <c r="M5" s="2367"/>
      <c r="N5" s="2367"/>
      <c r="O5" s="2367"/>
      <c r="P5" s="2367"/>
      <c r="Q5" s="2367"/>
      <c r="R5" s="2367"/>
    </row>
    <row r="6" spans="1:29" ht="54">
      <c r="A6" s="431"/>
      <c r="B6" s="1797" t="s">
        <v>2096</v>
      </c>
      <c r="C6" s="2375" t="s">
        <v>2091</v>
      </c>
      <c r="D6" s="2370"/>
      <c r="E6" s="2374"/>
      <c r="F6" s="1797" t="s">
        <v>2097</v>
      </c>
      <c r="G6" s="2375" t="s">
        <v>2098</v>
      </c>
      <c r="H6" s="2367"/>
      <c r="I6" s="2367"/>
      <c r="J6" s="2367"/>
      <c r="K6" s="2367"/>
      <c r="L6" s="2367"/>
      <c r="M6" s="2367"/>
      <c r="N6" s="2367"/>
      <c r="O6" s="2367"/>
      <c r="P6" s="2367"/>
      <c r="Q6" s="2367"/>
      <c r="R6" s="2367"/>
    </row>
    <row r="7" spans="1:29" ht="41.25" thickBot="1">
      <c r="A7" s="431"/>
      <c r="B7" s="1797" t="s">
        <v>2094</v>
      </c>
      <c r="C7" s="2375" t="s">
        <v>2095</v>
      </c>
      <c r="D7" s="2376"/>
      <c r="E7" s="2377"/>
      <c r="F7" s="2378" t="s">
        <v>2099</v>
      </c>
      <c r="G7" s="2379" t="s">
        <v>2100</v>
      </c>
      <c r="H7" s="2367"/>
      <c r="I7" s="2367"/>
      <c r="J7" s="2367"/>
      <c r="K7" s="2367"/>
      <c r="L7" s="2367"/>
      <c r="M7" s="2367"/>
      <c r="N7" s="2367"/>
      <c r="O7" s="2367"/>
      <c r="P7" s="2367"/>
      <c r="Q7" s="2367"/>
      <c r="R7" s="2367"/>
    </row>
    <row r="8" spans="1:29" ht="27">
      <c r="A8" s="431"/>
      <c r="B8" s="1797" t="s">
        <v>2097</v>
      </c>
      <c r="C8" s="2375" t="s">
        <v>2098</v>
      </c>
      <c r="D8" s="2376"/>
      <c r="E8" s="2376"/>
      <c r="F8" s="1136"/>
      <c r="G8" s="1136"/>
      <c r="H8" s="2367"/>
      <c r="I8" s="2367"/>
      <c r="J8" s="2367"/>
      <c r="K8" s="2367"/>
      <c r="L8" s="2367"/>
      <c r="M8" s="2367"/>
      <c r="N8" s="2367"/>
      <c r="O8" s="2367"/>
      <c r="P8" s="2367"/>
      <c r="Q8" s="2367"/>
      <c r="R8" s="2367"/>
    </row>
    <row r="9" spans="1:29" ht="27">
      <c r="A9" s="431"/>
      <c r="B9" s="1797" t="s">
        <v>2101</v>
      </c>
      <c r="C9" s="2373" t="s">
        <v>2102</v>
      </c>
      <c r="D9" s="2370"/>
      <c r="E9" s="2376"/>
      <c r="F9" s="1136"/>
      <c r="G9" s="1136"/>
      <c r="H9" s="2367"/>
      <c r="I9" s="2367"/>
      <c r="J9" s="2367"/>
      <c r="K9" s="2367"/>
      <c r="L9" s="2367"/>
      <c r="M9" s="2367"/>
      <c r="N9" s="2367"/>
      <c r="O9" s="2367"/>
      <c r="P9" s="2367"/>
      <c r="Q9" s="2367"/>
      <c r="R9" s="2367"/>
    </row>
    <row r="10" spans="1:29" s="117" customFormat="1" ht="15.75" thickBot="1">
      <c r="A10" s="2380"/>
      <c r="B10" s="2381" t="s">
        <v>2103</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2104</v>
      </c>
      <c r="B13" s="2387"/>
      <c r="C13" s="2387"/>
      <c r="D13" s="2394"/>
      <c r="E13" s="2387"/>
      <c r="F13" s="2387"/>
      <c r="G13" s="2387"/>
    </row>
    <row r="14" spans="1:29" ht="15.75" thickBot="1">
      <c r="A14" s="2398"/>
      <c r="B14" s="2399"/>
      <c r="C14" s="2400" t="s">
        <v>2105</v>
      </c>
      <c r="D14" s="2370"/>
      <c r="E14" s="2401"/>
      <c r="F14" s="2401"/>
      <c r="G14" s="2364" t="s">
        <v>2106</v>
      </c>
    </row>
    <row r="15" spans="1:29" ht="57">
      <c r="A15" s="68" t="s">
        <v>2107</v>
      </c>
      <c r="B15" s="1270" t="s">
        <v>2084</v>
      </c>
      <c r="C15" s="2402" t="str">
        <f>C3</f>
        <v>估价对象周边居住用地比例、居住小区规模和社区发展完善程度，综合评价居住社区成熟度一般</v>
      </c>
      <c r="D15" s="2370"/>
      <c r="E15" s="2403" t="s">
        <v>2108</v>
      </c>
      <c r="F15" s="1270" t="s">
        <v>2109</v>
      </c>
      <c r="G15" s="135" t="str">
        <f>G3</f>
        <v>估价对象位于XX开发区，园区建设成熟度XX，产业集聚程度XX</v>
      </c>
    </row>
    <row r="16" spans="1:29" ht="42.75">
      <c r="A16" s="645"/>
      <c r="B16" s="2404" t="s">
        <v>2088</v>
      </c>
      <c r="C16" s="2405" t="str">
        <f>C4</f>
        <v>估价对象位于XX商圈，周边商业氛围成熟，人流量大，商业繁华度好</v>
      </c>
      <c r="D16" s="2370"/>
      <c r="E16" s="2406"/>
      <c r="F16" s="2407" t="s">
        <v>2090</v>
      </c>
      <c r="G16" s="136" t="str">
        <f>G4</f>
        <v>估价对象周边道路状况、公共交通通达情况、停车便捷程度，综合评价交通便捷度较好</v>
      </c>
    </row>
    <row r="17" spans="1:18" ht="42.75">
      <c r="A17" s="645"/>
      <c r="B17" s="2404" t="s">
        <v>2092</v>
      </c>
      <c r="C17" s="2405" t="str">
        <f>C5</f>
        <v>估价对象位于XX商圈，周边办公楼项目较多，入驻率高，办公集聚程度较好</v>
      </c>
      <c r="D17" s="2376"/>
      <c r="E17" s="2406"/>
      <c r="F17" s="2407" t="s">
        <v>2110</v>
      </c>
      <c r="G17" s="1571"/>
    </row>
    <row r="18" spans="1:18" ht="57">
      <c r="A18" s="645"/>
      <c r="B18" s="2407" t="s">
        <v>2096</v>
      </c>
      <c r="C18" s="136" t="str">
        <f>C6</f>
        <v>估价对象周边道路状况、公共交通通达情况、停车便捷程度，综合评价交通便捷度较好</v>
      </c>
      <c r="D18" s="2376"/>
      <c r="E18" s="2406"/>
      <c r="F18" s="2407" t="s">
        <v>2099</v>
      </c>
      <c r="G18" s="136" t="str">
        <f>G7</f>
        <v>该园区内是否有污染型企业，绿化情况，卫生条件，整体环境状况判断</v>
      </c>
    </row>
    <row r="19" spans="1:18" ht="28.5">
      <c r="A19" s="645"/>
      <c r="B19" s="2407" t="s">
        <v>2111</v>
      </c>
      <c r="C19" s="1571"/>
      <c r="D19" s="2370"/>
      <c r="E19" s="2406"/>
      <c r="F19" s="1797" t="s">
        <v>2094</v>
      </c>
      <c r="G19" s="136" t="str">
        <f>G5</f>
        <v>估价对象所在区域公共配套设施齐备情况</v>
      </c>
    </row>
    <row r="20" spans="1:18" ht="28.5">
      <c r="A20" s="645"/>
      <c r="B20" s="2407" t="s">
        <v>2112</v>
      </c>
      <c r="C20" s="2405" t="str">
        <f>C9</f>
        <v>区域自然环境：；人文环境；综合评价环境状况一般</v>
      </c>
      <c r="D20" s="2376"/>
      <c r="E20" s="2406"/>
      <c r="F20" s="1797" t="s">
        <v>2113</v>
      </c>
      <c r="G20" s="136" t="str">
        <f>G6</f>
        <v>估价对象所在区域基础设施水平</v>
      </c>
    </row>
    <row r="21" spans="1:18" ht="28.5">
      <c r="A21" s="645"/>
      <c r="B21" s="1797" t="s">
        <v>2094</v>
      </c>
      <c r="C21" s="136" t="str">
        <f>C7</f>
        <v>估价对象所在区域公共配套设施齐备情况</v>
      </c>
      <c r="D21" s="2370"/>
      <c r="E21" s="2406"/>
      <c r="F21" s="2407" t="s">
        <v>2114</v>
      </c>
      <c r="G21" s="2408"/>
    </row>
    <row r="22" spans="1:18" ht="13.5" customHeight="1">
      <c r="A22" s="645"/>
      <c r="B22" s="1797" t="s">
        <v>2097</v>
      </c>
      <c r="C22" s="136" t="str">
        <f>C8</f>
        <v>估价对象所在区域基础设施水平</v>
      </c>
      <c r="D22" s="2370"/>
      <c r="E22" s="2406"/>
      <c r="F22" s="2407" t="s">
        <v>2103</v>
      </c>
      <c r="G22" s="1571"/>
    </row>
    <row r="23" spans="1:18" s="2367" customFormat="1" ht="15.7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7" customFormat="1" ht="15.7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43189.020000000004</v>
      </c>
      <c r="C1" s="1744"/>
      <c r="D1" s="1744"/>
      <c r="E1" s="1744"/>
      <c r="F1" s="1744"/>
      <c r="G1" s="1742"/>
    </row>
    <row r="2" spans="1:10" ht="16.5">
      <c r="A2" s="1745" t="s">
        <v>1353</v>
      </c>
      <c r="B2" s="1745">
        <f>SUM(C14:C23)</f>
        <v>13519.93</v>
      </c>
      <c r="C2" s="1744"/>
      <c r="D2" s="1744"/>
      <c r="E2" s="1744"/>
      <c r="F2" s="1744"/>
      <c r="G2" s="1742"/>
    </row>
    <row r="3" spans="1:10" ht="16.5">
      <c r="A3" s="1745" t="s">
        <v>1362</v>
      </c>
      <c r="B3" s="1746">
        <f>项目基本情况!D3</f>
        <v>43262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34506</v>
      </c>
      <c r="C5" s="1745">
        <f ca="1">ROUND(B5*10000/$B$1,0)</f>
        <v>7990</v>
      </c>
      <c r="D5" s="1745">
        <f ca="1">ROUND(B5*10000/$B$2,0)</f>
        <v>25522</v>
      </c>
      <c r="E5" s="1744"/>
      <c r="F5" s="1742"/>
      <c r="G5" s="1742"/>
    </row>
    <row r="6" spans="1:10" ht="16.5">
      <c r="A6" s="1745" t="s">
        <v>1356</v>
      </c>
      <c r="B6" s="1745">
        <f ca="1">SUM(G14:G23)</f>
        <v>34506</v>
      </c>
      <c r="C6" s="1745">
        <f ca="1">ROUND(B6*10000/$B$1,0)</f>
        <v>7990</v>
      </c>
      <c r="D6" s="1745">
        <f ca="1">ROUND(B6*10000/$B$2,0)</f>
        <v>25522</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43189.020000000004</v>
      </c>
      <c r="C14" s="1743">
        <f>结果表!C118</f>
        <v>13519.93</v>
      </c>
      <c r="D14" s="1743">
        <f ca="1">结果表!H118</f>
        <v>34506</v>
      </c>
      <c r="E14" s="1743">
        <f ca="1">ROUND(D14*10000/B14,0)</f>
        <v>7990</v>
      </c>
      <c r="F14" s="1743">
        <f ca="1">ROUND(D14*10000/C14,0)</f>
        <v>25522</v>
      </c>
      <c r="G14" s="1743">
        <f ca="1">结果表!D122</f>
        <v>34506</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G19" sqref="G1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2117</v>
      </c>
      <c r="B1" s="2418"/>
      <c r="C1" s="2419"/>
      <c r="D1" s="2418"/>
      <c r="E1" s="2418"/>
      <c r="F1" s="2420" t="s">
        <v>2118</v>
      </c>
      <c r="G1" s="2070" t="s">
        <v>2119</v>
      </c>
      <c r="H1" s="2421" t="str">
        <f>IF(G1="现房","——","估价对象范围")</f>
        <v>估价对象范围</v>
      </c>
      <c r="I1" s="2422" t="s">
        <v>3160</v>
      </c>
    </row>
    <row r="2" spans="1:12" ht="21.75" customHeight="1" thickBot="1">
      <c r="A2" s="3106" t="str">
        <f>项目基本情况!S2</f>
        <v>湖北省武汉市江夏区纸坊街红旗村“江南新天地”（又名“鹏湖湾”）项目出让国有建设用地使用权及在建建筑物房地产</v>
      </c>
      <c r="B2" s="3107"/>
      <c r="C2" s="3107"/>
      <c r="D2" s="3107"/>
      <c r="E2" s="3107"/>
      <c r="F2" s="3107"/>
      <c r="G2" s="3107"/>
      <c r="H2" s="3107"/>
      <c r="I2" s="3108"/>
    </row>
    <row r="3" spans="1:12" ht="12.75">
      <c r="A3" s="3110" t="s">
        <v>2120</v>
      </c>
      <c r="B3" s="3111"/>
      <c r="C3" s="3111"/>
      <c r="D3" s="3111"/>
      <c r="E3" s="3111"/>
      <c r="F3" s="3111"/>
      <c r="G3" s="3111"/>
      <c r="H3" s="3111"/>
      <c r="I3" s="3111"/>
    </row>
    <row r="4" spans="1:12" ht="14.25">
      <c r="A4" s="2425" t="s">
        <v>2121</v>
      </c>
      <c r="B4" s="2426" t="s">
        <v>2122</v>
      </c>
      <c r="C4" s="2427" t="s">
        <v>3161</v>
      </c>
      <c r="D4" s="2427" t="s">
        <v>3162</v>
      </c>
      <c r="E4" s="3103" t="s">
        <v>2123</v>
      </c>
      <c r="F4" s="3104"/>
      <c r="G4" s="3104"/>
      <c r="H4" s="3104"/>
      <c r="I4" s="3112"/>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086" t="s">
        <v>2124</v>
      </c>
      <c r="B5" s="3024">
        <v>25</v>
      </c>
      <c r="C5" s="3089"/>
      <c r="D5" s="3109"/>
      <c r="E5" s="140" t="s">
        <v>2125</v>
      </c>
      <c r="F5" s="2429"/>
      <c r="G5" s="2429"/>
      <c r="H5" s="2429"/>
      <c r="I5" s="1833"/>
    </row>
    <row r="6" spans="1:12" ht="12.75">
      <c r="A6" s="3086"/>
      <c r="B6" s="3024"/>
      <c r="C6" s="3090"/>
      <c r="D6" s="3109"/>
      <c r="E6" s="140" t="s">
        <v>2126</v>
      </c>
      <c r="F6" s="2429"/>
      <c r="G6" s="2429"/>
      <c r="H6" s="2429"/>
      <c r="I6" s="1833"/>
    </row>
    <row r="7" spans="1:12" ht="12.75">
      <c r="A7" s="3086"/>
      <c r="B7" s="3024"/>
      <c r="C7" s="3091"/>
      <c r="D7" s="3109"/>
      <c r="E7" s="140" t="s">
        <v>2127</v>
      </c>
      <c r="F7" s="2429"/>
      <c r="G7" s="2429"/>
      <c r="H7" s="2429"/>
      <c r="I7" s="1833"/>
    </row>
    <row r="8" spans="1:12" ht="12.75">
      <c r="A8" s="3086" t="s">
        <v>2128</v>
      </c>
      <c r="B8" s="3024">
        <v>15</v>
      </c>
      <c r="C8" s="3089"/>
      <c r="D8" s="3109"/>
      <c r="E8" s="140" t="s">
        <v>2129</v>
      </c>
      <c r="F8" s="2429"/>
      <c r="G8" s="2429"/>
      <c r="H8" s="2429"/>
      <c r="I8" s="1833"/>
    </row>
    <row r="9" spans="1:12" ht="12.75">
      <c r="A9" s="3086"/>
      <c r="B9" s="3024"/>
      <c r="C9" s="3091"/>
      <c r="D9" s="3109"/>
      <c r="E9" s="140" t="s">
        <v>2130</v>
      </c>
      <c r="F9" s="2429"/>
      <c r="G9" s="2429"/>
      <c r="H9" s="2429"/>
      <c r="I9" s="1833"/>
    </row>
    <row r="10" spans="1:12" ht="12.75">
      <c r="A10" s="3086" t="s">
        <v>2131</v>
      </c>
      <c r="B10" s="3024">
        <v>15</v>
      </c>
      <c r="C10" s="3089"/>
      <c r="D10" s="3109"/>
      <c r="E10" s="140" t="s">
        <v>2132</v>
      </c>
      <c r="F10" s="2429"/>
      <c r="G10" s="2429"/>
      <c r="H10" s="2429"/>
      <c r="I10" s="1833"/>
    </row>
    <row r="11" spans="1:12" ht="12.75">
      <c r="A11" s="3086"/>
      <c r="B11" s="3024"/>
      <c r="C11" s="3091"/>
      <c r="D11" s="3109"/>
      <c r="E11" s="140" t="s">
        <v>2133</v>
      </c>
      <c r="F11" s="2429"/>
      <c r="G11" s="2429"/>
      <c r="H11" s="2429"/>
      <c r="I11" s="1833"/>
    </row>
    <row r="12" spans="1:12" ht="12.75">
      <c r="A12" s="3086" t="s">
        <v>2134</v>
      </c>
      <c r="B12" s="3024">
        <v>15</v>
      </c>
      <c r="C12" s="3089"/>
      <c r="D12" s="3109"/>
      <c r="E12" s="140" t="s">
        <v>2135</v>
      </c>
      <c r="F12" s="2429"/>
      <c r="G12" s="2429"/>
      <c r="H12" s="2429"/>
      <c r="I12" s="1833"/>
    </row>
    <row r="13" spans="1:12" ht="12.75">
      <c r="A13" s="3086"/>
      <c r="B13" s="3024"/>
      <c r="C13" s="3091"/>
      <c r="D13" s="3109"/>
      <c r="E13" s="140" t="s">
        <v>2136</v>
      </c>
      <c r="F13" s="2429"/>
      <c r="G13" s="2429"/>
      <c r="H13" s="2429"/>
      <c r="I13" s="1833"/>
    </row>
    <row r="14" spans="1:12" ht="12.75">
      <c r="A14" s="3086" t="s">
        <v>2137</v>
      </c>
      <c r="B14" s="3024">
        <v>30</v>
      </c>
      <c r="C14" s="3089">
        <v>5</v>
      </c>
      <c r="D14" s="3109">
        <v>5</v>
      </c>
      <c r="E14" s="140" t="s">
        <v>2138</v>
      </c>
      <c r="F14" s="2429"/>
      <c r="G14" s="2429"/>
      <c r="H14" s="2429"/>
      <c r="I14" s="1833"/>
    </row>
    <row r="15" spans="1:12" ht="12.75">
      <c r="A15" s="3086"/>
      <c r="B15" s="3024"/>
      <c r="C15" s="3090"/>
      <c r="D15" s="3109"/>
      <c r="E15" s="140" t="s">
        <v>2139</v>
      </c>
      <c r="F15" s="2429"/>
      <c r="G15" s="2429"/>
      <c r="H15" s="2429"/>
      <c r="I15" s="1833"/>
    </row>
    <row r="16" spans="1:12" ht="12.75">
      <c r="A16" s="3086"/>
      <c r="B16" s="3024"/>
      <c r="C16" s="3091"/>
      <c r="D16" s="3109"/>
      <c r="E16" s="140" t="s">
        <v>2140</v>
      </c>
      <c r="F16" s="2429"/>
      <c r="G16" s="2429"/>
      <c r="H16" s="2429"/>
      <c r="I16" s="1833"/>
    </row>
    <row r="17" spans="1:35" ht="15">
      <c r="A17" s="2430" t="s">
        <v>2141</v>
      </c>
      <c r="B17" s="64"/>
      <c r="C17" s="141">
        <f>SUM(C5:C16)</f>
        <v>5</v>
      </c>
      <c r="D17" s="141">
        <f>SUM(D5:D16)</f>
        <v>5</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43189.020000000004</v>
      </c>
      <c r="M18" s="2428">
        <f>IF(C1="",'数据-汇总表'!E3,SUMIF(项目类型,C1,'数据-汇总表'!E17:E26))</f>
        <v>43189.020000000004</v>
      </c>
    </row>
    <row r="19" spans="1:35" ht="15">
      <c r="A19" s="2434" t="s">
        <v>2146</v>
      </c>
      <c r="B19" s="2435" t="s">
        <v>2147</v>
      </c>
      <c r="C19" s="143">
        <f ca="1">SUMIF(INDIRECT("'"&amp;C4&amp;"'"&amp;"!A:A"),结果表!B19,INDIRECT("'"&amp;C4&amp;"'"&amp;"!B:B"))</f>
        <v>37175</v>
      </c>
      <c r="D19" s="144">
        <f ca="1">SUMIF(INDIRECT("'"&amp;D4&amp;"'"&amp;"!A:A"),结果表!B19,INDIRECT("'"&amp;D4&amp;"'"&amp;"!B:B"))</f>
        <v>31837</v>
      </c>
      <c r="E19" s="2434" t="s">
        <v>2148</v>
      </c>
      <c r="F19" s="2435" t="s">
        <v>2147</v>
      </c>
      <c r="G19" s="145">
        <f ca="1">ROUND(C19*$C$18+D19*$D$18,0)</f>
        <v>34506</v>
      </c>
      <c r="H19" s="2436" t="s">
        <v>2149</v>
      </c>
      <c r="I19" s="138"/>
      <c r="K19" s="2428" t="s">
        <v>2150</v>
      </c>
      <c r="L19" s="2428">
        <f>IF(C1="",'数据-汇总表'!D3,SUMIF(项目类型,C1,'数据-汇总表'!D17:D26)+SUMIF(项目类型,C1,'数据-汇总表'!H17:H27))</f>
        <v>13519.93</v>
      </c>
      <c r="M19" s="2428">
        <f>IF(C1="",'数据-汇总表'!D3,SUMIF(项目类型,C1,'数据-汇总表'!D17:D26))</f>
        <v>13519.93</v>
      </c>
    </row>
    <row r="20" spans="1:35" ht="15">
      <c r="A20" s="2437"/>
      <c r="B20" s="1250" t="s">
        <v>2151</v>
      </c>
      <c r="C20" s="146">
        <f ca="1">SUMIF(INDIRECT("'"&amp;C4&amp;"'"&amp;"!A:A"),结果表!B20,INDIRECT("'"&amp;C4&amp;"'"&amp;"!B:B"))</f>
        <v>8608</v>
      </c>
      <c r="D20" s="147">
        <f ca="1">SUMIF(INDIRECT("'"&amp;D4&amp;"'"&amp;"!A:A"),结果表!B20,INDIRECT("'"&amp;D4&amp;"'"&amp;"!B:B"))</f>
        <v>7372</v>
      </c>
      <c r="E20" s="2437"/>
      <c r="F20" s="1250" t="s">
        <v>2151</v>
      </c>
      <c r="G20" s="148">
        <f ca="1">ROUND(C20*$C$18+D20*$D$18,0)</f>
        <v>7990</v>
      </c>
      <c r="H20" s="983" t="s">
        <v>2152</v>
      </c>
      <c r="I20" s="138"/>
    </row>
    <row r="21" spans="1:35" ht="15" customHeight="1" thickBot="1">
      <c r="A21" s="1003"/>
      <c r="B21" s="2438" t="s">
        <v>2153</v>
      </c>
      <c r="C21" s="789">
        <f ca="1">ROUND(C19*10000/L19,0)</f>
        <v>27496</v>
      </c>
      <c r="D21" s="790">
        <f ca="1">ROUND(D19*10000/L19,0)</f>
        <v>23548</v>
      </c>
      <c r="E21" s="1003"/>
      <c r="F21" s="2438" t="s">
        <v>2153</v>
      </c>
      <c r="G21" s="149">
        <f ca="1">ROUND(G19*10000/L19,0)</f>
        <v>25522</v>
      </c>
      <c r="H21" s="2439" t="s">
        <v>2152</v>
      </c>
      <c r="I21" s="138"/>
    </row>
    <row r="22" spans="1:35" ht="15" thickBot="1">
      <c r="A22" s="2280" t="s">
        <v>2154</v>
      </c>
      <c r="B22" s="2440"/>
      <c r="C22" s="2441"/>
      <c r="D22" s="791">
        <f ca="1">IF(C19&lt;D19,D19/C19-1,C19/D19-1)</f>
        <v>0.16766655149668619</v>
      </c>
      <c r="E22" s="138"/>
      <c r="F22" s="138"/>
      <c r="G22" s="138"/>
      <c r="H22" s="138"/>
      <c r="I22" s="138"/>
    </row>
    <row r="23" spans="1:35" ht="13.5" thickBot="1">
      <c r="A23" s="2418"/>
      <c r="B23" s="2418"/>
      <c r="C23" s="2418"/>
      <c r="D23" s="2418"/>
      <c r="E23" s="138"/>
      <c r="F23" s="138"/>
      <c r="G23" s="138"/>
      <c r="H23" s="138"/>
      <c r="I23" s="138"/>
    </row>
    <row r="24" spans="1:35" ht="14.25">
      <c r="A24" s="3080" t="s">
        <v>2155</v>
      </c>
      <c r="B24" s="2435" t="s">
        <v>2147</v>
      </c>
      <c r="C24" s="145">
        <f>IF(B30=0,0,D30)</f>
        <v>0</v>
      </c>
      <c r="D24" s="2442"/>
      <c r="E24" s="138"/>
      <c r="F24" s="138"/>
      <c r="G24" s="138"/>
      <c r="H24" s="138"/>
      <c r="I24" s="138"/>
    </row>
    <row r="25" spans="1:35" ht="14.25">
      <c r="A25" s="3081"/>
      <c r="B25" s="1250"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27" t="s">
        <v>3037</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34506</v>
      </c>
      <c r="D32" s="2449" t="s">
        <v>2162</v>
      </c>
      <c r="E32" s="138"/>
      <c r="F32" s="138"/>
      <c r="G32" s="138"/>
      <c r="H32" s="138"/>
      <c r="I32" s="138"/>
    </row>
    <row r="33" spans="1:15" ht="15">
      <c r="A33" s="960" t="s">
        <v>2163</v>
      </c>
      <c r="B33" s="2450"/>
      <c r="C33" s="2451" t="s">
        <v>3171</v>
      </c>
      <c r="D33" s="2452" t="s">
        <v>3161</v>
      </c>
      <c r="E33" s="2453" t="s">
        <v>2164</v>
      </c>
      <c r="F33" s="2454" t="str">
        <f>IF(D32="楼面单价","取值（单价）","取值（总价）")</f>
        <v>取值（总价）</v>
      </c>
      <c r="G33" s="138"/>
      <c r="H33" s="138"/>
      <c r="I33" s="138"/>
    </row>
    <row r="34" spans="1:15" ht="15">
      <c r="A34" s="2455"/>
      <c r="B34" s="2456" t="s">
        <v>2165</v>
      </c>
      <c r="C34" s="157">
        <f ca="1">IF(C33="自定义",F34,C32-C35)</f>
        <v>31090</v>
      </c>
      <c r="D34" s="1058">
        <f ca="1">IF(C33="自定义",ROUND(C34/C32,3),IF(C33="收益比率",SUMIF(INDIRECT("'"&amp;D33&amp;"'"&amp;"!b:b"),"土地收益比率",INDIRECT("'"&amp;D33&amp;"'"&amp;"!c:c")),SUMIF(INDIRECT("'"&amp;D33&amp;"'"&amp;"!b:b"),"土地成本比率",INDIRECT("'"&amp;D33&amp;"'"&amp;"!c:c"))))</f>
        <v>0.90100000000000002</v>
      </c>
      <c r="E34" s="2457" t="s">
        <v>2166</v>
      </c>
      <c r="F34" s="1738"/>
      <c r="G34" s="138">
        <f ca="1">ROUND(C34*10000/'数据-汇总表'!E3,0)</f>
        <v>7199</v>
      </c>
      <c r="H34" s="138"/>
      <c r="I34" s="138"/>
    </row>
    <row r="35" spans="1:15" ht="15.75" thickBot="1">
      <c r="A35" s="2458"/>
      <c r="B35" s="2459" t="s">
        <v>2167</v>
      </c>
      <c r="C35" s="1444">
        <f ca="1">IF(C33="自定义",F35,ROUND(C32*D35,0))</f>
        <v>3416</v>
      </c>
      <c r="D35" s="1445">
        <f ca="1">IF(C33="自定义",ROUND(C35/C32,3),IF(C33="收益比率",SUMIF(INDIRECT("'"&amp;D33&amp;"'"&amp;"!b:b"),"建筑物收益比率",INDIRECT("'"&amp;D33&amp;"'"&amp;"!c:c")),SUMIF(INDIRECT("'"&amp;D33&amp;"'"&amp;"!b:b"),"建筑物成本比率",INDIRECT("'"&amp;D33&amp;"'"&amp;"!c:c"))))</f>
        <v>9.9000000000000005E-2</v>
      </c>
      <c r="E35" s="2460" t="s">
        <v>2168</v>
      </c>
      <c r="F35" s="163"/>
      <c r="G35" s="138">
        <f ca="1">ROUND(C35*10000/'数据-汇总表'!E3,0)</f>
        <v>791</v>
      </c>
      <c r="H35" s="138"/>
      <c r="I35" s="138"/>
    </row>
    <row r="36" spans="1:15" ht="15.75" thickBot="1">
      <c r="A36" s="3098" t="s">
        <v>2169</v>
      </c>
      <c r="B36" s="2461" t="s">
        <v>2170</v>
      </c>
      <c r="C36" s="154"/>
      <c r="D36" s="2462"/>
      <c r="E36" s="2463"/>
      <c r="F36" s="2464"/>
      <c r="G36" s="138"/>
      <c r="H36" s="138"/>
      <c r="I36" s="138"/>
    </row>
    <row r="37" spans="1:15" ht="15.75" thickBot="1">
      <c r="A37" s="3099"/>
      <c r="B37" s="2266" t="s">
        <v>2171</v>
      </c>
      <c r="C37" s="156"/>
      <c r="D37" s="1395"/>
      <c r="E37" s="1395"/>
      <c r="F37" s="2464"/>
      <c r="G37" s="138"/>
      <c r="H37" s="138"/>
      <c r="I37" s="138"/>
    </row>
    <row r="38" spans="1:15" ht="15.75" thickBot="1">
      <c r="A38" s="3100"/>
      <c r="B38" s="2465" t="s">
        <v>2172</v>
      </c>
      <c r="C38" s="727"/>
      <c r="D38" s="2466" t="s">
        <v>2173</v>
      </c>
      <c r="E38" s="1395"/>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77" t="s">
        <v>2183</v>
      </c>
      <c r="B45" s="3078"/>
      <c r="C45" s="3079"/>
      <c r="D45" s="164">
        <f ca="1">ROUND(H101*F45,0)</f>
        <v>34506</v>
      </c>
      <c r="E45" s="165" t="s">
        <v>2184</v>
      </c>
      <c r="F45" s="166">
        <v>1</v>
      </c>
      <c r="G45" s="167" t="s">
        <v>2185</v>
      </c>
      <c r="H45" s="138"/>
      <c r="I45" s="138"/>
      <c r="J45" s="3137" t="s">
        <v>2186</v>
      </c>
      <c r="K45" s="3137"/>
      <c r="L45" s="3137"/>
      <c r="M45" s="3137"/>
      <c r="N45" s="3137"/>
      <c r="O45" s="3137"/>
    </row>
    <row r="46" spans="1:15" ht="14.25" customHeight="1">
      <c r="A46" s="3074" t="s">
        <v>2187</v>
      </c>
      <c r="B46" s="3075"/>
      <c r="C46" s="3075"/>
      <c r="D46" s="3075"/>
      <c r="E46" s="3075"/>
      <c r="F46" s="3075"/>
      <c r="G46" s="3076"/>
      <c r="H46" s="2480"/>
      <c r="I46" s="168"/>
      <c r="J46" s="1811">
        <v>1</v>
      </c>
      <c r="K46" s="3137" t="s">
        <v>2188</v>
      </c>
      <c r="L46" s="3137"/>
      <c r="M46" s="3157"/>
      <c r="N46" s="3157"/>
      <c r="O46" s="3157"/>
    </row>
    <row r="47" spans="1:15" ht="12" customHeight="1">
      <c r="A47" s="169" t="s">
        <v>2189</v>
      </c>
      <c r="B47" s="170"/>
      <c r="C47" s="171"/>
      <c r="D47" s="172" t="s">
        <v>2190</v>
      </c>
      <c r="E47" s="24" t="s">
        <v>2191</v>
      </c>
      <c r="F47" s="173" t="s">
        <v>2192</v>
      </c>
      <c r="G47" s="174" t="s">
        <v>2193</v>
      </c>
      <c r="H47" s="2480"/>
      <c r="I47" s="168"/>
      <c r="J47" s="1811">
        <v>2</v>
      </c>
      <c r="K47" s="3137" t="s">
        <v>2194</v>
      </c>
      <c r="L47" s="3137"/>
      <c r="M47" s="3158">
        <f>'数据-取费表'!B2</f>
        <v>43262</v>
      </c>
      <c r="N47" s="3158"/>
      <c r="O47" s="3158"/>
    </row>
    <row r="48" spans="1:15" ht="25.5">
      <c r="A48" s="3105" t="s">
        <v>2195</v>
      </c>
      <c r="B48" s="3088"/>
      <c r="C48" s="3088"/>
      <c r="D48" s="140">
        <f>IF(H48="情况1",0,IF(H48="情况2",D52,IF(H48="情况3",D53,IF(H48="情况4",D54))))</f>
        <v>0</v>
      </c>
      <c r="E48" s="1800" t="str">
        <f>IF(H48="情况4","(销售额-原购置价)×税（费）率","销售额×税（费）率")</f>
        <v>销售额×税（费）率</v>
      </c>
      <c r="F48" s="175" t="str">
        <f>IF(H48="情况1","免征",'数据-取费表'!B41)</f>
        <v>免征</v>
      </c>
      <c r="G48" s="2481" t="s">
        <v>2196</v>
      </c>
      <c r="H48" s="2482" t="s">
        <v>2197</v>
      </c>
      <c r="I48" s="2480"/>
      <c r="J48" s="1811">
        <v>3</v>
      </c>
      <c r="K48" s="3137" t="s">
        <v>2198</v>
      </c>
      <c r="L48" s="3137"/>
      <c r="M48" s="3159">
        <f ca="1">H101</f>
        <v>34506</v>
      </c>
      <c r="N48" s="3159"/>
      <c r="O48" s="3159"/>
    </row>
    <row r="49" spans="1:35" ht="25.5" customHeight="1">
      <c r="A49" s="176" t="s">
        <v>2199</v>
      </c>
      <c r="B49" s="3073" t="s">
        <v>2200</v>
      </c>
      <c r="C49" s="3073"/>
      <c r="D49" s="177">
        <v>0</v>
      </c>
      <c r="E49" s="23" t="s">
        <v>2201</v>
      </c>
      <c r="F49" s="28" t="s">
        <v>34</v>
      </c>
      <c r="G49" s="3143"/>
      <c r="H49" s="138"/>
      <c r="I49" s="2483"/>
      <c r="J49" s="1811">
        <v>4</v>
      </c>
      <c r="K49" s="3137" t="str">
        <f>IF(项目基本情况!E8="房地产抵押价值","房地产抵押价值","抵押担保权已注销时的房地产抵押价值")</f>
        <v>房地产抵押价值</v>
      </c>
      <c r="L49" s="3137"/>
      <c r="M49" s="3159">
        <f ca="1">IF(项目基本情况!E8="房地产抵押价值",H107,H109)</f>
        <v>34506</v>
      </c>
      <c r="N49" s="3159"/>
      <c r="O49" s="3159"/>
    </row>
    <row r="50" spans="1:35" ht="25.5" customHeight="1">
      <c r="A50" s="178"/>
      <c r="B50" s="3073" t="s">
        <v>2202</v>
      </c>
      <c r="C50" s="3073"/>
      <c r="D50" s="179"/>
      <c r="E50" s="31"/>
      <c r="F50" s="180"/>
      <c r="G50" s="3144"/>
      <c r="H50" s="138"/>
      <c r="I50" s="2483"/>
      <c r="J50" s="3137" t="s">
        <v>2203</v>
      </c>
      <c r="K50" s="3137"/>
      <c r="L50" s="3137"/>
      <c r="M50" s="3137"/>
      <c r="N50" s="3137"/>
      <c r="O50" s="3137"/>
    </row>
    <row r="51" spans="1:35" ht="12" customHeight="1">
      <c r="A51" s="181"/>
      <c r="B51" s="3073" t="s">
        <v>2204</v>
      </c>
      <c r="C51" s="3073"/>
      <c r="D51" s="182"/>
      <c r="E51" s="30"/>
      <c r="F51" s="180"/>
      <c r="G51" s="3145"/>
      <c r="H51" s="138"/>
      <c r="I51" s="2483"/>
      <c r="J51" s="2484" t="s">
        <v>2205</v>
      </c>
      <c r="K51" s="3137" t="s">
        <v>2206</v>
      </c>
      <c r="L51" s="3137"/>
      <c r="M51" s="2484" t="s">
        <v>2207</v>
      </c>
      <c r="N51" s="2484" t="s">
        <v>2208</v>
      </c>
      <c r="O51" s="2484" t="s">
        <v>2209</v>
      </c>
    </row>
    <row r="52" spans="1:35" ht="24" customHeight="1">
      <c r="A52" s="183" t="s">
        <v>2210</v>
      </c>
      <c r="B52" s="3073" t="s">
        <v>2211</v>
      </c>
      <c r="C52" s="3073"/>
      <c r="D52" s="182">
        <f ca="1">ROUND(D45*'数据-取费表'!B41/(1+'数据-取费表'!C42),0)</f>
        <v>1840</v>
      </c>
      <c r="E52" s="11" t="s">
        <v>2212</v>
      </c>
      <c r="F52" s="184">
        <f>'数据-取费表'!B41</f>
        <v>5.6000000000000001E-2</v>
      </c>
      <c r="G52" s="2485"/>
      <c r="H52" s="138"/>
      <c r="I52" s="2483"/>
      <c r="J52" s="1811">
        <v>1</v>
      </c>
      <c r="K52" s="3138" t="s">
        <v>2213</v>
      </c>
      <c r="L52" s="3138"/>
      <c r="M52" s="1753">
        <f>D48</f>
        <v>0</v>
      </c>
      <c r="N52" s="1811" t="str">
        <f>E48</f>
        <v>销售额×税（费）率</v>
      </c>
      <c r="O52" s="1754" t="str">
        <f>F48</f>
        <v>免征</v>
      </c>
    </row>
    <row r="53" spans="1:35" ht="12" customHeight="1">
      <c r="A53" s="183" t="s">
        <v>2214</v>
      </c>
      <c r="B53" s="3096" t="s">
        <v>2215</v>
      </c>
      <c r="C53" s="3097"/>
      <c r="D53" s="182">
        <f ca="1">ROUND(D45*'数据-取费表'!B41/(1+'数据-取费表'!C42),0)</f>
        <v>1840</v>
      </c>
      <c r="E53" s="11" t="s">
        <v>2212</v>
      </c>
      <c r="F53" s="184">
        <f>'数据-取费表'!B41</f>
        <v>5.6000000000000001E-2</v>
      </c>
      <c r="G53" s="2485"/>
      <c r="H53" s="138"/>
      <c r="I53" s="2483"/>
      <c r="J53" s="1811">
        <v>2</v>
      </c>
      <c r="K53" s="3138" t="s">
        <v>2216</v>
      </c>
      <c r="L53" s="3138"/>
      <c r="M53" s="1753">
        <f t="shared" ref="M53:O54" ca="1" si="0">D55</f>
        <v>17</v>
      </c>
      <c r="N53" s="1811" t="str">
        <f t="shared" si="0"/>
        <v>销售额×税（费）率</v>
      </c>
      <c r="O53" s="1754">
        <f t="shared" si="0"/>
        <v>5.0000000000000001E-4</v>
      </c>
    </row>
    <row r="54" spans="1:35" ht="12" customHeight="1">
      <c r="A54" s="183" t="s">
        <v>2217</v>
      </c>
      <c r="B54" s="3096" t="s">
        <v>2218</v>
      </c>
      <c r="C54" s="3097"/>
      <c r="D54" s="182">
        <f ca="1">C68</f>
        <v>1840</v>
      </c>
      <c r="E54" s="30" t="s">
        <v>2219</v>
      </c>
      <c r="F54" s="184">
        <f>'数据-取费表'!B41</f>
        <v>5.6000000000000001E-2</v>
      </c>
      <c r="G54" s="2485"/>
      <c r="H54" s="2486"/>
      <c r="I54" s="2483"/>
      <c r="J54" s="1811">
        <v>3</v>
      </c>
      <c r="K54" s="3138" t="s">
        <v>2220</v>
      </c>
      <c r="L54" s="3138"/>
      <c r="M54" s="1753">
        <f t="shared" ca="1" si="0"/>
        <v>19531</v>
      </c>
      <c r="N54" s="1811" t="str">
        <f t="shared" si="0"/>
        <v>增值额×税（费）率</v>
      </c>
      <c r="O54" s="1755" t="str">
        <f t="shared" si="0"/>
        <v>——</v>
      </c>
    </row>
    <row r="55" spans="1:35" ht="24" customHeight="1">
      <c r="A55" s="3087" t="s">
        <v>2221</v>
      </c>
      <c r="B55" s="3088"/>
      <c r="C55" s="3088"/>
      <c r="D55" s="185">
        <f ca="1">IF(H55="个人住宅",0,ROUND(D45*I55,0))</f>
        <v>17</v>
      </c>
      <c r="E55" s="11" t="s">
        <v>2222</v>
      </c>
      <c r="F55" s="184">
        <f>IF(H55="正常",I55,"免征")</f>
        <v>5.0000000000000001E-4</v>
      </c>
      <c r="G55" s="2485"/>
      <c r="H55" s="2482" t="s">
        <v>2223</v>
      </c>
      <c r="I55" s="186">
        <f>'数据-取费表'!B49</f>
        <v>5.0000000000000001E-4</v>
      </c>
      <c r="J55" s="1811" t="str">
        <f>IF(H59="非个人房产","",4)</f>
        <v/>
      </c>
      <c r="K55" s="3138" t="str">
        <f>IF(H59="非个人房产","——","个人所得税")</f>
        <v>——</v>
      </c>
      <c r="L55" s="3138"/>
      <c r="M55" s="1756" t="str">
        <f>D59</f>
        <v>——</v>
      </c>
      <c r="N55" s="1809" t="str">
        <f>E59</f>
        <v>——</v>
      </c>
      <c r="O55" s="1757" t="str">
        <f>F59</f>
        <v>——</v>
      </c>
    </row>
    <row r="56" spans="1:35" ht="24.75">
      <c r="A56" s="3087" t="s">
        <v>2224</v>
      </c>
      <c r="B56" s="3088"/>
      <c r="C56" s="3088"/>
      <c r="D56" s="185">
        <f ca="1">IF(H56="个人住宅",D57,D58)</f>
        <v>19531</v>
      </c>
      <c r="E56" s="11" t="s">
        <v>2225</v>
      </c>
      <c r="F56" s="184" t="str">
        <f>IF(H56="正常",F58,"免征")</f>
        <v>——</v>
      </c>
      <c r="G56" s="2487" t="s">
        <v>2226</v>
      </c>
      <c r="H56" s="2488" t="s">
        <v>2223</v>
      </c>
      <c r="I56" s="2489"/>
      <c r="J56" s="1811" t="str">
        <f>IF(项目基本情况!K6="上海银行",IF(J55="",4,J55+1),"")</f>
        <v/>
      </c>
      <c r="K56" s="3161" t="str">
        <f>IF(项目基本情况!K6="上海银行","其他处置费用","")</f>
        <v/>
      </c>
      <c r="L56" s="3162"/>
      <c r="M56" s="1753" t="str">
        <f>IF(项目基本情况!K6="上海银行",M69,"")</f>
        <v/>
      </c>
      <c r="N56" s="3164" t="str">
        <f>IF(项目基本情况!K6="上海银行","包含处置中涉及的律师、诉讼、拍卖、评估等费用","")</f>
        <v/>
      </c>
      <c r="O56" s="3165"/>
    </row>
    <row r="57" spans="1:35" ht="12.75">
      <c r="A57" s="183" t="s">
        <v>2199</v>
      </c>
      <c r="B57" s="3103" t="s">
        <v>2227</v>
      </c>
      <c r="C57" s="3112"/>
      <c r="D57" s="187">
        <v>0</v>
      </c>
      <c r="E57" s="23" t="s">
        <v>2201</v>
      </c>
      <c r="F57" s="155"/>
      <c r="G57" s="2485"/>
      <c r="H57" s="2489"/>
      <c r="I57" s="2489"/>
      <c r="J57" s="3138">
        <f>IF(AND(J55="",J56=""),4,IF(项目基本情况!K6="上海银行",结果表!J56+1,结果表!J55+1))</f>
        <v>4</v>
      </c>
      <c r="K57" s="3138" t="s">
        <v>2228</v>
      </c>
      <c r="L57" s="2490" t="s">
        <v>2229</v>
      </c>
      <c r="M57" s="1758"/>
      <c r="N57" s="1759">
        <f ca="1">SUMIF(M52:M56,"&lt;9e307")</f>
        <v>19548</v>
      </c>
      <c r="O57" s="2491"/>
      <c r="P57" s="1752">
        <f ca="1">N57/M49</f>
        <v>0.56651017214397492</v>
      </c>
    </row>
    <row r="58" spans="1:35" ht="24.75">
      <c r="A58" s="183" t="s">
        <v>2210</v>
      </c>
      <c r="B58" s="3103" t="s">
        <v>2230</v>
      </c>
      <c r="C58" s="3104"/>
      <c r="D58" s="185">
        <f ca="1">IF(H58="转让取得",C81,C97)</f>
        <v>19531</v>
      </c>
      <c r="E58" s="11" t="s">
        <v>2225</v>
      </c>
      <c r="F58" s="24" t="s">
        <v>34</v>
      </c>
      <c r="G58" s="2485"/>
      <c r="H58" s="2488" t="s">
        <v>2231</v>
      </c>
      <c r="I58" s="2489"/>
      <c r="J58" s="3138"/>
      <c r="K58" s="3138"/>
      <c r="L58" s="2490" t="s">
        <v>2232</v>
      </c>
      <c r="M58" s="1760"/>
      <c r="N58" s="2492" t="str">
        <f ca="1">NUMBERSTRING(INT(N57*10000),2)&amp;"元整"</f>
        <v>壹亿玖仟伍佰肆拾捌万元整</v>
      </c>
      <c r="O58" s="2493"/>
    </row>
    <row r="59" spans="1:35" ht="24.75" thickBot="1">
      <c r="A59" s="3141" t="s">
        <v>2233</v>
      </c>
      <c r="B59" s="3142"/>
      <c r="C59" s="3142"/>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39">
        <f>J57+1</f>
        <v>5</v>
      </c>
      <c r="K59" s="3138" t="s">
        <v>2235</v>
      </c>
      <c r="L59" s="1811" t="s">
        <v>2229</v>
      </c>
      <c r="M59" s="1761"/>
      <c r="N59" s="1762">
        <f ca="1">M49-N57</f>
        <v>14958</v>
      </c>
      <c r="O59" s="2495"/>
    </row>
    <row r="60" spans="1:35" ht="12" customHeight="1">
      <c r="A60" s="2496"/>
      <c r="B60" s="2418"/>
      <c r="C60" s="2418"/>
      <c r="D60" s="2418"/>
      <c r="E60" s="2165"/>
      <c r="F60" s="2489"/>
      <c r="G60" s="2489"/>
      <c r="H60" s="2497"/>
      <c r="I60" s="138"/>
      <c r="J60" s="3140"/>
      <c r="K60" s="3138"/>
      <c r="L60" s="2490" t="s">
        <v>2232</v>
      </c>
      <c r="M60" s="1760"/>
      <c r="N60" s="2492" t="str">
        <f ca="1">NUMBERSTRING(INT(N59*10000),2)&amp;"元整"</f>
        <v>壹亿肆仟玖佰伍拾捌万元整</v>
      </c>
      <c r="O60" s="2493"/>
    </row>
    <row r="61" spans="1:35" ht="13.5" thickBot="1">
      <c r="A61" s="3085" t="s">
        <v>2236</v>
      </c>
      <c r="B61" s="3085"/>
      <c r="C61" s="3085"/>
      <c r="D61" s="3085"/>
      <c r="E61" s="3085"/>
      <c r="F61" s="2489"/>
      <c r="G61" s="2489"/>
      <c r="H61" s="2497"/>
      <c r="I61" s="138"/>
      <c r="J61" s="1811">
        <f>J59+1</f>
        <v>6</v>
      </c>
      <c r="K61" s="3138" t="s">
        <v>2237</v>
      </c>
      <c r="L61" s="3138"/>
      <c r="M61" s="1763"/>
      <c r="N61" s="1764">
        <f ca="1">ROUND(N59*10000/'数据-汇总表'!E3,0)</f>
        <v>3463</v>
      </c>
      <c r="O61" s="2498"/>
    </row>
    <row r="62" spans="1:35" ht="12.75">
      <c r="A62" s="3101" t="s">
        <v>2238</v>
      </c>
      <c r="B62" s="3102"/>
      <c r="C62" s="1803"/>
      <c r="D62" s="1803" t="s">
        <v>2239</v>
      </c>
      <c r="E62" s="192" t="s">
        <v>2240</v>
      </c>
      <c r="F62" s="2489"/>
      <c r="G62" s="2489"/>
      <c r="H62" s="2497"/>
      <c r="I62" s="138"/>
    </row>
    <row r="63" spans="1:35" ht="12.75">
      <c r="A63" s="203" t="s">
        <v>775</v>
      </c>
      <c r="B63" s="193" t="s">
        <v>2241</v>
      </c>
      <c r="C63" s="194">
        <f ca="1">ROUND((C64+C65)/(1+'数据-取费表'!C42),0)</f>
        <v>32863</v>
      </c>
      <c r="D63" s="195"/>
      <c r="E63" s="196"/>
      <c r="F63" s="2489"/>
      <c r="G63" s="2489"/>
      <c r="H63" s="2497"/>
      <c r="I63" s="138"/>
      <c r="J63" s="3163" t="s">
        <v>2242</v>
      </c>
      <c r="K63" s="2499" t="s">
        <v>2243</v>
      </c>
      <c r="L63" s="1751">
        <f ca="1">IF(M49&gt;10000,M49*0.5%,IF(AND(M49&gt;1000,M49&lt;=10000),M49*1%,IF(AND(M49&gt;100,M49&lt;=1000),M49*3%,IF(AND(M49&gt;10,M49&lt;=100),M49*5%,M49*8%))))</f>
        <v>172.53</v>
      </c>
      <c r="M63" s="24">
        <f ca="1">ROUND(L63,1)</f>
        <v>172.5</v>
      </c>
      <c r="Z63" s="2423"/>
      <c r="AI63" s="2424"/>
    </row>
    <row r="64" spans="1:35" ht="14.25" customHeight="1">
      <c r="A64" s="197" t="s">
        <v>770</v>
      </c>
      <c r="B64" s="198" t="s">
        <v>2244</v>
      </c>
      <c r="C64" s="199">
        <f ca="1">D45</f>
        <v>34506</v>
      </c>
      <c r="D64" s="200" t="s">
        <v>32</v>
      </c>
      <c r="E64" s="201"/>
      <c r="F64" s="2489"/>
      <c r="G64" s="2489"/>
      <c r="H64" s="2497"/>
      <c r="I64" s="138"/>
      <c r="J64" s="3163"/>
      <c r="K64" s="2499" t="s">
        <v>2245</v>
      </c>
      <c r="L64" s="1751">
        <f ca="1">IF(M49&gt;2000,M49*0.5%,IF(AND(M49&gt;1000,M49&lt;=2000),M49*0.6%,IF(AND(M49&gt;500,M49&lt;=1000),M49*0.7%,IF(AND(M49&gt;200,M49&lt;=500),M49*0.8%,IF(AND(M49&gt;100,M49&lt;=200),M49*0.9%,IF(AND(M49&gt;50,M49&lt;=100),M49*1%,IF(AND(M49&gt;20,M49&lt;=50),M49*1.5%,IF(AND(M49&gt;10,M49&lt;=20),M49*2%,IF(AND(M49&gt;1,M49&lt;=10),M49*2.5%)))))))))</f>
        <v>172.53</v>
      </c>
      <c r="M64" s="24">
        <f t="shared" ref="M64:M65" ca="1" si="1">ROUND(L64,1)</f>
        <v>172.5</v>
      </c>
      <c r="N64" s="138" t="s">
        <v>2246</v>
      </c>
      <c r="Z64" s="2423"/>
      <c r="AI64" s="2424"/>
    </row>
    <row r="65" spans="1:35" ht="14.25" customHeight="1">
      <c r="A65" s="197" t="s">
        <v>771</v>
      </c>
      <c r="B65" s="198" t="s">
        <v>2247</v>
      </c>
      <c r="C65" s="202"/>
      <c r="D65" s="200"/>
      <c r="E65" s="201"/>
      <c r="F65" s="2489"/>
      <c r="G65" s="2489"/>
      <c r="H65" s="2497"/>
      <c r="I65" s="138"/>
      <c r="J65" s="3163"/>
      <c r="K65" s="2499" t="s">
        <v>2248</v>
      </c>
      <c r="L65" s="1751">
        <f ca="1">IF(M49&gt;1000,M49*0.1%,IF(AND(M49&gt;500,M49&lt;=1000),M49*0.5%,IF(AND(M49&gt;50,M49&lt;=500),M49*1%,IF(AND(M49&gt;1,M49&lt;=50),M49*1.5%))))</f>
        <v>34.506</v>
      </c>
      <c r="M65" s="24">
        <f t="shared" ca="1" si="1"/>
        <v>34.5</v>
      </c>
      <c r="N65" s="138" t="s">
        <v>2246</v>
      </c>
      <c r="Z65" s="2423"/>
      <c r="AI65" s="2424"/>
    </row>
    <row r="66" spans="1:35" ht="14.25" customHeight="1">
      <c r="A66" s="203" t="s">
        <v>772</v>
      </c>
      <c r="B66" s="204" t="s">
        <v>2249</v>
      </c>
      <c r="C66" s="205"/>
      <c r="D66" s="206" t="s">
        <v>32</v>
      </c>
      <c r="E66" s="1775" t="s">
        <v>1371</v>
      </c>
      <c r="F66" s="2489"/>
      <c r="G66" s="2489"/>
      <c r="H66" s="2497"/>
      <c r="I66" s="138"/>
      <c r="J66" s="3163"/>
      <c r="K66" s="2499" t="s">
        <v>2250</v>
      </c>
      <c r="L66" s="1751">
        <f ca="1">M49*0.5%</f>
        <v>172.53</v>
      </c>
      <c r="M66" s="24">
        <f ca="1">IF(L66&gt;0.5,0.5,ROUND(L66,0))</f>
        <v>0.5</v>
      </c>
      <c r="N66" s="138" t="s">
        <v>2251</v>
      </c>
      <c r="Z66" s="2423"/>
      <c r="AI66" s="2424"/>
    </row>
    <row r="67" spans="1:35" ht="14.25" customHeight="1">
      <c r="A67" s="203" t="s">
        <v>773</v>
      </c>
      <c r="B67" s="204" t="s">
        <v>2252</v>
      </c>
      <c r="C67" s="207">
        <f ca="1">C63-C66</f>
        <v>32863</v>
      </c>
      <c r="D67" s="200" t="s">
        <v>32</v>
      </c>
      <c r="E67" s="201"/>
      <c r="F67" s="2489"/>
      <c r="G67" s="2489"/>
      <c r="H67" s="2497"/>
      <c r="I67" s="138"/>
      <c r="J67" s="3163"/>
      <c r="K67" s="2499" t="s">
        <v>2253</v>
      </c>
      <c r="L67" s="1751">
        <f ca="1">IF(M49&gt;=10000,(8.25+(M49-10000)*0.01%),IF(AND(M49&gt;=8000,M49&lt;10000),(7.85+(M49-8000)*0.02%),IF(AND(M49&gt;=5000,M49&lt;8000),(6.65+(M49-5000)*0.04%),IF(AND(M49&gt;=2000,M49&lt;5000),(4.25+(PM49-2000)*0.08%),IF(AND(M49&gt;=1000,M49&lt;2000),(2.75+(M49-1000)*0.15%),IF(AND(M49&gt;=100,M49&lt;1000),(0.5+(M49-100)*0.25%),IF(AND(M49&gt;0,M49&lt;100),M49*0.5%)))))))</f>
        <v>10.7006</v>
      </c>
      <c r="M67" s="24">
        <f ca="1">ROUND(L67*0.9,1)</f>
        <v>9.6</v>
      </c>
      <c r="Z67" s="2423"/>
      <c r="AI67" s="2424"/>
    </row>
    <row r="68" spans="1:35" ht="14.25" customHeight="1" thickBot="1">
      <c r="A68" s="208" t="s">
        <v>774</v>
      </c>
      <c r="B68" s="209" t="s">
        <v>2254</v>
      </c>
      <c r="C68" s="210">
        <f ca="1">IF(C67&lt;=0,0,ROUND(C67*D68,0))</f>
        <v>1840</v>
      </c>
      <c r="D68" s="211">
        <f>'数据-取费表'!B41</f>
        <v>5.6000000000000001E-2</v>
      </c>
      <c r="E68" s="212"/>
      <c r="F68" s="2489"/>
      <c r="G68" s="2489"/>
      <c r="H68" s="2497"/>
      <c r="I68" s="138"/>
      <c r="J68" s="3163"/>
      <c r="K68" s="2499" t="s">
        <v>2255</v>
      </c>
      <c r="L68" s="1751">
        <f ca="1">IF(M49&gt;10000,M49*0.5%,IF(AND(M49&gt;5000,M49&lt;=10000),M49*1%,IF(AND(M49&gt;1000,M49&lt;=5000),M49*2%,IF(AND(M49&gt;200,M49&lt;=1000),M49*3%,M49*5%))))</f>
        <v>172.53</v>
      </c>
      <c r="M68" s="24">
        <f ca="1">ROUND(L68,1)</f>
        <v>172.5</v>
      </c>
      <c r="Z68" s="2423"/>
      <c r="AI68" s="2424"/>
    </row>
    <row r="69" spans="1:35" s="2446" customFormat="1" ht="16.5" customHeight="1">
      <c r="A69" s="2500"/>
      <c r="B69" s="2501"/>
      <c r="C69" s="2502"/>
      <c r="D69" s="2503"/>
      <c r="E69" s="2504"/>
      <c r="F69" s="2165"/>
      <c r="G69" s="2165"/>
      <c r="H69" s="2164"/>
      <c r="I69" s="2418"/>
      <c r="J69" s="3163"/>
      <c r="K69" s="2499" t="s">
        <v>2256</v>
      </c>
      <c r="L69" s="2505"/>
      <c r="M69" s="24">
        <f ca="1">ROUND(SUM(M63:M68),0)</f>
        <v>562</v>
      </c>
      <c r="N69" s="1752">
        <f ca="1">M69/M49</f>
        <v>1.6287022546803455E-2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2" t="s">
        <v>2257</v>
      </c>
      <c r="B70" s="3123"/>
      <c r="C70" s="3123"/>
      <c r="D70" s="3123"/>
      <c r="E70" s="3123"/>
      <c r="F70" s="3123"/>
      <c r="G70" s="3123"/>
      <c r="H70" s="312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1" t="s">
        <v>2238</v>
      </c>
      <c r="B71" s="3102"/>
      <c r="C71" s="1803"/>
      <c r="D71" s="1803"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32863</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197</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096" t="s">
        <v>2266</v>
      </c>
      <c r="F76" s="3073"/>
      <c r="G76" s="3073"/>
      <c r="H76" s="312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4.0500000000000001E-2</v>
      </c>
      <c r="E77" s="15" t="s">
        <v>2268</v>
      </c>
      <c r="F77" s="224"/>
      <c r="G77" s="2513" t="s">
        <v>2269</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197</v>
      </c>
      <c r="D78" s="226">
        <f>'数据-取费表'!B43</f>
        <v>6.000000000000001E-3</v>
      </c>
      <c r="E78" s="3082" t="s">
        <v>2271</v>
      </c>
      <c r="F78" s="3083"/>
      <c r="G78" s="3083"/>
      <c r="H78" s="309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32666</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165.81725888324874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19531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2" t="s">
        <v>2275</v>
      </c>
      <c r="B83" s="3123"/>
      <c r="C83" s="3123"/>
      <c r="D83" s="3123"/>
      <c r="E83" s="3123"/>
      <c r="F83" s="3123"/>
      <c r="G83" s="3123"/>
      <c r="H83" s="312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1" t="s">
        <v>2238</v>
      </c>
      <c r="B84" s="3102"/>
      <c r="C84" s="1803"/>
      <c r="D84" s="1803"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32863</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197</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9"/>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4.0500000000000001E-2</v>
      </c>
      <c r="E89" s="237" t="s">
        <v>2280</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IF(H91="——",成本法!C33,I91)</f>
        <v>0</v>
      </c>
      <c r="D91" s="226"/>
      <c r="E91" s="3082" t="s">
        <v>2284</v>
      </c>
      <c r="F91" s="3083"/>
      <c r="G91" s="3083"/>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82" t="s">
        <v>2288</v>
      </c>
      <c r="F92" s="3083"/>
      <c r="G92" s="3083"/>
      <c r="H92" s="309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197</v>
      </c>
      <c r="D93" s="226">
        <f>'数据-取费表'!B43</f>
        <v>6.000000000000001E-3</v>
      </c>
      <c r="E93" s="3082" t="s">
        <v>2271</v>
      </c>
      <c r="F93" s="3083"/>
      <c r="G93" s="3083"/>
      <c r="H93" s="309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93" t="s">
        <v>2292</v>
      </c>
      <c r="F94" s="3094"/>
      <c r="G94" s="3094"/>
      <c r="H94" s="309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32666</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165.81725888324874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19531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2293</v>
      </c>
      <c r="B99" s="2418"/>
      <c r="C99" s="2418"/>
      <c r="D99" s="2418"/>
      <c r="E99" s="2165"/>
      <c r="F99" s="2165"/>
      <c r="G99" s="2165"/>
      <c r="H99" s="2164"/>
      <c r="I99" s="138"/>
    </row>
    <row r="100" spans="1:35" ht="18.75" customHeight="1">
      <c r="A100" s="3067" t="s">
        <v>2294</v>
      </c>
      <c r="B100" s="3068"/>
      <c r="C100" s="3068"/>
      <c r="D100" s="3084"/>
      <c r="E100" s="3068" t="s">
        <v>2295</v>
      </c>
      <c r="F100" s="3068"/>
      <c r="G100" s="3068"/>
      <c r="H100" s="3084"/>
      <c r="I100" s="138"/>
    </row>
    <row r="101" spans="1:35" ht="18.75" customHeight="1">
      <c r="A101" s="3146" t="s">
        <v>2296</v>
      </c>
      <c r="B101" s="3147"/>
      <c r="C101" s="736" t="str">
        <f>C4</f>
        <v>成本法</v>
      </c>
      <c r="D101" s="737" t="str">
        <f>D4</f>
        <v>假设开发法</v>
      </c>
      <c r="E101" s="3160" t="s">
        <v>2297</v>
      </c>
      <c r="F101" s="3114"/>
      <c r="G101" s="2520" t="s">
        <v>2298</v>
      </c>
      <c r="H101" s="1048">
        <f ca="1">H118</f>
        <v>34506</v>
      </c>
      <c r="I101" s="138"/>
    </row>
    <row r="102" spans="1:35" ht="18.75" customHeight="1">
      <c r="A102" s="3116" t="s">
        <v>2299</v>
      </c>
      <c r="B102" s="2520" t="s">
        <v>2298</v>
      </c>
      <c r="C102" s="736">
        <f ca="1">C19</f>
        <v>37175</v>
      </c>
      <c r="D102" s="737">
        <f ca="1">D19</f>
        <v>31837</v>
      </c>
      <c r="E102" s="3160"/>
      <c r="F102" s="3114"/>
      <c r="G102" s="2520" t="s">
        <v>2300</v>
      </c>
      <c r="H102" s="371">
        <f ca="1">I118</f>
        <v>7990</v>
      </c>
      <c r="I102" s="138"/>
    </row>
    <row r="103" spans="1:35" ht="42.75" customHeight="1">
      <c r="A103" s="3116"/>
      <c r="B103" s="2520" t="s">
        <v>2300</v>
      </c>
      <c r="C103" s="738">
        <f ca="1">C20</f>
        <v>8608</v>
      </c>
      <c r="D103" s="739">
        <f ca="1">D20</f>
        <v>7372</v>
      </c>
      <c r="E103" s="3155" t="s">
        <v>2301</v>
      </c>
      <c r="F103" s="3156"/>
      <c r="G103" s="2521" t="s">
        <v>2302</v>
      </c>
      <c r="H103" s="1048">
        <f>IF(D36="正常操作",H104+H105+H106,H105+H106)</f>
        <v>0</v>
      </c>
      <c r="I103" s="138"/>
    </row>
    <row r="104" spans="1:35" ht="18.75" customHeight="1">
      <c r="A104" s="3116" t="s">
        <v>2303</v>
      </c>
      <c r="B104" s="2522" t="s">
        <v>2298</v>
      </c>
      <c r="C104" s="740">
        <f ca="1">H118</f>
        <v>34506</v>
      </c>
      <c r="D104" s="741"/>
      <c r="E104" s="2266" t="s">
        <v>2304</v>
      </c>
      <c r="F104" s="2257"/>
      <c r="G104" s="2521" t="s">
        <v>2302</v>
      </c>
      <c r="H104" s="1049">
        <f>IF(D36="同一抵押权人同一抵押物续贷",C36&amp;"（未扣减，详见特别提示）",C36)</f>
        <v>0</v>
      </c>
      <c r="I104" s="138"/>
    </row>
    <row r="105" spans="1:35" ht="18.75" customHeight="1" thickBot="1">
      <c r="A105" s="3117"/>
      <c r="B105" s="2523" t="s">
        <v>2300</v>
      </c>
      <c r="C105" s="742">
        <f ca="1">I118</f>
        <v>7990</v>
      </c>
      <c r="D105" s="743"/>
      <c r="E105" s="2266" t="s">
        <v>2305</v>
      </c>
      <c r="F105" s="2257"/>
      <c r="G105" s="2521" t="s">
        <v>2302</v>
      </c>
      <c r="H105" s="1049">
        <f>C37</f>
        <v>0</v>
      </c>
      <c r="I105" s="138"/>
    </row>
    <row r="106" spans="1:35" ht="18.75" customHeight="1">
      <c r="A106" s="2418" t="s">
        <v>2306</v>
      </c>
      <c r="B106" s="2418"/>
      <c r="C106" s="2418"/>
      <c r="D106" s="2418"/>
      <c r="E106" s="2524" t="s">
        <v>2307</v>
      </c>
      <c r="F106" s="2257"/>
      <c r="G106" s="2521" t="s">
        <v>2302</v>
      </c>
      <c r="H106" s="1049">
        <f>C38</f>
        <v>0</v>
      </c>
      <c r="I106" s="138"/>
    </row>
    <row r="107" spans="1:35" ht="18.75" customHeight="1">
      <c r="A107" s="138"/>
      <c r="B107" s="138"/>
      <c r="C107" s="138"/>
      <c r="D107" s="138"/>
      <c r="E107" s="3113" t="str">
        <f>IF(项目基本情况!E8="已注销","——","3.房地产抵押价值")</f>
        <v>3.房地产抵押价值</v>
      </c>
      <c r="F107" s="3114"/>
      <c r="G107" s="2520" t="s">
        <v>2298</v>
      </c>
      <c r="H107" s="1048">
        <f ca="1">IF(E107="——","——",H101-H103)</f>
        <v>34506</v>
      </c>
      <c r="I107" s="138"/>
    </row>
    <row r="108" spans="1:35" ht="18.75" customHeight="1">
      <c r="A108" s="138"/>
      <c r="B108" s="138"/>
      <c r="C108" s="138"/>
      <c r="D108" s="138"/>
      <c r="E108" s="3113"/>
      <c r="F108" s="3114"/>
      <c r="G108" s="2520" t="s">
        <v>2300</v>
      </c>
      <c r="H108" s="371">
        <f ca="1">ROUND(H107*10000/'数据-汇总表'!E3,0)</f>
        <v>7990</v>
      </c>
      <c r="I108" s="138"/>
    </row>
    <row r="109" spans="1:35" ht="18.75" customHeight="1">
      <c r="A109" s="138"/>
      <c r="B109" s="138"/>
      <c r="C109" s="138"/>
      <c r="D109" s="138"/>
      <c r="E109" s="3113" t="str">
        <f>IF(项目基本情况!E8="已注销及未注销","4.抵押担保权已注销时的房地产抵押价值",IF(项目基本情况!E8="已注销","3.抵押担保权已注销时的房地产抵押价值","——"))</f>
        <v>——</v>
      </c>
      <c r="F109" s="3114"/>
      <c r="G109" s="2520" t="s">
        <v>2298</v>
      </c>
      <c r="H109" s="348" t="str">
        <f>IF(E109="——","——",H101-H105-H106)</f>
        <v>——</v>
      </c>
      <c r="I109" s="138"/>
    </row>
    <row r="110" spans="1:35" ht="18.75" customHeight="1">
      <c r="A110" s="138"/>
      <c r="B110" s="138"/>
      <c r="C110" s="138"/>
      <c r="D110" s="138"/>
      <c r="E110" s="3113"/>
      <c r="F110" s="3114"/>
      <c r="G110" s="2520" t="s">
        <v>2300</v>
      </c>
      <c r="H110" s="371" t="str">
        <f>IF(H109="——","——",ROUND(H109*10000/'数据-汇总表'!E3,0))</f>
        <v>——</v>
      </c>
      <c r="I110" s="138"/>
    </row>
    <row r="111" spans="1:35" ht="18.75" customHeight="1">
      <c r="A111" s="138"/>
      <c r="B111" s="138"/>
      <c r="C111" s="138"/>
      <c r="D111" s="138"/>
      <c r="E111" s="3148" t="str">
        <f>IF(项目基本情况!E9="抵押净值",IF(OR(项目基本情况!E8="已注销",项目基本情况!E8="房地产抵押价值"),"4.抵押净值","5.抵押净值"),"——")</f>
        <v>——</v>
      </c>
      <c r="F111" s="3149"/>
      <c r="G111" s="2520" t="s">
        <v>2298</v>
      </c>
      <c r="H111" s="1048" t="str">
        <f>IF(E111="——","——",N59)</f>
        <v>——</v>
      </c>
      <c r="I111" s="138"/>
    </row>
    <row r="112" spans="1:35" ht="18.75" customHeight="1" thickBot="1">
      <c r="A112" s="138"/>
      <c r="B112" s="138"/>
      <c r="C112" s="138"/>
      <c r="D112" s="138"/>
      <c r="E112" s="3150"/>
      <c r="F112" s="3151"/>
      <c r="G112" s="2525" t="s">
        <v>2300</v>
      </c>
      <c r="H112" s="790" t="str">
        <f>IF(E111="——","——",N61)</f>
        <v>——</v>
      </c>
      <c r="I112" s="138"/>
    </row>
    <row r="113" spans="1:11" ht="18.75" customHeight="1">
      <c r="A113" s="138"/>
      <c r="B113" s="138"/>
      <c r="C113" s="138"/>
      <c r="D113" s="138"/>
      <c r="E113" s="3118" t="s">
        <v>2306</v>
      </c>
      <c r="F113" s="3118"/>
      <c r="G113" s="3118"/>
      <c r="H113" s="3118"/>
      <c r="I113" s="138"/>
    </row>
    <row r="114" spans="1:11" ht="3.75" customHeight="1">
      <c r="A114" s="2418"/>
      <c r="B114" s="2418"/>
      <c r="C114" s="2418"/>
      <c r="D114" s="2418"/>
      <c r="E114" s="2496"/>
      <c r="F114" s="2496"/>
      <c r="G114" s="2496"/>
      <c r="H114" s="2496"/>
      <c r="I114" s="2418"/>
    </row>
    <row r="115" spans="1:11" ht="18.75" customHeight="1">
      <c r="A115" s="3131" t="s">
        <v>2308</v>
      </c>
      <c r="B115" s="3132"/>
      <c r="C115" s="3132"/>
      <c r="D115" s="3132"/>
      <c r="E115" s="3132"/>
      <c r="F115" s="3132"/>
      <c r="G115" s="3132"/>
      <c r="H115" s="3132"/>
      <c r="I115" s="3133"/>
    </row>
    <row r="116" spans="1:11" ht="27" customHeight="1">
      <c r="A116" s="3024" t="s">
        <v>2309</v>
      </c>
      <c r="B116" s="3119" t="s">
        <v>2310</v>
      </c>
      <c r="C116" s="3119" t="s">
        <v>2311</v>
      </c>
      <c r="D116" s="3135" t="s">
        <v>2312</v>
      </c>
      <c r="E116" s="3136"/>
      <c r="F116" s="3127" t="s">
        <v>2313</v>
      </c>
      <c r="G116" s="3127"/>
      <c r="H116" s="3024" t="s">
        <v>2314</v>
      </c>
      <c r="I116" s="3024"/>
    </row>
    <row r="117" spans="1:11" ht="18.75" customHeight="1">
      <c r="A117" s="3024"/>
      <c r="B117" s="3120"/>
      <c r="C117" s="3120"/>
      <c r="D117" s="1797" t="s">
        <v>2315</v>
      </c>
      <c r="E117" s="1797" t="s">
        <v>2316</v>
      </c>
      <c r="F117" s="1797" t="s">
        <v>2315</v>
      </c>
      <c r="G117" s="1797" t="s">
        <v>2317</v>
      </c>
      <c r="H117" s="1797" t="s">
        <v>2315</v>
      </c>
      <c r="I117" s="1797" t="s">
        <v>2317</v>
      </c>
    </row>
    <row r="118" spans="1:11" ht="24.75" customHeight="1">
      <c r="A118" s="2526" t="str">
        <f>项目基本情况!S2</f>
        <v>湖北省武汉市江夏区纸坊街红旗村“江南新天地”（又名“鹏湖湾”）项目出让国有建设用地使用权及在建建筑物房地产</v>
      </c>
      <c r="B118" s="1797">
        <f>M18</f>
        <v>43189.020000000004</v>
      </c>
      <c r="C118" s="1797">
        <f>M19</f>
        <v>13519.93</v>
      </c>
      <c r="D118" s="1797">
        <f ca="1">ROUND(IF(D32="总价",C34,E118*B118/10000),0)</f>
        <v>31090</v>
      </c>
      <c r="E118" s="1797">
        <f ca="1">ROUND(IF(C33="自定义",IF(D32="楼面单价",C34,D118*10000/B118),I118-G118),0)</f>
        <v>7199</v>
      </c>
      <c r="F118" s="1797">
        <f ca="1">ROUND(IF(D32="总价",C35,G118*B118/10000),0)</f>
        <v>3416</v>
      </c>
      <c r="G118" s="1797">
        <f ca="1">ROUND(IF(D32="楼面单价",C35,F118*10000/B118),0)</f>
        <v>791</v>
      </c>
      <c r="H118" s="1797">
        <f ca="1">ROUND(IF(D32="总价",C32,I118*B118/10000),0)</f>
        <v>34506</v>
      </c>
      <c r="I118" s="1797">
        <f ca="1">ROUND(IF(D32="楼面单价",C32,H118*10000/B118),0)</f>
        <v>7990</v>
      </c>
    </row>
    <row r="119" spans="1:11" ht="18.75" customHeight="1">
      <c r="A119" s="3024" t="s">
        <v>2318</v>
      </c>
      <c r="B119" s="3024"/>
      <c r="C119" s="3024"/>
      <c r="D119" s="3124" t="str">
        <f ca="1">NUMBERSTRING(INT(D118*10000),2)&amp;"元整"</f>
        <v>叁亿壹仟零玖拾万元整</v>
      </c>
      <c r="E119" s="3126"/>
      <c r="F119" s="3124" t="str">
        <f ca="1">NUMBERSTRING(INT(F118*10000),2)&amp;"元整"</f>
        <v>叁仟肆佰壹拾陆万元整</v>
      </c>
      <c r="G119" s="3126"/>
      <c r="H119" s="3124" t="str">
        <f ca="1">NUMBERSTRING(INT(H118*10000),2)&amp;"元整"</f>
        <v>叁亿肆仟伍佰零陆万元整</v>
      </c>
      <c r="I119" s="3126"/>
    </row>
    <row r="120" spans="1:11" ht="18.75" customHeight="1">
      <c r="A120" s="3152" t="str">
        <f>IF(项目基本情况!B9="房地产市场价值","",MID(E103,3,LEN(E103)-2))</f>
        <v>估价师知悉的法定优先受偿款</v>
      </c>
      <c r="B120" s="3153"/>
      <c r="C120" s="3154"/>
      <c r="D120" s="3152">
        <f>H103</f>
        <v>0</v>
      </c>
      <c r="E120" s="3153"/>
      <c r="F120" s="3153"/>
      <c r="G120" s="3153"/>
      <c r="H120" s="3153"/>
      <c r="I120" s="3154"/>
      <c r="K120" s="2423" t="str">
        <f>IF(D120=0,"故，本次评估不存在"&amp;A120,"故，本次评估"&amp;A120&amp;"为人民币"&amp;D120&amp;"万元整。")</f>
        <v>故，本次评估不存在估价师知悉的法定优先受偿款</v>
      </c>
    </row>
    <row r="121" spans="1:11" ht="18.75" customHeight="1">
      <c r="A121" s="3128" t="s">
        <v>2318</v>
      </c>
      <c r="B121" s="3129"/>
      <c r="C121" s="3130"/>
      <c r="D121" s="3124" t="str">
        <f>IF(D120=0,"零元整",NUMBERSTRING(INT(D120*10000),2)&amp;"元整")</f>
        <v>零元整</v>
      </c>
      <c r="E121" s="3125"/>
      <c r="F121" s="3125"/>
      <c r="G121" s="3125"/>
      <c r="H121" s="3125"/>
      <c r="I121" s="3126"/>
    </row>
    <row r="122" spans="1:11" ht="18.75" customHeight="1">
      <c r="A122" s="3115" t="str">
        <f>IF(项目基本情况!B9="房地产市场价值","",MID(E107,3,LEN(E107)-2))</f>
        <v>房地产抵押价值</v>
      </c>
      <c r="B122" s="3115"/>
      <c r="C122" s="3115"/>
      <c r="D122" s="3152">
        <f ca="1">H107</f>
        <v>34506</v>
      </c>
      <c r="E122" s="3153"/>
      <c r="F122" s="3153"/>
      <c r="G122" s="3153"/>
      <c r="H122" s="3153"/>
      <c r="I122" s="3154"/>
    </row>
    <row r="123" spans="1:11" ht="18.75" customHeight="1">
      <c r="A123" s="3024" t="s">
        <v>2318</v>
      </c>
      <c r="B123" s="3024"/>
      <c r="C123" s="3024"/>
      <c r="D123" s="3124" t="str">
        <f ca="1">NUMBERSTRING(INT(D122*10000),2)&amp;"元整"</f>
        <v>叁亿肆仟伍佰零陆万元整</v>
      </c>
      <c r="E123" s="3125"/>
      <c r="F123" s="3125"/>
      <c r="G123" s="3125"/>
      <c r="H123" s="3125"/>
      <c r="I123" s="3126"/>
    </row>
    <row r="124" spans="1:11" ht="18.75" customHeight="1">
      <c r="A124" s="3115" t="str">
        <f>IF(项目基本情况!B9="房地产市场价值","",MID(E109,3,LEN(E109)-2))</f>
        <v/>
      </c>
      <c r="B124" s="3115"/>
      <c r="C124" s="3115"/>
      <c r="D124" s="3152" t="str">
        <f>H109</f>
        <v>——</v>
      </c>
      <c r="E124" s="3153"/>
      <c r="F124" s="3153"/>
      <c r="G124" s="3153"/>
      <c r="H124" s="3153"/>
      <c r="I124" s="3154"/>
    </row>
    <row r="125" spans="1:11" ht="18.75" customHeight="1">
      <c r="A125" s="3024" t="s">
        <v>2318</v>
      </c>
      <c r="B125" s="3024"/>
      <c r="C125" s="3024"/>
      <c r="D125" s="3124" t="e">
        <f>NUMBERSTRING(INT(D124*10000),2)&amp;"元整"</f>
        <v>#VALUE!</v>
      </c>
      <c r="E125" s="3125"/>
      <c r="F125" s="3125"/>
      <c r="G125" s="3125"/>
      <c r="H125" s="3125"/>
      <c r="I125" s="3126"/>
    </row>
    <row r="126" spans="1:11" ht="18.75" customHeight="1">
      <c r="A126" s="3115" t="str">
        <f>IF(项目基本情况!B9="房地产市场价值","",MID(E111,3,LEN(E111)-2))</f>
        <v/>
      </c>
      <c r="B126" s="3115"/>
      <c r="C126" s="3115"/>
      <c r="D126" s="3152" t="str">
        <f>H111</f>
        <v>——</v>
      </c>
      <c r="E126" s="3153"/>
      <c r="F126" s="3153"/>
      <c r="G126" s="3153"/>
      <c r="H126" s="3153"/>
      <c r="I126" s="3154"/>
    </row>
    <row r="127" spans="1:11" ht="18.75" customHeight="1">
      <c r="A127" s="3024" t="s">
        <v>2318</v>
      </c>
      <c r="B127" s="3024"/>
      <c r="C127" s="3024"/>
      <c r="D127" s="3124" t="e">
        <f>NUMBERSTRING(INT(D126*10000),2)&amp;"元整"</f>
        <v>#VALUE!</v>
      </c>
      <c r="E127" s="3125"/>
      <c r="F127" s="3125"/>
      <c r="G127" s="3125"/>
      <c r="H127" s="3125"/>
      <c r="I127" s="3126"/>
    </row>
    <row r="128" spans="1:11" ht="21.75" customHeight="1">
      <c r="A128" s="3134" t="s">
        <v>2319</v>
      </c>
      <c r="B128" s="3134"/>
      <c r="C128" s="3134"/>
      <c r="D128" s="3134"/>
      <c r="E128" s="3134"/>
      <c r="F128" s="3134"/>
      <c r="G128" s="3134"/>
      <c r="H128" s="3134"/>
      <c r="I128" s="3134"/>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43"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9"/>
      <c r="C1" s="242"/>
      <c r="D1" s="242"/>
      <c r="E1" s="242"/>
      <c r="F1" s="242"/>
      <c r="G1" s="1382">
        <f>MATCH(B1,'数据-取费表'!A6:A16,0)+5</f>
        <v>8</v>
      </c>
    </row>
    <row r="2" spans="1:9" s="244" customFormat="1" ht="18" customHeight="1">
      <c r="A2" s="245" t="s">
        <v>2328</v>
      </c>
      <c r="B2" s="246">
        <f ca="1">IF(D2="——",C52,C52-E2)</f>
        <v>37175</v>
      </c>
      <c r="C2" s="243" t="s">
        <v>2329</v>
      </c>
      <c r="D2" s="2549" t="s">
        <v>70</v>
      </c>
      <c r="E2" s="1443"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8608</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29188</v>
      </c>
      <c r="D5" s="255" t="s">
        <v>2335</v>
      </c>
      <c r="E5" s="256" t="s">
        <v>2336</v>
      </c>
      <c r="F5" s="256" t="s">
        <v>2337</v>
      </c>
      <c r="G5" s="257"/>
    </row>
    <row r="6" spans="1:9" s="258" customFormat="1" ht="13.5" customHeight="1">
      <c r="A6" s="952" t="s">
        <v>2338</v>
      </c>
      <c r="B6" s="259" t="s">
        <v>2339</v>
      </c>
      <c r="C6" s="260">
        <f>'土地比较法-住宅、综合'!F66</f>
        <v>28052</v>
      </c>
      <c r="D6" s="261"/>
      <c r="E6" s="262"/>
      <c r="F6" s="262"/>
      <c r="G6" s="263"/>
    </row>
    <row r="7" spans="1:9" s="258" customFormat="1" ht="13.5" customHeight="1">
      <c r="A7" s="952" t="s">
        <v>2340</v>
      </c>
      <c r="B7" s="259" t="s">
        <v>2341</v>
      </c>
      <c r="C7" s="264">
        <f>ROUND(C6*F7,0)</f>
        <v>1136</v>
      </c>
      <c r="D7" s="264"/>
      <c r="E7" s="262"/>
      <c r="F7" s="265">
        <f>'数据-取费表'!B48+'数据-取费表'!B49</f>
        <v>4.0500000000000001E-2</v>
      </c>
      <c r="G7" s="263"/>
    </row>
    <row r="8" spans="1:9" s="267" customFormat="1">
      <c r="A8" s="952" t="s">
        <v>2342</v>
      </c>
      <c r="B8" s="259" t="s">
        <v>2343</v>
      </c>
      <c r="C8" s="264">
        <f>IF(G8="已包含在土地购买价格中","0",IF(B1="",'数据-取费表'!B29,IF(G9="全部缴纳",C9+C10,H9)))</f>
        <v>0</v>
      </c>
      <c r="D8" s="266"/>
      <c r="E8" s="264"/>
      <c r="F8" s="265"/>
      <c r="G8" s="2552" t="s">
        <v>3088</v>
      </c>
    </row>
    <row r="9" spans="1:9" s="258" customFormat="1" ht="13.5" customHeight="1">
      <c r="A9" s="953" t="s">
        <v>800</v>
      </c>
      <c r="B9" s="268" t="s">
        <v>2344</v>
      </c>
      <c r="C9" s="269">
        <f ca="1">ROUND(D9*E9/10000,0)</f>
        <v>255</v>
      </c>
      <c r="D9" s="1035">
        <f ca="1">IF(B1="",'数据-汇总表'!E5,IF(INDIRECT("'数据-取费表'!c"&amp;$G$1)="住宅",INDIRECT("'数据-取费表'!k"&amp;$G$1),0))</f>
        <v>42432.480000000003</v>
      </c>
      <c r="E9" s="269">
        <f>'数据-取费表'!B27</f>
        <v>60</v>
      </c>
      <c r="F9" s="265"/>
      <c r="G9" s="2553" t="s">
        <v>3089</v>
      </c>
      <c r="H9" s="1393"/>
      <c r="I9" s="2554" t="s">
        <v>2345</v>
      </c>
    </row>
    <row r="10" spans="1:9" s="258" customFormat="1" ht="13.5" customHeight="1">
      <c r="A10" s="953" t="s">
        <v>801</v>
      </c>
      <c r="B10" s="268" t="s">
        <v>2346</v>
      </c>
      <c r="C10" s="269">
        <f ca="1">ROUND(D10*E10/10000,0)</f>
        <v>5</v>
      </c>
      <c r="D10" s="1035">
        <f ca="1">IF(B1="",'数据-汇总表'!E6,IF(INDIRECT("'数据-取费表'!c"&amp;$G$1)="住宅",INDIRECT("'数据-取费表'!s"&amp;$G$1),INDIRECT("'数据-取费表'!k"&amp;$G$1)+INDIRECT("'数据-取费表'!s"&amp;$G$1)))</f>
        <v>756.54000000000087</v>
      </c>
      <c r="E10" s="269">
        <f>'数据-取费表'!B28</f>
        <v>60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864</v>
      </c>
      <c r="D19" s="1039">
        <f ca="1">D9+D10</f>
        <v>43189.020000000004</v>
      </c>
      <c r="E19" s="255">
        <f>'数据-取费表'!B31</f>
        <v>200</v>
      </c>
      <c r="F19" s="275"/>
      <c r="G19" s="2552"/>
    </row>
    <row r="20" spans="1:7" s="258" customFormat="1" ht="13.5" customHeight="1">
      <c r="A20" s="299" t="s">
        <v>2359</v>
      </c>
      <c r="B20" s="254" t="s">
        <v>2360</v>
      </c>
      <c r="C20" s="276">
        <f ca="1">ROUND((C5+C19)*F20,0)</f>
        <v>601</v>
      </c>
      <c r="D20" s="276"/>
      <c r="E20" s="276"/>
      <c r="F20" s="277">
        <f>'数据-取费表'!B37</f>
        <v>0.02</v>
      </c>
      <c r="G20" s="278" t="s">
        <v>2361</v>
      </c>
    </row>
    <row r="21" spans="1:7" s="258" customFormat="1" ht="13.5" customHeight="1">
      <c r="A21" s="299" t="s">
        <v>2362</v>
      </c>
      <c r="B21" s="254" t="s">
        <v>2363</v>
      </c>
      <c r="C21" s="279">
        <f>F21</f>
        <v>0.01</v>
      </c>
      <c r="D21" s="280" t="s">
        <v>2364</v>
      </c>
      <c r="E21" s="276"/>
      <c r="F21" s="277">
        <f>'数据-取费表'!B38</f>
        <v>0.01</v>
      </c>
      <c r="G21" s="278" t="s">
        <v>2365</v>
      </c>
    </row>
    <row r="22" spans="1:7" s="258" customFormat="1" ht="13.5" customHeight="1">
      <c r="A22" s="299" t="s">
        <v>2366</v>
      </c>
      <c r="B22" s="254" t="s">
        <v>2367</v>
      </c>
      <c r="C22" s="1357">
        <f ca="1">ROUND(SUM(C23:C25),0)</f>
        <v>425</v>
      </c>
      <c r="D22" s="279">
        <f ca="1">C26</f>
        <v>1E-4</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409</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12</v>
      </c>
      <c r="D24" s="282"/>
      <c r="E24" s="282"/>
      <c r="F24" s="283"/>
      <c r="G24" s="284" t="s">
        <v>2373</v>
      </c>
    </row>
    <row r="25" spans="1:7" s="258" customFormat="1" ht="24">
      <c r="A25" s="954" t="s">
        <v>2374</v>
      </c>
      <c r="B25" s="259" t="s">
        <v>2375</v>
      </c>
      <c r="C25" s="1358">
        <f ca="1">ROUND(IF('数据-取费表'!B22&lt;=1,C20*F22*'数据-取费表'!B23/2,C20*(POWER((1+F22),'数据-取费表'!B23/2)-1)),0)</f>
        <v>4</v>
      </c>
      <c r="D25" s="282"/>
      <c r="E25" s="285"/>
      <c r="F25" s="283"/>
      <c r="G25" s="286" t="s">
        <v>2376</v>
      </c>
    </row>
    <row r="26" spans="1:7" s="258" customFormat="1">
      <c r="A26" s="954" t="s">
        <v>795</v>
      </c>
      <c r="B26" s="259" t="s">
        <v>2377</v>
      </c>
      <c r="C26" s="282">
        <f ca="1">ROUND(IF('数据-取费表'!B22&lt;=1,F21*F22*'数据-取费表'!B23/2,F21*(POWER((1+F22),'数据-取费表'!B23/2)-1)),4)</f>
        <v>1E-4</v>
      </c>
      <c r="D26" s="282"/>
      <c r="E26" s="285"/>
      <c r="F26" s="283"/>
      <c r="G26" s="287"/>
    </row>
    <row r="27" spans="1:7" s="258" customFormat="1" ht="24.75">
      <c r="A27" s="299" t="s">
        <v>2378</v>
      </c>
      <c r="B27" s="288" t="s">
        <v>2379</v>
      </c>
      <c r="C27" s="289">
        <f ca="1">C28</f>
        <v>307</v>
      </c>
      <c r="D27" s="279">
        <f ca="1">C29</f>
        <v>1E-4</v>
      </c>
      <c r="E27" s="280" t="s">
        <v>2380</v>
      </c>
      <c r="F27" s="290">
        <f ca="1">IF(B1="",'数据-取费表'!Q16,INDIRECT("'数据-取费表'!q"&amp;$G$1))</f>
        <v>0.05</v>
      </c>
      <c r="G27" s="291" t="s">
        <v>2381</v>
      </c>
    </row>
    <row r="28" spans="1:7" s="258" customFormat="1" ht="13.5" customHeight="1">
      <c r="A28" s="954" t="s">
        <v>791</v>
      </c>
      <c r="B28" s="292" t="s">
        <v>2382</v>
      </c>
      <c r="C28" s="293">
        <f ca="1">ROUND((C5+C19+C20)*F27*'数据-取费表'!B21/'数据-取费表'!B20,0)</f>
        <v>307</v>
      </c>
      <c r="D28" s="279"/>
      <c r="E28" s="280"/>
      <c r="F28" s="290"/>
      <c r="G28" s="291"/>
    </row>
    <row r="29" spans="1:7" s="258" customFormat="1" ht="13.5" customHeight="1">
      <c r="A29" s="954" t="s">
        <v>792</v>
      </c>
      <c r="B29" s="292" t="s">
        <v>2383</v>
      </c>
      <c r="C29" s="282">
        <f ca="1">ROUND(C21*F27*'数据-取费表'!B21/'数据-取费表'!B20,4)</f>
        <v>1E-4</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33513</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3180</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2719</v>
      </c>
      <c r="D34" s="261"/>
      <c r="E34" s="264"/>
      <c r="F34" s="301">
        <f ca="1">IF('数据-取费表'!B24=0,1,IF(B1="",'数据-取费表'!N16,INDIRECT("'数据-取费表'!n"&amp;$G$1)))</f>
        <v>0.23499999999999999</v>
      </c>
      <c r="G34" s="263" t="s">
        <v>2392</v>
      </c>
    </row>
    <row r="35" spans="1:7" ht="13.5" customHeight="1">
      <c r="A35" s="954" t="s">
        <v>796</v>
      </c>
      <c r="B35" s="259" t="s">
        <v>2393</v>
      </c>
      <c r="C35" s="264">
        <f ca="1">ROUND(C34*F35,0)</f>
        <v>82</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135</v>
      </c>
      <c r="D36" s="264"/>
      <c r="E36" s="264"/>
      <c r="F36" s="303">
        <f>'数据-取费表'!B34</f>
        <v>0.05</v>
      </c>
      <c r="G36" s="304" t="s">
        <v>2396</v>
      </c>
    </row>
    <row r="37" spans="1:7" s="302" customFormat="1" ht="13.5" customHeight="1">
      <c r="A37" s="954" t="s">
        <v>798</v>
      </c>
      <c r="B37" s="259" t="s">
        <v>2397</v>
      </c>
      <c r="C37" s="293">
        <f ca="1">ROUND(E37*D37*F34/10000,0)</f>
        <v>203</v>
      </c>
      <c r="D37" s="261">
        <f ca="1">D19</f>
        <v>43189.020000000004</v>
      </c>
      <c r="E37" s="293">
        <f>'数据-取费表'!B35</f>
        <v>200</v>
      </c>
      <c r="F37" s="303"/>
      <c r="G37" s="305" t="s">
        <v>2398</v>
      </c>
    </row>
    <row r="38" spans="1:7" ht="13.5" customHeight="1">
      <c r="A38" s="954" t="s">
        <v>799</v>
      </c>
      <c r="B38" s="259" t="s">
        <v>2399</v>
      </c>
      <c r="C38" s="264">
        <f ca="1">ROUND(C34*F38,0)</f>
        <v>41</v>
      </c>
      <c r="D38" s="264"/>
      <c r="E38" s="264"/>
      <c r="F38" s="303">
        <f>'数据-取费表'!B36</f>
        <v>1.4999999999999999E-2</v>
      </c>
      <c r="G38" s="263" t="s">
        <v>2394</v>
      </c>
    </row>
    <row r="39" spans="1:7" s="258" customFormat="1" ht="13.5" customHeight="1">
      <c r="A39" s="299" t="s">
        <v>2400</v>
      </c>
      <c r="B39" s="254" t="s">
        <v>2401</v>
      </c>
      <c r="C39" s="276">
        <f ca="1">ROUND(C33*F20,0)</f>
        <v>64</v>
      </c>
      <c r="D39" s="276"/>
      <c r="E39" s="276"/>
      <c r="F39" s="277"/>
      <c r="G39" s="278" t="s">
        <v>2402</v>
      </c>
    </row>
    <row r="40" spans="1:7" s="258" customFormat="1" ht="13.5" customHeight="1">
      <c r="A40" s="299" t="s">
        <v>2403</v>
      </c>
      <c r="B40" s="254" t="s">
        <v>2404</v>
      </c>
      <c r="C40" s="1730">
        <f>F21</f>
        <v>0.01</v>
      </c>
      <c r="D40" s="280" t="s">
        <v>2405</v>
      </c>
      <c r="E40" s="276"/>
      <c r="F40" s="277"/>
      <c r="G40" s="278" t="s">
        <v>2406</v>
      </c>
    </row>
    <row r="41" spans="1:7" s="258" customFormat="1" ht="13.5" customHeight="1">
      <c r="A41" s="299" t="s">
        <v>2407</v>
      </c>
      <c r="B41" s="254" t="s">
        <v>2408</v>
      </c>
      <c r="C41" s="276">
        <f ca="1">ROUND(SUM(C42:C43),0)</f>
        <v>22</v>
      </c>
      <c r="D41" s="279">
        <f ca="1">C44</f>
        <v>1E-4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22</v>
      </c>
      <c r="D42" s="282"/>
      <c r="E42" s="282"/>
      <c r="F42" s="283"/>
      <c r="G42" s="3166" t="s">
        <v>2410</v>
      </c>
    </row>
    <row r="43" spans="1:7" ht="13.5" customHeight="1">
      <c r="A43" s="954" t="s">
        <v>792</v>
      </c>
      <c r="B43" s="259" t="s">
        <v>2411</v>
      </c>
      <c r="C43" s="282">
        <f ca="1">ROUND(IF('数据-取费表'!B22&lt;=1,C39*F22*'数据-取费表'!B21/2,C39*(POWER((1+F22),'数据-取费表'!B21/2)-1)),0)</f>
        <v>0</v>
      </c>
      <c r="D43" s="282"/>
      <c r="E43" s="282"/>
      <c r="F43" s="283"/>
      <c r="G43" s="3167"/>
    </row>
    <row r="44" spans="1:7" ht="13.5" customHeight="1">
      <c r="A44" s="954" t="s">
        <v>793</v>
      </c>
      <c r="B44" s="259" t="s">
        <v>2412</v>
      </c>
      <c r="C44" s="282">
        <f ca="1">ROUND(IF('数据-取费表'!B22&lt;=1,C40*F22*'数据-取费表'!B21/2,C40*(POWER((1+F22),'数据-取费表'!B21/2)-1)),4)</f>
        <v>1E-4</v>
      </c>
      <c r="D44" s="282"/>
      <c r="E44" s="282"/>
      <c r="F44" s="283"/>
      <c r="G44" s="3168"/>
    </row>
    <row r="45" spans="1:7" s="258" customFormat="1" ht="13.5" customHeight="1">
      <c r="A45" s="299" t="s">
        <v>2413</v>
      </c>
      <c r="B45" s="288" t="s">
        <v>2379</v>
      </c>
      <c r="C45" s="289">
        <f ca="1">C46</f>
        <v>162</v>
      </c>
      <c r="D45" s="279">
        <f ca="1">C47</f>
        <v>5.0000000000000001E-4</v>
      </c>
      <c r="E45" s="280" t="s">
        <v>2405</v>
      </c>
      <c r="F45" s="290"/>
      <c r="G45" s="291" t="s">
        <v>2414</v>
      </c>
    </row>
    <row r="46" spans="1:7" s="258" customFormat="1" ht="13.5" customHeight="1">
      <c r="A46" s="954" t="s">
        <v>791</v>
      </c>
      <c r="B46" s="292" t="s">
        <v>2415</v>
      </c>
      <c r="C46" s="293">
        <f ca="1">ROUND((C33+C39)*F27,0)</f>
        <v>162</v>
      </c>
      <c r="D46" s="307"/>
      <c r="E46" s="280"/>
      <c r="F46" s="290"/>
      <c r="G46" s="291"/>
    </row>
    <row r="47" spans="1:7" s="258" customFormat="1" ht="13.5" customHeight="1">
      <c r="A47" s="954" t="s">
        <v>792</v>
      </c>
      <c r="B47" s="292" t="s">
        <v>2416</v>
      </c>
      <c r="C47" s="282">
        <f ca="1">ROUND(C40*F27,4)</f>
        <v>5.0000000000000001E-4</v>
      </c>
      <c r="D47" s="307"/>
      <c r="E47" s="280"/>
      <c r="F47" s="290"/>
      <c r="G47" s="291"/>
    </row>
    <row r="48" spans="1:7" s="258" customFormat="1" ht="13.5" customHeight="1">
      <c r="A48" s="299" t="s">
        <v>2378</v>
      </c>
      <c r="B48" s="254" t="s">
        <v>2417</v>
      </c>
      <c r="C48" s="1730">
        <f>ROUND(F30/(1+'数据-取费表'!C42),4)</f>
        <v>5.33E-2</v>
      </c>
      <c r="D48" s="280" t="s">
        <v>2405</v>
      </c>
      <c r="E48" s="276"/>
      <c r="F48" s="281"/>
      <c r="G48" s="278" t="s">
        <v>2418</v>
      </c>
    </row>
    <row r="49" spans="1:7" ht="16.5" customHeight="1">
      <c r="A49" s="299" t="s">
        <v>2384</v>
      </c>
      <c r="B49" s="254" t="s">
        <v>2419</v>
      </c>
      <c r="C49" s="276">
        <f ca="1">ROUND((C33+C39+C41+C45)/(1-C40-D41-D45-C48),0)</f>
        <v>3662</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3662</v>
      </c>
      <c r="D51" s="276"/>
      <c r="E51" s="276"/>
      <c r="F51" s="308"/>
      <c r="G51" s="278" t="s">
        <v>2426</v>
      </c>
    </row>
    <row r="52" spans="1:7" s="252" customFormat="1" ht="16.5" thickBot="1">
      <c r="A52" s="309" t="s">
        <v>2427</v>
      </c>
      <c r="B52" s="310"/>
      <c r="C52" s="311">
        <f ca="1">C31+C51</f>
        <v>37175</v>
      </c>
      <c r="D52" s="310"/>
      <c r="E52" s="310"/>
      <c r="F52" s="310"/>
      <c r="G52" s="312"/>
    </row>
    <row r="55" spans="1:7" ht="15">
      <c r="B55" s="314" t="s">
        <v>2428</v>
      </c>
      <c r="C55" s="315"/>
    </row>
    <row r="56" spans="1:7">
      <c r="B56" s="317" t="s">
        <v>1513</v>
      </c>
      <c r="C56" s="319">
        <f ca="1">1-C57</f>
        <v>0.90100000000000002</v>
      </c>
    </row>
    <row r="57" spans="1:7">
      <c r="B57" s="317" t="s">
        <v>1514</v>
      </c>
      <c r="C57" s="318">
        <f ca="1">ROUND(C51/C52,3)</f>
        <v>9.9000000000000005E-2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0" t="str">
        <f>项目基本情况!B1</f>
        <v>湖北省武汉市江夏区纸坊街红旗村“江南新天地”（又名“鹏湖湾”）项目出让国有建设用地使用权及在建建筑物房地产抵押价值预评估</v>
      </c>
      <c r="C37" s="2980"/>
      <c r="D37" s="2980"/>
      <c r="E37" s="2980"/>
      <c r="F37" s="2980"/>
      <c r="G37" s="2980"/>
      <c r="H37" s="2980"/>
      <c r="I37" s="2980"/>
    </row>
    <row r="38" spans="1:9">
      <c r="A38" s="1019"/>
      <c r="B38" s="1019"/>
    </row>
    <row r="39" spans="1:9">
      <c r="A39" s="1017" t="s">
        <v>818</v>
      </c>
      <c r="B39" s="1017" t="s">
        <v>820</v>
      </c>
    </row>
    <row r="40" spans="1:9">
      <c r="A40" s="1017"/>
      <c r="B40" s="1944" t="str">
        <f>项目基本情况!B5</f>
        <v>武汉伟鹏房地产开发建筑有限公司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郑燚（注册号：1120070131)、王萌（注册号：1120130048)</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9"/>
      <c r="C1" s="2555" t="s">
        <v>2429</v>
      </c>
      <c r="D1" s="242"/>
      <c r="E1" s="242"/>
      <c r="F1" s="242"/>
      <c r="G1" s="1382">
        <f>MATCH(B1,'数据-取费表'!A6:A16,0)+5</f>
        <v>8</v>
      </c>
      <c r="H1" s="1285" t="str">
        <f>IF(ISERROR(FIND("住宅",B1)),"非住宅","住宅")</f>
        <v>非住宅</v>
      </c>
    </row>
    <row r="2" spans="1:8" s="244" customFormat="1" ht="18" customHeight="1">
      <c r="A2" s="245" t="s">
        <v>2328</v>
      </c>
      <c r="B2" s="246">
        <f ca="1">ROUND(IF(D2="——",C52/10000,C52/10000-E2),0)</f>
        <v>17405</v>
      </c>
      <c r="C2" s="243" t="s">
        <v>2329</v>
      </c>
      <c r="D2" s="2549" t="s">
        <v>70</v>
      </c>
      <c r="E2" s="1443"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4030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2591341</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4.0500000000000001E-2</v>
      </c>
      <c r="G7" s="263"/>
    </row>
    <row r="8" spans="1:8" s="267" customFormat="1">
      <c r="A8" s="952" t="s">
        <v>2342</v>
      </c>
      <c r="B8" s="259" t="s">
        <v>2343</v>
      </c>
      <c r="C8" s="264">
        <f ca="1">IF(G8="已包含在土地购买价格中",0,C9+C10)</f>
        <v>2591341</v>
      </c>
      <c r="D8" s="266"/>
      <c r="E8" s="264"/>
      <c r="F8" s="265"/>
      <c r="G8" s="2552"/>
    </row>
    <row r="9" spans="1:8" s="258" customFormat="1" ht="13.5" customHeight="1">
      <c r="A9" s="953" t="s">
        <v>800</v>
      </c>
      <c r="B9" s="268" t="s">
        <v>2344</v>
      </c>
      <c r="C9" s="269">
        <f ca="1">ROUND(D9*E9,0)</f>
        <v>2545949</v>
      </c>
      <c r="D9" s="1035">
        <f ca="1">IF(B1="",'数据-汇总表'!E5,IF(INDIRECT("'数据-取费表'!c"&amp;$G$1)="住宅",INDIRECT("'数据-取费表'!k"&amp;$G$1),0))</f>
        <v>42432.480000000003</v>
      </c>
      <c r="E9" s="269">
        <f>'数据-取费表'!B27</f>
        <v>60</v>
      </c>
      <c r="F9" s="265"/>
      <c r="G9" s="270"/>
    </row>
    <row r="10" spans="1:8" s="258" customFormat="1" ht="13.5" customHeight="1">
      <c r="A10" s="953" t="s">
        <v>801</v>
      </c>
      <c r="B10" s="268" t="s">
        <v>2346</v>
      </c>
      <c r="C10" s="269">
        <f ca="1">ROUND(D10*E10,0)</f>
        <v>45392</v>
      </c>
      <c r="D10" s="1035">
        <f ca="1">IF(B1="",'数据-汇总表'!E6,IF(INDIRECT("'数据-取费表'!c"&amp;$G$1)="住宅",INDIRECT("'数据-取费表'!s"&amp;$G$1),INDIRECT("'数据-取费表'!k"&amp;$G$1)+INDIRECT("'数据-取费表'!s"&amp;$G$1)))</f>
        <v>756.54000000000087</v>
      </c>
      <c r="E10" s="269">
        <f>'数据-取费表'!B28</f>
        <v>60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8637804</v>
      </c>
      <c r="D19" s="1039">
        <f ca="1">D9+D10</f>
        <v>43189.020000000004</v>
      </c>
      <c r="E19" s="255">
        <f>'数据-取费表'!B31</f>
        <v>200</v>
      </c>
      <c r="F19" s="275"/>
      <c r="G19" s="2552"/>
    </row>
    <row r="20" spans="1:7" s="258" customFormat="1" ht="13.5" customHeight="1">
      <c r="A20" s="299" t="s">
        <v>2440</v>
      </c>
      <c r="B20" s="254" t="s">
        <v>2441</v>
      </c>
      <c r="C20" s="276">
        <f ca="1">ROUND((C5+C19)*F20,0)</f>
        <v>224583</v>
      </c>
      <c r="D20" s="276"/>
      <c r="E20" s="276"/>
      <c r="F20" s="277">
        <f>'数据-取费表'!B37</f>
        <v>0.02</v>
      </c>
      <c r="G20" s="278" t="s">
        <v>2442</v>
      </c>
    </row>
    <row r="21" spans="1:7" s="258" customFormat="1" ht="13.5" customHeight="1">
      <c r="A21" s="299" t="s">
        <v>2443</v>
      </c>
      <c r="B21" s="254" t="s">
        <v>2444</v>
      </c>
      <c r="C21" s="279">
        <f>F21</f>
        <v>0.01</v>
      </c>
      <c r="D21" s="280" t="s">
        <v>2445</v>
      </c>
      <c r="E21" s="276"/>
      <c r="F21" s="277">
        <f>'数据-取费表'!B38</f>
        <v>0.01</v>
      </c>
      <c r="G21" s="278" t="s">
        <v>2446</v>
      </c>
    </row>
    <row r="22" spans="1:7" s="258" customFormat="1" ht="13.5" customHeight="1">
      <c r="A22" s="299" t="s">
        <v>2447</v>
      </c>
      <c r="B22" s="254" t="s">
        <v>2448</v>
      </c>
      <c r="C22" s="1383">
        <f ca="1">ROUND(SUM(C23:C25),0)</f>
        <v>817458</v>
      </c>
      <c r="D22" s="279">
        <f ca="1">C26</f>
        <v>4.0000000000000002E-4</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186809</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622695</v>
      </c>
      <c r="D24" s="282"/>
      <c r="E24" s="282"/>
      <c r="F24" s="283"/>
      <c r="G24" s="284" t="s">
        <v>2452</v>
      </c>
    </row>
    <row r="25" spans="1:7" s="258" customFormat="1" ht="24">
      <c r="A25" s="954" t="s">
        <v>2342</v>
      </c>
      <c r="B25" s="259" t="s">
        <v>2453</v>
      </c>
      <c r="C25" s="1384">
        <f ca="1">ROUND(IF('数据-取费表'!B22&lt;=1,C20*F22*'数据-取费表'!B22/2,C20*(POWER((1+F22),'数据-取费表'!B22/2)-1)),0)</f>
        <v>7954</v>
      </c>
      <c r="D25" s="282"/>
      <c r="E25" s="285"/>
      <c r="F25" s="283"/>
      <c r="G25" s="286" t="s">
        <v>2454</v>
      </c>
    </row>
    <row r="26" spans="1:7" s="258" customFormat="1">
      <c r="A26" s="954"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572686</v>
      </c>
      <c r="D27" s="279">
        <f ca="1">C29</f>
        <v>5.0000000000000001E-4</v>
      </c>
      <c r="E27" s="280" t="s">
        <v>2380</v>
      </c>
      <c r="F27" s="290">
        <f ca="1">IF(B1="",'数据-取费表'!Q16,INDIRECT("'数据-取费表'!q"&amp;$G$1))</f>
        <v>0.05</v>
      </c>
      <c r="G27" s="291" t="s">
        <v>2381</v>
      </c>
    </row>
    <row r="28" spans="1:7" s="258" customFormat="1" ht="13.5" customHeight="1">
      <c r="A28" s="954" t="s">
        <v>791</v>
      </c>
      <c r="B28" s="292" t="s">
        <v>2382</v>
      </c>
      <c r="C28" s="293">
        <f ca="1">ROUND((C5+C19+C20)*F27,0)</f>
        <v>572686</v>
      </c>
      <c r="D28" s="279"/>
      <c r="E28" s="280"/>
      <c r="F28" s="290"/>
      <c r="G28" s="291"/>
    </row>
    <row r="29" spans="1:7" s="258" customFormat="1" ht="13.5" customHeight="1">
      <c r="A29" s="954" t="s">
        <v>792</v>
      </c>
      <c r="B29" s="292" t="s">
        <v>2383</v>
      </c>
      <c r="C29" s="282">
        <f ca="1">ROUND(C21*F27,4)</f>
        <v>5.0000000000000001E-4</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13725018</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135512483</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115929468</v>
      </c>
      <c r="D34" s="261"/>
      <c r="E34" s="264"/>
      <c r="F34" s="301"/>
      <c r="G34" s="263"/>
    </row>
    <row r="35" spans="1:7" ht="13.5" customHeight="1">
      <c r="A35" s="954" t="s">
        <v>796</v>
      </c>
      <c r="B35" s="259" t="s">
        <v>2393</v>
      </c>
      <c r="C35" s="264">
        <f ca="1">ROUND(C34*F35,0)</f>
        <v>3477884</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5728385</v>
      </c>
      <c r="D36" s="264"/>
      <c r="E36" s="264"/>
      <c r="F36" s="303">
        <f>'数据-取费表'!B34</f>
        <v>0.05</v>
      </c>
      <c r="G36" s="304" t="s">
        <v>2396</v>
      </c>
    </row>
    <row r="37" spans="1:7" s="302" customFormat="1" ht="13.5" customHeight="1">
      <c r="A37" s="954" t="s">
        <v>798</v>
      </c>
      <c r="B37" s="259" t="s">
        <v>2397</v>
      </c>
      <c r="C37" s="293">
        <f ca="1">ROUND(E37*D37,0)</f>
        <v>8637804</v>
      </c>
      <c r="D37" s="261">
        <f ca="1">D19</f>
        <v>43189.020000000004</v>
      </c>
      <c r="E37" s="293">
        <f>'数据-取费表'!B35</f>
        <v>200</v>
      </c>
      <c r="F37" s="303"/>
      <c r="G37" s="305"/>
    </row>
    <row r="38" spans="1:7" ht="13.5" customHeight="1">
      <c r="A38" s="954" t="s">
        <v>799</v>
      </c>
      <c r="B38" s="259" t="s">
        <v>2399</v>
      </c>
      <c r="C38" s="264">
        <f ca="1">ROUND(C34*F38,0)</f>
        <v>1738942</v>
      </c>
      <c r="D38" s="264"/>
      <c r="E38" s="264"/>
      <c r="F38" s="303">
        <f>'数据-取费表'!B36</f>
        <v>1.4999999999999999E-2</v>
      </c>
      <c r="G38" s="263" t="s">
        <v>2394</v>
      </c>
    </row>
    <row r="39" spans="1:7" s="258" customFormat="1" ht="13.5" customHeight="1">
      <c r="A39" s="299" t="s">
        <v>2400</v>
      </c>
      <c r="B39" s="254" t="s">
        <v>2401</v>
      </c>
      <c r="C39" s="276">
        <f ca="1">ROUND(C33*F20,0)</f>
        <v>2710250</v>
      </c>
      <c r="D39" s="276"/>
      <c r="E39" s="276"/>
      <c r="F39" s="277"/>
      <c r="G39" s="278" t="s">
        <v>2402</v>
      </c>
    </row>
    <row r="40" spans="1:7" s="258" customFormat="1" ht="13.5" customHeight="1">
      <c r="A40" s="299" t="s">
        <v>2403</v>
      </c>
      <c r="B40" s="254" t="s">
        <v>2404</v>
      </c>
      <c r="C40" s="1730">
        <f>F21</f>
        <v>0.01</v>
      </c>
      <c r="D40" s="280" t="s">
        <v>2405</v>
      </c>
      <c r="E40" s="276"/>
      <c r="F40" s="277"/>
      <c r="G40" s="278" t="s">
        <v>2406</v>
      </c>
    </row>
    <row r="41" spans="1:7" s="258" customFormat="1" ht="13.5" customHeight="1">
      <c r="A41" s="299" t="s">
        <v>2407</v>
      </c>
      <c r="B41" s="254" t="s">
        <v>2408</v>
      </c>
      <c r="C41" s="276">
        <f ca="1">ROUND(SUM(C42:C43),0)</f>
        <v>4895511</v>
      </c>
      <c r="D41" s="279">
        <f ca="1">C44</f>
        <v>4.0000000000000002E-4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4799521</v>
      </c>
      <c r="D42" s="282"/>
      <c r="E42" s="282"/>
      <c r="F42" s="283"/>
      <c r="G42" s="3166" t="s">
        <v>2457</v>
      </c>
    </row>
    <row r="43" spans="1:7" ht="13.5" customHeight="1">
      <c r="A43" s="954" t="s">
        <v>792</v>
      </c>
      <c r="B43" s="259" t="s">
        <v>2411</v>
      </c>
      <c r="C43" s="282">
        <f ca="1">ROUND(IF('数据-取费表'!B22&lt;=1,C39*F22*'数据-取费表'!B20/2,C39*(POWER((1+F22),'数据-取费表'!B20/2)-1)),0)</f>
        <v>95990</v>
      </c>
      <c r="D43" s="282"/>
      <c r="E43" s="282"/>
      <c r="F43" s="283"/>
      <c r="G43" s="3167"/>
    </row>
    <row r="44" spans="1:7" ht="13.5" customHeight="1">
      <c r="A44" s="954" t="s">
        <v>793</v>
      </c>
      <c r="B44" s="259" t="s">
        <v>2412</v>
      </c>
      <c r="C44" s="282">
        <f ca="1">ROUND(IF('数据-取费表'!B22&lt;=1,C40*F22*'数据-取费表'!B20/2,C40*(POWER((1+F22),'数据-取费表'!B20/2)-1)),4)</f>
        <v>4.0000000000000002E-4</v>
      </c>
      <c r="D44" s="282"/>
      <c r="E44" s="282"/>
      <c r="F44" s="283"/>
      <c r="G44" s="3168"/>
    </row>
    <row r="45" spans="1:7" s="258" customFormat="1" ht="13.5" customHeight="1">
      <c r="A45" s="299" t="s">
        <v>2413</v>
      </c>
      <c r="B45" s="288" t="s">
        <v>2379</v>
      </c>
      <c r="C45" s="289">
        <f ca="1">C46</f>
        <v>6911137</v>
      </c>
      <c r="D45" s="279">
        <f ca="1">C47</f>
        <v>5.0000000000000001E-4</v>
      </c>
      <c r="E45" s="280" t="s">
        <v>2405</v>
      </c>
      <c r="F45" s="290"/>
      <c r="G45" s="291" t="s">
        <v>2414</v>
      </c>
    </row>
    <row r="46" spans="1:7" s="258" customFormat="1" ht="13.5" customHeight="1">
      <c r="A46" s="954" t="s">
        <v>791</v>
      </c>
      <c r="B46" s="292" t="s">
        <v>2415</v>
      </c>
      <c r="C46" s="293">
        <f ca="1">ROUND((C33+C39)*F27,0)</f>
        <v>6911137</v>
      </c>
      <c r="D46" s="307"/>
      <c r="E46" s="280"/>
      <c r="F46" s="290"/>
      <c r="G46" s="291"/>
    </row>
    <row r="47" spans="1:7" s="258" customFormat="1" ht="13.5" customHeight="1">
      <c r="A47" s="954" t="s">
        <v>792</v>
      </c>
      <c r="B47" s="292" t="s">
        <v>2416</v>
      </c>
      <c r="C47" s="282">
        <f ca="1">ROUND(C40*F27,4)</f>
        <v>5.0000000000000001E-4</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160322057</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160322057</v>
      </c>
      <c r="D51" s="276"/>
      <c r="E51" s="276"/>
      <c r="F51" s="308"/>
      <c r="G51" s="278" t="s">
        <v>2426</v>
      </c>
    </row>
    <row r="52" spans="1:7" s="252" customFormat="1" ht="16.5" thickBot="1">
      <c r="A52" s="309" t="s">
        <v>2427</v>
      </c>
      <c r="B52" s="310"/>
      <c r="C52" s="311">
        <f ca="1">C31+C51</f>
        <v>174047075</v>
      </c>
      <c r="D52" s="310"/>
      <c r="E52" s="310"/>
      <c r="F52" s="310"/>
      <c r="G52" s="312"/>
    </row>
    <row r="55" spans="1:7" ht="15">
      <c r="B55" s="314" t="s">
        <v>2428</v>
      </c>
      <c r="C55" s="315"/>
    </row>
    <row r="56" spans="1:7">
      <c r="B56" s="317" t="s">
        <v>1513</v>
      </c>
      <c r="C56" s="319">
        <f ca="1">1-C57</f>
        <v>7.8999999999999959E-2</v>
      </c>
    </row>
    <row r="57" spans="1:7">
      <c r="B57" s="317" t="s">
        <v>1514</v>
      </c>
      <c r="C57" s="318">
        <f ca="1">ROUND(C51/C52,3)</f>
        <v>0.92100000000000004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B11" zoomScale="80" zoomScaleNormal="80" workbookViewId="0">
      <selection activeCell="K21" sqref="K2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28052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6611</v>
      </c>
      <c r="C3" s="247" t="s">
        <v>2745</v>
      </c>
      <c r="D3" s="1585">
        <f>'数据-汇总表'!F27</f>
        <v>42432.480000000003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73" t="s">
        <v>2645</v>
      </c>
      <c r="D4" s="3186"/>
      <c r="E4" s="3187" t="s">
        <v>2646</v>
      </c>
      <c r="F4" s="3188"/>
      <c r="G4" s="3173" t="s">
        <v>2647</v>
      </c>
      <c r="H4" s="3186"/>
      <c r="I4" s="3173" t="s">
        <v>2648</v>
      </c>
      <c r="J4" s="3186"/>
      <c r="K4" s="610" t="s">
        <v>2649</v>
      </c>
      <c r="L4" s="1133"/>
      <c r="M4" s="1134"/>
      <c r="N4" s="1134"/>
      <c r="O4" s="1134"/>
      <c r="P4" s="3189" t="s">
        <v>2650</v>
      </c>
      <c r="Q4" s="3190"/>
      <c r="R4" s="3195" t="s">
        <v>2646</v>
      </c>
      <c r="S4" s="3196"/>
      <c r="T4" s="3195" t="s">
        <v>2647</v>
      </c>
      <c r="U4" s="3196"/>
      <c r="V4" s="3182" t="s">
        <v>2648</v>
      </c>
      <c r="W4" s="3182"/>
      <c r="X4" s="1815"/>
      <c r="Y4" s="3195" t="s">
        <v>2650</v>
      </c>
      <c r="Z4" s="3196"/>
      <c r="AA4" s="3183" t="s">
        <v>2646</v>
      </c>
      <c r="AB4" s="3184" t="s">
        <v>2647</v>
      </c>
      <c r="AC4" s="3183" t="s">
        <v>2648</v>
      </c>
    </row>
    <row r="5" spans="1:30" ht="15">
      <c r="A5" s="404"/>
      <c r="B5" s="405"/>
      <c r="C5" s="3208" t="s">
        <v>2541</v>
      </c>
      <c r="D5" s="3204"/>
      <c r="E5" s="3212" t="s">
        <v>3200</v>
      </c>
      <c r="F5" s="3213"/>
      <c r="G5" s="3203" t="s">
        <v>3204</v>
      </c>
      <c r="H5" s="3204"/>
      <c r="I5" s="3203" t="s">
        <v>3207</v>
      </c>
      <c r="J5" s="3204"/>
      <c r="K5" s="610"/>
      <c r="L5" s="1133"/>
      <c r="M5" s="1134"/>
      <c r="N5" s="1134"/>
      <c r="O5" s="1134"/>
      <c r="P5" s="3191"/>
      <c r="Q5" s="3192"/>
      <c r="R5" s="3197"/>
      <c r="S5" s="3198"/>
      <c r="T5" s="3197"/>
      <c r="U5" s="3198"/>
      <c r="V5" s="3182"/>
      <c r="W5" s="3182"/>
      <c r="X5" s="1815"/>
      <c r="Y5" s="3197"/>
      <c r="Z5" s="3198"/>
      <c r="AA5" s="3184"/>
      <c r="AB5" s="3184"/>
      <c r="AC5" s="3184"/>
    </row>
    <row r="6" spans="1:30" ht="15.75" thickBot="1">
      <c r="A6" s="406"/>
      <c r="B6" s="407"/>
      <c r="C6" s="3209" t="s">
        <v>2545</v>
      </c>
      <c r="D6" s="3202"/>
      <c r="E6" s="3210" t="s">
        <v>3202</v>
      </c>
      <c r="F6" s="3211"/>
      <c r="G6" s="3201" t="s">
        <v>3206</v>
      </c>
      <c r="H6" s="3202"/>
      <c r="I6" s="3201" t="s">
        <v>3206</v>
      </c>
      <c r="J6" s="3202"/>
      <c r="K6" s="610" t="s">
        <v>2546</v>
      </c>
      <c r="L6" s="1133"/>
      <c r="M6" s="1134"/>
      <c r="N6" s="1134"/>
      <c r="O6" s="1134"/>
      <c r="P6" s="3193"/>
      <c r="Q6" s="3194"/>
      <c r="R6" s="3197"/>
      <c r="S6" s="3198"/>
      <c r="T6" s="3199"/>
      <c r="U6" s="3200"/>
      <c r="V6" s="3182"/>
      <c r="W6" s="3182"/>
      <c r="X6" s="1815"/>
      <c r="Y6" s="3199"/>
      <c r="Z6" s="3200"/>
      <c r="AA6" s="3185"/>
      <c r="AB6" s="3185"/>
      <c r="AC6" s="3185"/>
    </row>
    <row r="7" spans="1:30" s="117" customFormat="1" ht="15.75" thickBot="1">
      <c r="A7" s="408" t="s">
        <v>2547</v>
      </c>
      <c r="B7" s="409"/>
      <c r="C7" s="410">
        <f>'数据-取费表'!B2</f>
        <v>43262</v>
      </c>
      <c r="D7" s="411">
        <v>100</v>
      </c>
      <c r="E7" s="412">
        <v>42992</v>
      </c>
      <c r="F7" s="413">
        <f>SUMIF(70:70,YEAR(E7)&amp;"-"&amp;INT((MONTH(E7)+2)/3),71:71)</f>
        <v>97</v>
      </c>
      <c r="G7" s="2698">
        <v>42992</v>
      </c>
      <c r="H7" s="411">
        <f>SUMIF(70:70,YEAR(G7)&amp;"-"&amp;INT((MONTH(G7)+2)/3),71:71)</f>
        <v>97</v>
      </c>
      <c r="I7" s="2698">
        <v>42992</v>
      </c>
      <c r="J7" s="411">
        <f>SUMIF(70:70,YEAR(I7)&amp;"-"&amp;INT((MONTH(I7)+2)/3),71:71)</f>
        <v>97</v>
      </c>
      <c r="K7" s="611"/>
      <c r="L7" s="1135"/>
      <c r="M7" s="1136"/>
      <c r="N7" s="1136"/>
      <c r="O7" s="1136"/>
      <c r="P7" s="3205" t="s">
        <v>2548</v>
      </c>
      <c r="Q7" s="3207"/>
      <c r="R7" s="770" t="s">
        <v>17</v>
      </c>
      <c r="S7" s="771">
        <f t="shared" ref="S7:S15" si="0">F7</f>
        <v>97</v>
      </c>
      <c r="T7" s="770" t="s">
        <v>17</v>
      </c>
      <c r="U7" s="771">
        <f t="shared" ref="U7:U15" si="1">H7</f>
        <v>97</v>
      </c>
      <c r="V7" s="770" t="s">
        <v>17</v>
      </c>
      <c r="W7" s="771">
        <f t="shared" ref="W7:W15" si="2">J7</f>
        <v>97</v>
      </c>
      <c r="X7" s="772"/>
      <c r="Y7" s="3205" t="s">
        <v>2548</v>
      </c>
      <c r="Z7" s="3206"/>
      <c r="AA7" s="773">
        <f>D7/F7</f>
        <v>1.0309278350515463</v>
      </c>
      <c r="AB7" s="773">
        <f>D7/H7</f>
        <v>1.0309278350515463</v>
      </c>
      <c r="AC7" s="773">
        <f>D7/J7</f>
        <v>1.0309278350515463</v>
      </c>
    </row>
    <row r="8" spans="1:30" s="117" customFormat="1" ht="15.75" thickBot="1">
      <c r="A8" s="408" t="s">
        <v>2549</v>
      </c>
      <c r="B8" s="409"/>
      <c r="C8" s="414" t="s">
        <v>2550</v>
      </c>
      <c r="D8" s="411">
        <v>100</v>
      </c>
      <c r="E8" s="414" t="s">
        <v>3068</v>
      </c>
      <c r="F8" s="413">
        <f>SUMIF(73:73,E8,74:74)-SUMIF(73:73,C8,74:74)+100</f>
        <v>100</v>
      </c>
      <c r="G8" s="414" t="s">
        <v>3068</v>
      </c>
      <c r="H8" s="411">
        <f>SUMIF(73:73,G8,74:74)-SUMIF(73:73,C8,74:74)+100</f>
        <v>100</v>
      </c>
      <c r="I8" s="414" t="s">
        <v>3068</v>
      </c>
      <c r="J8" s="411">
        <f>SUMIF(73:73,I8,74:74)-SUMIF(73:73,C8,74:74)+100</f>
        <v>100</v>
      </c>
      <c r="K8" s="611"/>
      <c r="L8" s="1135"/>
      <c r="M8" s="1136"/>
      <c r="N8" s="1136"/>
      <c r="O8" s="1136"/>
      <c r="P8" s="3205" t="s">
        <v>2551</v>
      </c>
      <c r="Q8" s="3206"/>
      <c r="R8" s="770" t="s">
        <v>17</v>
      </c>
      <c r="S8" s="771">
        <f t="shared" si="0"/>
        <v>100</v>
      </c>
      <c r="T8" s="770" t="s">
        <v>17</v>
      </c>
      <c r="U8" s="771">
        <f t="shared" si="1"/>
        <v>100</v>
      </c>
      <c r="V8" s="770" t="s">
        <v>17</v>
      </c>
      <c r="W8" s="771">
        <f t="shared" si="2"/>
        <v>100</v>
      </c>
      <c r="X8" s="772"/>
      <c r="Y8" s="3205" t="s">
        <v>2551</v>
      </c>
      <c r="Z8" s="3206"/>
      <c r="AA8" s="773">
        <f t="shared" ref="AA8:AA45" si="3">D8/F8</f>
        <v>1</v>
      </c>
      <c r="AB8" s="773">
        <f t="shared" ref="AB8:AB45" si="4">D8/H8</f>
        <v>1</v>
      </c>
      <c r="AC8" s="773">
        <f t="shared" ref="AC8:AC45" si="5">D8/J8</f>
        <v>1</v>
      </c>
    </row>
    <row r="9" spans="1:30" s="117" customFormat="1">
      <c r="A9" s="415" t="s">
        <v>2552</v>
      </c>
      <c r="B9" s="71" t="s">
        <v>2553</v>
      </c>
      <c r="C9" s="2701" t="s">
        <v>3057</v>
      </c>
      <c r="D9" s="135">
        <v>100</v>
      </c>
      <c r="E9" s="2701" t="s">
        <v>3057</v>
      </c>
      <c r="F9" s="135">
        <f>SUMIF(75:75,E9,76:76)-SUMIF(75:75,C9,76:76)+100</f>
        <v>100</v>
      </c>
      <c r="G9" s="2701" t="s">
        <v>3057</v>
      </c>
      <c r="H9" s="135">
        <f>SUMIF(75:75,G9,76:76)-SUMIF(75:75,C9,76:76)+100</f>
        <v>100</v>
      </c>
      <c r="I9" s="2701" t="s">
        <v>3057</v>
      </c>
      <c r="J9" s="135">
        <f>SUMIF(75:75,I9,76:76)-SUMIF(75:75,C9,76:76)+100</f>
        <v>100</v>
      </c>
      <c r="K9" s="611"/>
      <c r="L9" s="1135"/>
      <c r="M9" s="1136"/>
      <c r="N9" s="1136"/>
      <c r="O9" s="1137"/>
      <c r="P9" s="3176" t="s">
        <v>2554</v>
      </c>
      <c r="Q9" s="1797"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30" s="427" customFormat="1" ht="27">
      <c r="A10" s="421"/>
      <c r="B10" s="422" t="s">
        <v>2556</v>
      </c>
      <c r="C10" s="432" t="str">
        <f>项目基本情况!F16</f>
        <v>住宅58.89年</v>
      </c>
      <c r="D10" s="136">
        <v>100</v>
      </c>
      <c r="E10" s="465" t="s">
        <v>3131</v>
      </c>
      <c r="F10" s="136">
        <f>ROUND(100/'数据-取费表'!G16,0)</f>
        <v>103</v>
      </c>
      <c r="G10" s="465" t="s">
        <v>3131</v>
      </c>
      <c r="H10" s="136">
        <f>ROUND(100/'数据-取费表'!G16,0)</f>
        <v>103</v>
      </c>
      <c r="I10" s="465" t="s">
        <v>3131</v>
      </c>
      <c r="J10" s="136">
        <f>ROUND(100/'数据-取费表'!G16,0)</f>
        <v>103</v>
      </c>
      <c r="K10" s="672"/>
      <c r="L10" s="1138"/>
      <c r="M10" s="1139"/>
      <c r="N10" s="1139"/>
      <c r="O10" s="1140"/>
      <c r="P10" s="3176"/>
      <c r="Q10" s="1797" t="str">
        <f t="shared" si="6"/>
        <v>土地使用年限（年）</v>
      </c>
      <c r="R10" s="770" t="s">
        <v>17</v>
      </c>
      <c r="S10" s="771">
        <f t="shared" si="0"/>
        <v>103</v>
      </c>
      <c r="T10" s="770" t="s">
        <v>17</v>
      </c>
      <c r="U10" s="771">
        <f t="shared" si="1"/>
        <v>103</v>
      </c>
      <c r="V10" s="770" t="s">
        <v>17</v>
      </c>
      <c r="W10" s="771">
        <f t="shared" si="2"/>
        <v>103</v>
      </c>
      <c r="X10" s="772"/>
      <c r="Y10" s="3024"/>
      <c r="Z10" s="55" t="str">
        <f t="shared" si="7"/>
        <v>土地使用年限（年）</v>
      </c>
      <c r="AA10" s="773">
        <f t="shared" si="3"/>
        <v>0.970873786407767</v>
      </c>
      <c r="AB10" s="773">
        <f t="shared" si="4"/>
        <v>0.970873786407767</v>
      </c>
      <c r="AC10" s="773">
        <f t="shared" si="5"/>
        <v>0.970873786407767</v>
      </c>
    </row>
    <row r="11" spans="1:30" ht="15.75" thickBot="1">
      <c r="A11" s="428"/>
      <c r="B11" s="422" t="s">
        <v>2557</v>
      </c>
      <c r="C11" s="429">
        <v>3.19</v>
      </c>
      <c r="D11" s="136">
        <v>100</v>
      </c>
      <c r="E11" s="429">
        <v>2.4</v>
      </c>
      <c r="F11" s="136">
        <f>LOOKUP(E11,80:80,81:81)-LOOKUP(C11,80:80,81:81)+100</f>
        <v>100</v>
      </c>
      <c r="G11" s="430">
        <v>2.8</v>
      </c>
      <c r="H11" s="136">
        <f>LOOKUP(G11,80:80,81:81)-LOOKUP(C11,80:80,81:81)+100</f>
        <v>100</v>
      </c>
      <c r="I11" s="429">
        <v>2.9</v>
      </c>
      <c r="J11" s="136">
        <f>LOOKUP(I11,80:80,81:81)-LOOKUP(C11,80:80,81:81)+100</f>
        <v>100</v>
      </c>
      <c r="K11" s="673">
        <v>5</v>
      </c>
      <c r="L11" s="1141"/>
      <c r="M11" s="1134"/>
      <c r="N11" s="1134"/>
      <c r="O11" s="1142"/>
      <c r="P11" s="3176"/>
      <c r="Q11" s="1797" t="str">
        <f t="shared" si="6"/>
        <v>容积率</v>
      </c>
      <c r="R11" s="770" t="s">
        <v>17</v>
      </c>
      <c r="S11" s="771">
        <f t="shared" si="0"/>
        <v>100</v>
      </c>
      <c r="T11" s="770" t="s">
        <v>17</v>
      </c>
      <c r="U11" s="771">
        <f t="shared" si="1"/>
        <v>100</v>
      </c>
      <c r="V11" s="770" t="s">
        <v>17</v>
      </c>
      <c r="W11" s="771">
        <f t="shared" si="2"/>
        <v>100</v>
      </c>
      <c r="X11" s="772"/>
      <c r="Y11" s="3024"/>
      <c r="Z11" s="55" t="str">
        <f t="shared" si="7"/>
        <v>容积率</v>
      </c>
      <c r="AA11" s="773">
        <f t="shared" si="3"/>
        <v>1</v>
      </c>
      <c r="AB11" s="773">
        <f t="shared" si="4"/>
        <v>1</v>
      </c>
      <c r="AC11" s="773">
        <f t="shared" si="5"/>
        <v>1</v>
      </c>
    </row>
    <row r="12" spans="1:30" s="117" customFormat="1" ht="15" hidden="1">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6"/>
      <c r="Q12" s="1797"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 hidden="1">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6"/>
      <c r="Q13" s="1797">
        <f t="shared" si="6"/>
        <v>111</v>
      </c>
      <c r="R13" s="770" t="s">
        <v>17</v>
      </c>
      <c r="S13" s="771">
        <f t="shared" si="0"/>
        <v>100</v>
      </c>
      <c r="T13" s="770" t="s">
        <v>17</v>
      </c>
      <c r="U13" s="771">
        <f t="shared" si="1"/>
        <v>100</v>
      </c>
      <c r="V13" s="770" t="s">
        <v>17</v>
      </c>
      <c r="W13" s="771">
        <f t="shared" si="2"/>
        <v>100</v>
      </c>
      <c r="X13" s="772"/>
      <c r="Y13" s="3024"/>
      <c r="Z13" s="55">
        <f t="shared" si="7"/>
        <v>111</v>
      </c>
      <c r="AA13" s="773">
        <f>D13/F13</f>
        <v>1</v>
      </c>
      <c r="AB13" s="773">
        <f>D13/H13</f>
        <v>1</v>
      </c>
      <c r="AC13" s="773">
        <f>D13/J13</f>
        <v>1</v>
      </c>
    </row>
    <row r="14" spans="1:30" ht="15.75" hidden="1"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6"/>
      <c r="Q14" s="1797">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99.75">
      <c r="A15" s="440" t="s">
        <v>2558</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95</v>
      </c>
      <c r="G15" s="442"/>
      <c r="H15" s="441">
        <f>SUMIF(88:88,G16,89:89)-SUMIF(88:88,C16,89:89)+100</f>
        <v>95</v>
      </c>
      <c r="I15" s="444"/>
      <c r="J15" s="441">
        <f>SUMIF(88:88,I16,89:89)-SUMIF(88:88,C16,89:89)+100</f>
        <v>95</v>
      </c>
      <c r="K15" s="673">
        <v>5</v>
      </c>
      <c r="L15" s="1143"/>
      <c r="M15" s="1134"/>
      <c r="N15" s="1134"/>
      <c r="O15" s="1142"/>
      <c r="P15" s="3178" t="s">
        <v>2559</v>
      </c>
      <c r="Q15" s="1812" t="str">
        <f t="shared" si="6"/>
        <v>居住社区成熟度</v>
      </c>
      <c r="R15" s="774" t="s">
        <v>17</v>
      </c>
      <c r="S15" s="775">
        <f t="shared" si="0"/>
        <v>95</v>
      </c>
      <c r="T15" s="774" t="s">
        <v>17</v>
      </c>
      <c r="U15" s="775">
        <f t="shared" si="1"/>
        <v>95</v>
      </c>
      <c r="V15" s="774" t="s">
        <v>17</v>
      </c>
      <c r="W15" s="775">
        <f t="shared" si="2"/>
        <v>95</v>
      </c>
      <c r="X15" s="1815"/>
      <c r="Y15" s="3178" t="s">
        <v>2559</v>
      </c>
      <c r="Z15" s="1816" t="str">
        <f t="shared" si="7"/>
        <v>居住社区成熟度</v>
      </c>
      <c r="AA15" s="1813">
        <f t="shared" si="3"/>
        <v>1.0526315789473684</v>
      </c>
      <c r="AB15" s="1813">
        <f t="shared" si="4"/>
        <v>1.0526315789473684</v>
      </c>
      <c r="AC15" s="1813">
        <f t="shared" si="5"/>
        <v>1.0526315789473684</v>
      </c>
    </row>
    <row r="16" spans="1:30" ht="15">
      <c r="A16" s="428"/>
      <c r="B16" s="446"/>
      <c r="C16" s="447" t="s">
        <v>3094</v>
      </c>
      <c r="D16" s="448"/>
      <c r="E16" s="2607" t="s">
        <v>3096</v>
      </c>
      <c r="F16" s="448"/>
      <c r="G16" s="2607" t="s">
        <v>3096</v>
      </c>
      <c r="H16" s="450"/>
      <c r="I16" s="2606" t="s">
        <v>3096</v>
      </c>
      <c r="J16" s="448"/>
      <c r="K16" s="672"/>
      <c r="L16" s="1143"/>
      <c r="M16" s="1134"/>
      <c r="N16" s="1134"/>
      <c r="O16" s="1142"/>
      <c r="P16" s="3179"/>
      <c r="Q16" s="1812"/>
      <c r="R16" s="774"/>
      <c r="S16" s="775"/>
      <c r="T16" s="774"/>
      <c r="U16" s="775"/>
      <c r="V16" s="774"/>
      <c r="W16" s="775"/>
      <c r="X16" s="1815"/>
      <c r="Y16" s="3179"/>
      <c r="Z16" s="1816"/>
      <c r="AA16" s="1813">
        <v>1</v>
      </c>
      <c r="AB16" s="1813">
        <v>1</v>
      </c>
      <c r="AC16" s="1813">
        <v>1</v>
      </c>
    </row>
    <row r="17" spans="1:29" ht="71.25" hidden="1">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9"/>
      <c r="Q17" s="1812" t="str">
        <f>B17</f>
        <v>商业繁华度</v>
      </c>
      <c r="R17" s="774" t="s">
        <v>17</v>
      </c>
      <c r="S17" s="775">
        <f>F17</f>
        <v>100</v>
      </c>
      <c r="T17" s="774" t="s">
        <v>17</v>
      </c>
      <c r="U17" s="775">
        <f>H17</f>
        <v>100</v>
      </c>
      <c r="V17" s="774" t="s">
        <v>17</v>
      </c>
      <c r="W17" s="775">
        <f>J17</f>
        <v>100</v>
      </c>
      <c r="X17" s="1815"/>
      <c r="Y17" s="3179"/>
      <c r="Z17" s="1816" t="str">
        <f>Q17</f>
        <v>商业繁华度</v>
      </c>
      <c r="AA17" s="1813">
        <f t="shared" si="3"/>
        <v>1</v>
      </c>
      <c r="AB17" s="1813">
        <f t="shared" si="4"/>
        <v>1</v>
      </c>
      <c r="AC17" s="1813">
        <f t="shared" si="5"/>
        <v>1</v>
      </c>
    </row>
    <row r="18" spans="1:29" ht="15" hidden="1">
      <c r="A18" s="428"/>
      <c r="B18" s="456"/>
      <c r="C18" s="2610"/>
      <c r="D18" s="450"/>
      <c r="E18" s="2612"/>
      <c r="F18" s="450"/>
      <c r="G18" s="2612"/>
      <c r="H18" s="448"/>
      <c r="I18" s="2611"/>
      <c r="J18" s="448"/>
      <c r="K18" s="672"/>
      <c r="L18" s="1143"/>
      <c r="M18" s="1134"/>
      <c r="N18" s="1134"/>
      <c r="O18" s="1142"/>
      <c r="P18" s="3179"/>
      <c r="Q18" s="1812"/>
      <c r="R18" s="774"/>
      <c r="S18" s="775"/>
      <c r="T18" s="774"/>
      <c r="U18" s="775"/>
      <c r="V18" s="774"/>
      <c r="W18" s="775"/>
      <c r="X18" s="1815"/>
      <c r="Y18" s="3179"/>
      <c r="Z18" s="1816"/>
      <c r="AA18" s="1813">
        <v>1</v>
      </c>
      <c r="AB18" s="1813">
        <v>1</v>
      </c>
      <c r="AC18" s="1813">
        <v>1</v>
      </c>
    </row>
    <row r="19" spans="1:29" ht="71.25" hidden="1">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9"/>
      <c r="Q19" s="1812" t="str">
        <f>B19</f>
        <v>办公集聚程度</v>
      </c>
      <c r="R19" s="774" t="s">
        <v>17</v>
      </c>
      <c r="S19" s="775">
        <f>F19</f>
        <v>100</v>
      </c>
      <c r="T19" s="774" t="s">
        <v>17</v>
      </c>
      <c r="U19" s="775">
        <f>H19</f>
        <v>100</v>
      </c>
      <c r="V19" s="774" t="s">
        <v>17</v>
      </c>
      <c r="W19" s="775">
        <f>J19</f>
        <v>100</v>
      </c>
      <c r="X19" s="1815"/>
      <c r="Y19" s="3179"/>
      <c r="Z19" s="1816" t="str">
        <f>Q19</f>
        <v>办公集聚程度</v>
      </c>
      <c r="AA19" s="1813">
        <f t="shared" si="3"/>
        <v>1</v>
      </c>
      <c r="AB19" s="1813">
        <f t="shared" si="4"/>
        <v>1</v>
      </c>
      <c r="AC19" s="1813">
        <f t="shared" si="5"/>
        <v>1</v>
      </c>
    </row>
    <row r="20" spans="1:29" ht="15" hidden="1">
      <c r="A20" s="428"/>
      <c r="B20" s="456"/>
      <c r="C20" s="447"/>
      <c r="D20" s="448"/>
      <c r="E20" s="2607"/>
      <c r="F20" s="448"/>
      <c r="G20" s="2607"/>
      <c r="H20" s="448"/>
      <c r="I20" s="2606"/>
      <c r="J20" s="448"/>
      <c r="K20" s="672"/>
      <c r="L20" s="1143"/>
      <c r="M20" s="1134"/>
      <c r="N20" s="1134"/>
      <c r="O20" s="1142"/>
      <c r="P20" s="3179"/>
      <c r="Q20" s="1812"/>
      <c r="R20" s="774"/>
      <c r="S20" s="775"/>
      <c r="T20" s="774"/>
      <c r="U20" s="775"/>
      <c r="V20" s="774"/>
      <c r="W20" s="775"/>
      <c r="X20" s="1815"/>
      <c r="Y20" s="3179"/>
      <c r="Z20" s="1816"/>
      <c r="AA20" s="1813">
        <v>1</v>
      </c>
      <c r="AB20" s="1813">
        <v>1</v>
      </c>
      <c r="AC20" s="1813">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94</v>
      </c>
      <c r="G21" s="452"/>
      <c r="H21" s="450">
        <f>SUMIF(94:94,G22,95:95)-SUMIF(94:94,C22,95:95)+100</f>
        <v>94</v>
      </c>
      <c r="I21" s="454"/>
      <c r="J21" s="450">
        <f>SUMIF(94:94,I22,95:95)-SUMIF(94:94,C22,95:95)+100</f>
        <v>94</v>
      </c>
      <c r="K21" s="673">
        <v>3</v>
      </c>
      <c r="L21" s="1143"/>
      <c r="M21" s="1134"/>
      <c r="N21" s="1134"/>
      <c r="O21" s="1142"/>
      <c r="P21" s="3179"/>
      <c r="Q21" s="1812" t="str">
        <f>B21</f>
        <v>交通便捷度</v>
      </c>
      <c r="R21" s="774" t="s">
        <v>17</v>
      </c>
      <c r="S21" s="775">
        <f>F21</f>
        <v>94</v>
      </c>
      <c r="T21" s="774" t="s">
        <v>17</v>
      </c>
      <c r="U21" s="775">
        <f>H21</f>
        <v>94</v>
      </c>
      <c r="V21" s="774" t="s">
        <v>17</v>
      </c>
      <c r="W21" s="775">
        <f>J21</f>
        <v>94</v>
      </c>
      <c r="X21" s="1815"/>
      <c r="Y21" s="3179"/>
      <c r="Z21" s="1816" t="str">
        <f>Q21</f>
        <v>交通便捷度</v>
      </c>
      <c r="AA21" s="1813">
        <f t="shared" si="3"/>
        <v>1.0638297872340425</v>
      </c>
      <c r="AB21" s="1813">
        <f t="shared" si="4"/>
        <v>1.0638297872340425</v>
      </c>
      <c r="AC21" s="1813">
        <f t="shared" si="5"/>
        <v>1.0638297872340425</v>
      </c>
    </row>
    <row r="22" spans="1:29" ht="15">
      <c r="A22" s="428"/>
      <c r="B22" s="1387"/>
      <c r="C22" s="447" t="s">
        <v>3095</v>
      </c>
      <c r="D22" s="450"/>
      <c r="E22" s="2607" t="s">
        <v>3096</v>
      </c>
      <c r="F22" s="448"/>
      <c r="G22" s="2607" t="s">
        <v>3096</v>
      </c>
      <c r="H22" s="448"/>
      <c r="I22" s="2606" t="s">
        <v>3096</v>
      </c>
      <c r="J22" s="448"/>
      <c r="K22" s="672"/>
      <c r="L22" s="1143"/>
      <c r="M22" s="1134"/>
      <c r="N22" s="1134"/>
      <c r="O22" s="1142"/>
      <c r="P22" s="3179"/>
      <c r="Q22" s="1812"/>
      <c r="R22" s="774"/>
      <c r="S22" s="775"/>
      <c r="T22" s="774"/>
      <c r="U22" s="775"/>
      <c r="V22" s="774"/>
      <c r="W22" s="775"/>
      <c r="X22" s="1815"/>
      <c r="Y22" s="3179"/>
      <c r="Z22" s="1816"/>
      <c r="AA22" s="1813">
        <v>1</v>
      </c>
      <c r="AB22" s="1813">
        <v>1</v>
      </c>
      <c r="AC22" s="1813">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9"/>
      <c r="Q23" s="1812" t="str">
        <f t="shared" ref="Q23:Q37" si="8">B23</f>
        <v>区域土地利用方向</v>
      </c>
      <c r="R23" s="774" t="s">
        <v>17</v>
      </c>
      <c r="S23" s="775">
        <f>F23</f>
        <v>100</v>
      </c>
      <c r="T23" s="774" t="s">
        <v>17</v>
      </c>
      <c r="U23" s="775">
        <f>H23</f>
        <v>100</v>
      </c>
      <c r="V23" s="774" t="s">
        <v>17</v>
      </c>
      <c r="W23" s="775">
        <f>J23</f>
        <v>100</v>
      </c>
      <c r="X23" s="1815"/>
      <c r="Y23" s="3179"/>
      <c r="Z23" s="1816" t="str">
        <f>Q23</f>
        <v>区域土地利用方向</v>
      </c>
      <c r="AA23" s="1813">
        <f t="shared" si="3"/>
        <v>1</v>
      </c>
      <c r="AB23" s="1813">
        <f t="shared" si="4"/>
        <v>1</v>
      </c>
      <c r="AC23" s="1813">
        <f t="shared" si="5"/>
        <v>1</v>
      </c>
    </row>
    <row r="24" spans="1:29" ht="15">
      <c r="A24" s="404"/>
      <c r="B24" s="456"/>
      <c r="C24" s="616" t="s">
        <v>3094</v>
      </c>
      <c r="D24" s="448"/>
      <c r="E24" s="2607" t="s">
        <v>3094</v>
      </c>
      <c r="F24" s="448"/>
      <c r="G24" s="2606" t="s">
        <v>3094</v>
      </c>
      <c r="H24" s="448"/>
      <c r="I24" s="2606" t="s">
        <v>3094</v>
      </c>
      <c r="J24" s="448"/>
      <c r="K24" s="812"/>
      <c r="L24" s="1143"/>
      <c r="M24" s="1134"/>
      <c r="N24" s="1134"/>
      <c r="O24" s="1142"/>
      <c r="P24" s="3179"/>
      <c r="Q24" s="1812"/>
      <c r="R24" s="774"/>
      <c r="S24" s="775"/>
      <c r="T24" s="774"/>
      <c r="U24" s="775"/>
      <c r="V24" s="774"/>
      <c r="W24" s="775"/>
      <c r="X24" s="1815"/>
      <c r="Y24" s="3179"/>
      <c r="Z24" s="1816"/>
      <c r="AA24" s="1813"/>
      <c r="AB24" s="1813"/>
      <c r="AC24" s="1813"/>
    </row>
    <row r="25" spans="1:29" ht="57">
      <c r="A25" s="404"/>
      <c r="B25" s="1387"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3</v>
      </c>
      <c r="L25" s="1143"/>
      <c r="M25" s="1134"/>
      <c r="N25" s="1134"/>
      <c r="O25" s="1142"/>
      <c r="P25" s="3179"/>
      <c r="Q25" s="1812" t="str">
        <f t="shared" si="8"/>
        <v>自然及人文环境状况</v>
      </c>
      <c r="R25" s="774" t="s">
        <v>17</v>
      </c>
      <c r="S25" s="775">
        <f>F25</f>
        <v>100</v>
      </c>
      <c r="T25" s="774" t="s">
        <v>17</v>
      </c>
      <c r="U25" s="775">
        <f>H25</f>
        <v>100</v>
      </c>
      <c r="V25" s="774" t="s">
        <v>17</v>
      </c>
      <c r="W25" s="775">
        <f>J25</f>
        <v>100</v>
      </c>
      <c r="X25" s="1815"/>
      <c r="Y25" s="3179"/>
      <c r="Z25" s="1816" t="str">
        <f>Q25</f>
        <v>自然及人文环境状况</v>
      </c>
      <c r="AA25" s="1813">
        <f t="shared" si="3"/>
        <v>1</v>
      </c>
      <c r="AB25" s="1813">
        <f t="shared" si="4"/>
        <v>1</v>
      </c>
      <c r="AC25" s="1813">
        <f t="shared" si="5"/>
        <v>1</v>
      </c>
    </row>
    <row r="26" spans="1:29" ht="15">
      <c r="A26" s="404"/>
      <c r="B26" s="456"/>
      <c r="C26" s="447" t="s">
        <v>3094</v>
      </c>
      <c r="D26" s="448"/>
      <c r="E26" s="2613" t="s">
        <v>3094</v>
      </c>
      <c r="F26" s="448"/>
      <c r="G26" s="2613" t="s">
        <v>3094</v>
      </c>
      <c r="H26" s="448"/>
      <c r="I26" s="447" t="s">
        <v>3094</v>
      </c>
      <c r="J26" s="448"/>
      <c r="K26" s="672"/>
      <c r="L26" s="1143"/>
      <c r="M26" s="1134"/>
      <c r="N26" s="1134"/>
      <c r="O26" s="1142"/>
      <c r="P26" s="3179"/>
      <c r="Q26" s="1812"/>
      <c r="R26" s="774"/>
      <c r="S26" s="775"/>
      <c r="T26" s="774"/>
      <c r="U26" s="775"/>
      <c r="V26" s="774"/>
      <c r="W26" s="775"/>
      <c r="X26" s="1815"/>
      <c r="Y26" s="3179"/>
      <c r="Z26" s="1816"/>
      <c r="AA26" s="1813">
        <v>1</v>
      </c>
      <c r="AB26" s="1813">
        <v>1</v>
      </c>
      <c r="AC26" s="1813">
        <v>1</v>
      </c>
    </row>
    <row r="27" spans="1:29" s="117" customFormat="1" ht="42.75">
      <c r="A27" s="649"/>
      <c r="B27" s="1387"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3</v>
      </c>
      <c r="L27" s="1135"/>
      <c r="M27" s="1136"/>
      <c r="N27" s="1136"/>
      <c r="O27" s="1137"/>
      <c r="P27" s="3179"/>
      <c r="Q27" s="1797" t="str">
        <f t="shared" si="8"/>
        <v>公共配套设施</v>
      </c>
      <c r="R27" s="770" t="s">
        <v>17</v>
      </c>
      <c r="S27" s="771">
        <f>F27</f>
        <v>100</v>
      </c>
      <c r="T27" s="770" t="s">
        <v>17</v>
      </c>
      <c r="U27" s="771">
        <f>H27</f>
        <v>100</v>
      </c>
      <c r="V27" s="770" t="s">
        <v>17</v>
      </c>
      <c r="W27" s="771">
        <f>J27</f>
        <v>100</v>
      </c>
      <c r="X27" s="772"/>
      <c r="Y27" s="3179"/>
      <c r="Z27" s="55" t="str">
        <f>Q27</f>
        <v>公共配套设施</v>
      </c>
      <c r="AA27" s="1813">
        <f>D27/F27</f>
        <v>1</v>
      </c>
      <c r="AB27" s="1813">
        <f>D27/H27</f>
        <v>1</v>
      </c>
      <c r="AC27" s="1813">
        <f>D27/J27</f>
        <v>1</v>
      </c>
    </row>
    <row r="28" spans="1:29" s="117" customFormat="1" ht="15">
      <c r="A28" s="649"/>
      <c r="B28" s="456"/>
      <c r="C28" s="2702" t="s">
        <v>3096</v>
      </c>
      <c r="D28" s="448"/>
      <c r="E28" s="2613" t="s">
        <v>3096</v>
      </c>
      <c r="F28" s="448"/>
      <c r="G28" s="2613" t="s">
        <v>3096</v>
      </c>
      <c r="H28" s="448"/>
      <c r="I28" s="447" t="s">
        <v>3096</v>
      </c>
      <c r="J28" s="448"/>
      <c r="K28" s="672"/>
      <c r="L28" s="1135"/>
      <c r="M28" s="1136"/>
      <c r="N28" s="1136"/>
      <c r="O28" s="1137"/>
      <c r="P28" s="3179"/>
      <c r="Q28" s="1797"/>
      <c r="R28" s="770"/>
      <c r="S28" s="771"/>
      <c r="T28" s="770"/>
      <c r="U28" s="771"/>
      <c r="V28" s="770"/>
      <c r="W28" s="771"/>
      <c r="X28" s="772"/>
      <c r="Y28" s="3179"/>
      <c r="Z28" s="55"/>
      <c r="AA28" s="1813">
        <v>1</v>
      </c>
      <c r="AB28" s="1813">
        <v>1</v>
      </c>
      <c r="AC28" s="1813">
        <v>1</v>
      </c>
    </row>
    <row r="29" spans="1:29" s="117" customFormat="1" ht="28.5">
      <c r="A29" s="649"/>
      <c r="B29" s="1387"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9"/>
      <c r="Q29" s="1797" t="str">
        <f t="shared" ref="Q29" si="9">B29</f>
        <v>基础设施水平</v>
      </c>
      <c r="R29" s="770" t="s">
        <v>17</v>
      </c>
      <c r="S29" s="771">
        <f>F29</f>
        <v>100</v>
      </c>
      <c r="T29" s="770" t="s">
        <v>17</v>
      </c>
      <c r="U29" s="771">
        <f>H29</f>
        <v>100</v>
      </c>
      <c r="V29" s="770" t="s">
        <v>17</v>
      </c>
      <c r="W29" s="771">
        <f>J29</f>
        <v>100</v>
      </c>
      <c r="X29" s="772"/>
      <c r="Y29" s="3179"/>
      <c r="Z29" s="55" t="str">
        <f>Q29</f>
        <v>基础设施水平</v>
      </c>
      <c r="AA29" s="1813">
        <f>D29/F29</f>
        <v>1</v>
      </c>
      <c r="AB29" s="1813">
        <f>D29/H29</f>
        <v>1</v>
      </c>
      <c r="AC29" s="1813">
        <f>D29/J29</f>
        <v>1</v>
      </c>
    </row>
    <row r="30" spans="1:29" s="117" customFormat="1" ht="15.75" thickBot="1">
      <c r="A30" s="649"/>
      <c r="B30" s="456"/>
      <c r="C30" s="2702" t="s">
        <v>3097</v>
      </c>
      <c r="D30" s="448"/>
      <c r="E30" s="2703" t="s">
        <v>3097</v>
      </c>
      <c r="F30" s="448"/>
      <c r="G30" s="2703" t="s">
        <v>3097</v>
      </c>
      <c r="H30" s="448"/>
      <c r="I30" s="2703" t="s">
        <v>3097</v>
      </c>
      <c r="J30" s="448"/>
      <c r="K30" s="672"/>
      <c r="L30" s="1135"/>
      <c r="M30" s="1136"/>
      <c r="N30" s="1136"/>
      <c r="O30" s="1137"/>
      <c r="P30" s="3179"/>
      <c r="Q30" s="1797"/>
      <c r="R30" s="770"/>
      <c r="S30" s="771"/>
      <c r="T30" s="770"/>
      <c r="U30" s="771"/>
      <c r="V30" s="770"/>
      <c r="W30" s="771"/>
      <c r="X30" s="772"/>
      <c r="Y30" s="3179"/>
      <c r="Z30" s="55"/>
      <c r="AA30" s="1813">
        <v>1</v>
      </c>
      <c r="AB30" s="1813">
        <v>1</v>
      </c>
      <c r="AC30" s="1813">
        <v>1</v>
      </c>
    </row>
    <row r="31" spans="1:29" ht="15" hidden="1">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9"/>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9"/>
      <c r="Z31" s="1816" t="str">
        <f t="shared" ref="Z31:Z45" si="13">Q31</f>
        <v>临街状况</v>
      </c>
      <c r="AA31" s="1813">
        <f t="shared" si="3"/>
        <v>1</v>
      </c>
      <c r="AB31" s="1813">
        <f t="shared" si="4"/>
        <v>1</v>
      </c>
      <c r="AC31" s="1813">
        <f t="shared" si="5"/>
        <v>1</v>
      </c>
    </row>
    <row r="32" spans="1:29" ht="27" hidden="1">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9"/>
      <c r="Q32" s="1812" t="str">
        <f t="shared" si="8"/>
        <v>毗邻道路的类型与等级</v>
      </c>
      <c r="R32" s="774" t="s">
        <v>17</v>
      </c>
      <c r="S32" s="775">
        <f t="shared" si="10"/>
        <v>100</v>
      </c>
      <c r="T32" s="774" t="s">
        <v>17</v>
      </c>
      <c r="U32" s="775">
        <f t="shared" si="11"/>
        <v>100</v>
      </c>
      <c r="V32" s="774" t="s">
        <v>17</v>
      </c>
      <c r="W32" s="775">
        <f t="shared" si="12"/>
        <v>100</v>
      </c>
      <c r="X32" s="1815"/>
      <c r="Y32" s="3179"/>
      <c r="Z32" s="1816" t="str">
        <f t="shared" si="13"/>
        <v>毗邻道路的类型与等级</v>
      </c>
      <c r="AA32" s="1813">
        <f t="shared" si="3"/>
        <v>1</v>
      </c>
      <c r="AB32" s="1813">
        <f t="shared" si="4"/>
        <v>1</v>
      </c>
      <c r="AC32" s="1813">
        <f t="shared" si="5"/>
        <v>1</v>
      </c>
    </row>
    <row r="33" spans="1:29" ht="15" hidden="1">
      <c r="A33" s="428"/>
      <c r="B33" s="456"/>
      <c r="C33" s="447"/>
      <c r="D33" s="448"/>
      <c r="E33" s="2613"/>
      <c r="F33" s="448"/>
      <c r="G33" s="2613"/>
      <c r="H33" s="448"/>
      <c r="I33" s="447"/>
      <c r="J33" s="448"/>
      <c r="K33" s="613"/>
      <c r="L33" s="1143"/>
      <c r="M33" s="1134"/>
      <c r="N33" s="1134"/>
      <c r="O33" s="1142"/>
      <c r="P33" s="3179"/>
      <c r="Q33" s="1812"/>
      <c r="R33" s="774"/>
      <c r="S33" s="775"/>
      <c r="T33" s="774"/>
      <c r="U33" s="775"/>
      <c r="V33" s="774"/>
      <c r="W33" s="775"/>
      <c r="X33" s="1815"/>
      <c r="Y33" s="3179"/>
      <c r="Z33" s="1816"/>
      <c r="AA33" s="1813">
        <v>1</v>
      </c>
      <c r="AB33" s="1813">
        <v>1</v>
      </c>
      <c r="AC33" s="1813">
        <v>1</v>
      </c>
    </row>
    <row r="34" spans="1:29" ht="15" hidden="1">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9"/>
      <c r="Q34" s="1812" t="str">
        <f t="shared" si="8"/>
        <v>土地级别</v>
      </c>
      <c r="R34" s="774" t="s">
        <v>17</v>
      </c>
      <c r="S34" s="775">
        <f t="shared" si="10"/>
        <v>100</v>
      </c>
      <c r="T34" s="774" t="s">
        <v>17</v>
      </c>
      <c r="U34" s="775">
        <f t="shared" si="11"/>
        <v>100</v>
      </c>
      <c r="V34" s="774" t="s">
        <v>17</v>
      </c>
      <c r="W34" s="775">
        <f t="shared" si="12"/>
        <v>100</v>
      </c>
      <c r="X34" s="1815"/>
      <c r="Y34" s="3179"/>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9"/>
      <c r="Q35" s="1812">
        <f t="shared" si="8"/>
        <v>111</v>
      </c>
      <c r="R35" s="774" t="s">
        <v>17</v>
      </c>
      <c r="S35" s="775">
        <f t="shared" si="10"/>
        <v>100</v>
      </c>
      <c r="T35" s="774" t="s">
        <v>17</v>
      </c>
      <c r="U35" s="775">
        <f t="shared" si="11"/>
        <v>100</v>
      </c>
      <c r="V35" s="774" t="s">
        <v>17</v>
      </c>
      <c r="W35" s="775">
        <f t="shared" si="12"/>
        <v>100</v>
      </c>
      <c r="X35" s="1815"/>
      <c r="Y35" s="3179"/>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0" t="s">
        <v>2564</v>
      </c>
      <c r="Q36" s="1812">
        <f t="shared" si="8"/>
        <v>111</v>
      </c>
      <c r="R36" s="774" t="s">
        <v>17</v>
      </c>
      <c r="S36" s="775">
        <f t="shared" si="10"/>
        <v>100</v>
      </c>
      <c r="T36" s="774" t="s">
        <v>17</v>
      </c>
      <c r="U36" s="775">
        <f t="shared" si="11"/>
        <v>100</v>
      </c>
      <c r="V36" s="774" t="s">
        <v>17</v>
      </c>
      <c r="W36" s="775">
        <f t="shared" si="12"/>
        <v>100</v>
      </c>
      <c r="X36" s="1815"/>
      <c r="Y36" s="3181" t="s">
        <v>2564</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1"/>
      <c r="Q37" s="1812">
        <f t="shared" si="8"/>
        <v>111</v>
      </c>
      <c r="R37" s="777" t="s">
        <v>17</v>
      </c>
      <c r="S37" s="778">
        <f t="shared" si="10"/>
        <v>100</v>
      </c>
      <c r="T37" s="777" t="s">
        <v>17</v>
      </c>
      <c r="U37" s="778">
        <f t="shared" si="11"/>
        <v>100</v>
      </c>
      <c r="V37" s="777" t="s">
        <v>17</v>
      </c>
      <c r="W37" s="778">
        <f t="shared" si="12"/>
        <v>100</v>
      </c>
      <c r="X37" s="779"/>
      <c r="Y37" s="3181"/>
      <c r="Z37" s="780">
        <f t="shared" si="13"/>
        <v>111</v>
      </c>
      <c r="AA37" s="1813">
        <f t="shared" si="3"/>
        <v>1</v>
      </c>
      <c r="AB37" s="1813">
        <f t="shared" si="4"/>
        <v>1</v>
      </c>
      <c r="AC37" s="1813">
        <f t="shared" si="5"/>
        <v>1</v>
      </c>
    </row>
    <row r="38" spans="1:29" ht="15">
      <c r="A38" s="472" t="s">
        <v>2562</v>
      </c>
      <c r="B38" s="456" t="s">
        <v>2750</v>
      </c>
      <c r="C38" s="679">
        <f>'数据-基础表'!A3</f>
        <v>301815.3</v>
      </c>
      <c r="D38" s="467">
        <v>100</v>
      </c>
      <c r="E38" s="679">
        <v>62392.87</v>
      </c>
      <c r="F38" s="467">
        <f>LOOKUP(E38,117:117,118:118)-LOOKUP(C38,117:117,118:118)+100</f>
        <v>98</v>
      </c>
      <c r="G38" s="679">
        <v>64726.28</v>
      </c>
      <c r="H38" s="467">
        <f>LOOKUP(G38,117:117,118:118)-LOOKUP(C38,117:117,118:118)+100</f>
        <v>98</v>
      </c>
      <c r="I38" s="530">
        <v>65547.7</v>
      </c>
      <c r="J38" s="467">
        <f>LOOKUP(I38,117:117,118:118)-LOOKUP(C38,117:117,118:118)+100</f>
        <v>98</v>
      </c>
      <c r="K38" s="613"/>
      <c r="L38" s="1143"/>
      <c r="M38" s="1134"/>
      <c r="N38" s="1134"/>
      <c r="O38" s="1142"/>
      <c r="P38" s="3181"/>
      <c r="Q38" s="1812" t="str">
        <f>B38</f>
        <v>宗地面积</v>
      </c>
      <c r="R38" s="774" t="s">
        <v>17</v>
      </c>
      <c r="S38" s="775">
        <f t="shared" si="10"/>
        <v>98</v>
      </c>
      <c r="T38" s="774" t="s">
        <v>17</v>
      </c>
      <c r="U38" s="775">
        <f t="shared" si="11"/>
        <v>98</v>
      </c>
      <c r="V38" s="774" t="s">
        <v>17</v>
      </c>
      <c r="W38" s="775">
        <f t="shared" si="12"/>
        <v>98</v>
      </c>
      <c r="X38" s="1815"/>
      <c r="Y38" s="3181"/>
      <c r="Z38" s="1816" t="str">
        <f t="shared" si="13"/>
        <v>宗地面积</v>
      </c>
      <c r="AA38" s="1813">
        <f t="shared" si="3"/>
        <v>1.0204081632653061</v>
      </c>
      <c r="AB38" s="1813">
        <f t="shared" si="4"/>
        <v>1.0204081632653061</v>
      </c>
      <c r="AC38" s="1813">
        <f t="shared" si="5"/>
        <v>1.0204081632653061</v>
      </c>
    </row>
    <row r="39" spans="1:29" ht="15">
      <c r="A39" s="472"/>
      <c r="B39" s="422" t="s">
        <v>2751</v>
      </c>
      <c r="C39" s="2615" t="s">
        <v>3148</v>
      </c>
      <c r="D39" s="435">
        <v>100</v>
      </c>
      <c r="E39" s="2615" t="s">
        <v>3145</v>
      </c>
      <c r="F39" s="435">
        <f>SUMIF(119:119,E39,120:120)-SUMIF(119:119,C39,120:120)+100</f>
        <v>110</v>
      </c>
      <c r="G39" s="2615" t="s">
        <v>3145</v>
      </c>
      <c r="H39" s="435">
        <f>SUMIF(119:119,G39,120:120)-SUMIF(119:119,C39,120:120)+100</f>
        <v>110</v>
      </c>
      <c r="I39" s="2615" t="s">
        <v>3143</v>
      </c>
      <c r="J39" s="435">
        <f>SUMIF(119:119,I39,120:120)-SUMIF(119:119,C39,120:120)+100</f>
        <v>115</v>
      </c>
      <c r="K39" s="612">
        <v>5</v>
      </c>
      <c r="L39" s="1143"/>
      <c r="M39" s="1134"/>
      <c r="N39" s="1134"/>
      <c r="O39" s="1142"/>
      <c r="P39" s="3181"/>
      <c r="Q39" s="1812" t="str">
        <f t="shared" ref="Q39:Q45" si="14">B39</f>
        <v>宗地形状</v>
      </c>
      <c r="R39" s="774" t="s">
        <v>17</v>
      </c>
      <c r="S39" s="775">
        <f t="shared" si="10"/>
        <v>110</v>
      </c>
      <c r="T39" s="774" t="s">
        <v>17</v>
      </c>
      <c r="U39" s="775">
        <f t="shared" si="11"/>
        <v>110</v>
      </c>
      <c r="V39" s="774" t="s">
        <v>17</v>
      </c>
      <c r="W39" s="775">
        <f t="shared" si="12"/>
        <v>115</v>
      </c>
      <c r="X39" s="1815"/>
      <c r="Y39" s="3181"/>
      <c r="Z39" s="1816" t="str">
        <f t="shared" si="13"/>
        <v>宗地形状</v>
      </c>
      <c r="AA39" s="1813">
        <f t="shared" si="3"/>
        <v>0.90909090909090906</v>
      </c>
      <c r="AB39" s="1813">
        <f t="shared" si="4"/>
        <v>0.90909090909090906</v>
      </c>
      <c r="AC39" s="1813">
        <f t="shared" si="5"/>
        <v>0.86956521739130432</v>
      </c>
    </row>
    <row r="40" spans="1:29" ht="15">
      <c r="A40" s="472"/>
      <c r="B40" s="422" t="s">
        <v>2752</v>
      </c>
      <c r="C40" s="2615" t="s">
        <v>3094</v>
      </c>
      <c r="D40" s="435">
        <v>100</v>
      </c>
      <c r="E40" s="2615" t="s">
        <v>3094</v>
      </c>
      <c r="F40" s="435">
        <f>SUMIF(121:121,E40,122:122)-SUMIF(121:121,C40,122:122)+100</f>
        <v>100</v>
      </c>
      <c r="G40" s="2615" t="s">
        <v>3094</v>
      </c>
      <c r="H40" s="435">
        <f>SUMIF(121:121,G40,122:122)-SUMIF(121:121,C40,122:122)+100</f>
        <v>100</v>
      </c>
      <c r="I40" s="2615" t="s">
        <v>3094</v>
      </c>
      <c r="J40" s="435">
        <f>SUMIF(121:121,I40,122:122)-SUMIF(121:121,C40,122:122)+100</f>
        <v>100</v>
      </c>
      <c r="K40" s="612"/>
      <c r="L40" s="1143"/>
      <c r="M40" s="1134"/>
      <c r="N40" s="1134"/>
      <c r="O40" s="1142"/>
      <c r="P40" s="3181"/>
      <c r="Q40" s="1812" t="str">
        <f t="shared" si="14"/>
        <v>临街宽度及深度</v>
      </c>
      <c r="R40" s="774" t="s">
        <v>17</v>
      </c>
      <c r="S40" s="775">
        <f t="shared" si="10"/>
        <v>100</v>
      </c>
      <c r="T40" s="774" t="s">
        <v>17</v>
      </c>
      <c r="U40" s="775">
        <f t="shared" si="11"/>
        <v>100</v>
      </c>
      <c r="V40" s="774" t="s">
        <v>17</v>
      </c>
      <c r="W40" s="775">
        <f t="shared" si="12"/>
        <v>100</v>
      </c>
      <c r="X40" s="1815"/>
      <c r="Y40" s="3181"/>
      <c r="Z40" s="1816" t="str">
        <f t="shared" si="13"/>
        <v>临街宽度及深度</v>
      </c>
      <c r="AA40" s="1813">
        <f t="shared" si="3"/>
        <v>1</v>
      </c>
      <c r="AB40" s="1813">
        <f t="shared" si="4"/>
        <v>1</v>
      </c>
      <c r="AC40" s="1813">
        <f t="shared" si="5"/>
        <v>1</v>
      </c>
    </row>
    <row r="41" spans="1:29" s="117" customFormat="1" ht="15">
      <c r="A41" s="473"/>
      <c r="B41" s="422" t="s">
        <v>2753</v>
      </c>
      <c r="C41" s="2704" t="s">
        <v>3097</v>
      </c>
      <c r="D41" s="136">
        <v>100</v>
      </c>
      <c r="E41" s="2704" t="s">
        <v>3097</v>
      </c>
      <c r="F41" s="435">
        <f>SUMIF(123:123,E41,124:124)-SUMIF(123:123,C41,124:124)+100</f>
        <v>100</v>
      </c>
      <c r="G41" s="2704" t="s">
        <v>3097</v>
      </c>
      <c r="H41" s="435">
        <f>SUMIF(123:123,G41,124:124)-SUMIF(123:123,C41,124:124)+100</f>
        <v>100</v>
      </c>
      <c r="I41" s="2704" t="s">
        <v>3097</v>
      </c>
      <c r="J41" s="435">
        <f>SUMIF(123:123,I41,124:124)-SUMIF(123:123,C41,124:124)+100</f>
        <v>100</v>
      </c>
      <c r="K41" s="612"/>
      <c r="L41" s="1135"/>
      <c r="M41" s="1136"/>
      <c r="N41" s="1136"/>
      <c r="O41" s="1137"/>
      <c r="P41" s="3181"/>
      <c r="Q41" s="1812" t="str">
        <f t="shared" si="14"/>
        <v>宗地开发程度</v>
      </c>
      <c r="R41" s="770" t="s">
        <v>17</v>
      </c>
      <c r="S41" s="771">
        <f t="shared" si="10"/>
        <v>100</v>
      </c>
      <c r="T41" s="770" t="s">
        <v>17</v>
      </c>
      <c r="U41" s="771">
        <f t="shared" si="11"/>
        <v>100</v>
      </c>
      <c r="V41" s="770" t="s">
        <v>17</v>
      </c>
      <c r="W41" s="771">
        <f t="shared" si="12"/>
        <v>100</v>
      </c>
      <c r="X41" s="772"/>
      <c r="Y41" s="3181"/>
      <c r="Z41" s="55" t="str">
        <f t="shared" si="13"/>
        <v>宗地开发程度</v>
      </c>
      <c r="AA41" s="773">
        <f t="shared" si="3"/>
        <v>1</v>
      </c>
      <c r="AB41" s="773">
        <f t="shared" si="4"/>
        <v>1</v>
      </c>
      <c r="AC41" s="773">
        <f t="shared" si="5"/>
        <v>1</v>
      </c>
    </row>
    <row r="42" spans="1:29" ht="15.75" thickBot="1">
      <c r="A42" s="472"/>
      <c r="B42" s="422" t="s">
        <v>2754</v>
      </c>
      <c r="C42" s="2615" t="s">
        <v>3096</v>
      </c>
      <c r="D42" s="435">
        <v>100</v>
      </c>
      <c r="E42" s="2615" t="s">
        <v>3096</v>
      </c>
      <c r="F42" s="435">
        <f>SUMIF(125:125,E42,126:126)-SUMIF(125:125,C42,126:126)+100</f>
        <v>100</v>
      </c>
      <c r="G42" s="2615" t="s">
        <v>3096</v>
      </c>
      <c r="H42" s="435">
        <f>SUMIF(125:125,G42,126:126)-SUMIF(125:125,C42,126:126)+100</f>
        <v>100</v>
      </c>
      <c r="I42" s="2615" t="s">
        <v>3096</v>
      </c>
      <c r="J42" s="435">
        <f>SUMIF(125:125,I42,126:126)-SUMIF(125:125,C42,126:126)+100</f>
        <v>100</v>
      </c>
      <c r="K42" s="612"/>
      <c r="L42" s="1143"/>
      <c r="M42" s="1134"/>
      <c r="N42" s="1134"/>
      <c r="O42" s="1142"/>
      <c r="P42" s="3181" t="s">
        <v>2564</v>
      </c>
      <c r="Q42" s="1812" t="str">
        <f t="shared" si="14"/>
        <v>工程地质条件</v>
      </c>
      <c r="R42" s="774" t="s">
        <v>17</v>
      </c>
      <c r="S42" s="775">
        <f t="shared" si="10"/>
        <v>100</v>
      </c>
      <c r="T42" s="774" t="s">
        <v>17</v>
      </c>
      <c r="U42" s="775">
        <f t="shared" si="11"/>
        <v>100</v>
      </c>
      <c r="V42" s="774" t="s">
        <v>17</v>
      </c>
      <c r="W42" s="775">
        <f t="shared" si="12"/>
        <v>100</v>
      </c>
      <c r="X42" s="1815"/>
      <c r="Y42" s="3181" t="s">
        <v>2564</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1"/>
      <c r="Q43" s="1812">
        <f t="shared" si="14"/>
        <v>111</v>
      </c>
      <c r="R43" s="774" t="s">
        <v>17</v>
      </c>
      <c r="S43" s="775">
        <f t="shared" si="10"/>
        <v>100</v>
      </c>
      <c r="T43" s="774" t="s">
        <v>17</v>
      </c>
      <c r="U43" s="775">
        <f t="shared" si="11"/>
        <v>100</v>
      </c>
      <c r="V43" s="774" t="s">
        <v>17</v>
      </c>
      <c r="W43" s="775">
        <f t="shared" si="12"/>
        <v>100</v>
      </c>
      <c r="X43" s="1815"/>
      <c r="Y43" s="3181"/>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1"/>
      <c r="Q44" s="1812">
        <f t="shared" si="14"/>
        <v>111</v>
      </c>
      <c r="R44" s="774" t="s">
        <v>17</v>
      </c>
      <c r="S44" s="775">
        <f t="shared" si="10"/>
        <v>100</v>
      </c>
      <c r="T44" s="774" t="s">
        <v>17</v>
      </c>
      <c r="U44" s="775">
        <f t="shared" si="11"/>
        <v>100</v>
      </c>
      <c r="V44" s="774" t="s">
        <v>17</v>
      </c>
      <c r="W44" s="775">
        <f t="shared" si="12"/>
        <v>100</v>
      </c>
      <c r="X44" s="1815"/>
      <c r="Y44" s="3181"/>
      <c r="Z44" s="1816">
        <f t="shared" si="13"/>
        <v>111</v>
      </c>
      <c r="AA44" s="1813">
        <f t="shared" si="3"/>
        <v>1</v>
      </c>
      <c r="AB44" s="1813">
        <f t="shared" si="4"/>
        <v>1</v>
      </c>
      <c r="AC44" s="1813">
        <f t="shared" si="5"/>
        <v>1</v>
      </c>
    </row>
    <row r="45" spans="1:29" s="471" customFormat="1" ht="15.75" hidden="1"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1"/>
      <c r="Q45" s="1812">
        <f t="shared" si="14"/>
        <v>111</v>
      </c>
      <c r="R45" s="777" t="s">
        <v>17</v>
      </c>
      <c r="S45" s="778">
        <f t="shared" si="10"/>
        <v>100</v>
      </c>
      <c r="T45" s="777" t="s">
        <v>17</v>
      </c>
      <c r="U45" s="778">
        <f t="shared" si="11"/>
        <v>100</v>
      </c>
      <c r="V45" s="777" t="s">
        <v>17</v>
      </c>
      <c r="W45" s="778">
        <f t="shared" si="12"/>
        <v>100</v>
      </c>
      <c r="X45" s="779"/>
      <c r="Y45" s="3181"/>
      <c r="Z45" s="780">
        <f t="shared" si="13"/>
        <v>111</v>
      </c>
      <c r="AA45" s="1813">
        <f t="shared" si="3"/>
        <v>1</v>
      </c>
      <c r="AB45" s="1813">
        <f t="shared" si="4"/>
        <v>1</v>
      </c>
      <c r="AC45" s="1813">
        <f t="shared" si="5"/>
        <v>1</v>
      </c>
    </row>
    <row r="46" spans="1:29" ht="15">
      <c r="A46" s="479" t="s">
        <v>2719</v>
      </c>
      <c r="B46" s="2706" t="s">
        <v>2755</v>
      </c>
      <c r="C46" s="682" t="s">
        <v>1</v>
      </c>
      <c r="D46" s="481"/>
      <c r="E46" s="482">
        <v>6751</v>
      </c>
      <c r="F46" s="483"/>
      <c r="G46" s="484">
        <v>6102</v>
      </c>
      <c r="H46" s="485"/>
      <c r="I46" s="482">
        <v>6506</v>
      </c>
      <c r="J46" s="485"/>
      <c r="K46" s="783"/>
      <c r="L46" s="1146"/>
      <c r="M46" s="1147"/>
      <c r="N46" s="1134"/>
      <c r="O46" s="1147"/>
      <c r="P46" s="3176" t="str">
        <f>A46</f>
        <v>成交单价</v>
      </c>
      <c r="Q46" s="3176"/>
      <c r="R46" s="3182">
        <f>E46</f>
        <v>6751</v>
      </c>
      <c r="S46" s="3182"/>
      <c r="T46" s="3182">
        <f>G46</f>
        <v>6102</v>
      </c>
      <c r="U46" s="3182"/>
      <c r="V46" s="3182">
        <f>I46</f>
        <v>6506</v>
      </c>
      <c r="W46" s="3182"/>
      <c r="X46" s="759"/>
      <c r="Y46" s="781"/>
      <c r="Z46" s="759"/>
      <c r="AA46" s="759"/>
      <c r="AB46" s="759"/>
      <c r="AC46" s="759"/>
    </row>
    <row r="47" spans="1:29" ht="15.75" thickBot="1">
      <c r="A47" s="486" t="s">
        <v>2668</v>
      </c>
      <c r="B47" s="683"/>
      <c r="C47" s="490">
        <f>R48</f>
        <v>6611</v>
      </c>
      <c r="D47" s="489"/>
      <c r="E47" s="490">
        <f>R47</f>
        <v>7019</v>
      </c>
      <c r="F47" s="491"/>
      <c r="G47" s="488">
        <f>T47</f>
        <v>6344</v>
      </c>
      <c r="H47" s="489"/>
      <c r="I47" s="490">
        <f>V47</f>
        <v>6470</v>
      </c>
      <c r="J47" s="489"/>
      <c r="K47" s="784"/>
      <c r="L47" s="1146"/>
      <c r="M47" s="1147"/>
      <c r="N47" s="1147"/>
      <c r="O47" s="1147"/>
      <c r="P47" s="3176" t="str">
        <f>A47</f>
        <v>比较价值（元/平方米）</v>
      </c>
      <c r="Q47" s="3176"/>
      <c r="R47" s="3169">
        <f>ROUND(PRODUCT(R46,AA7:AA45),0)</f>
        <v>7019</v>
      </c>
      <c r="S47" s="3169"/>
      <c r="T47" s="3169">
        <f>ROUND(PRODUCT(T46,AB7:AB45),0)</f>
        <v>6344</v>
      </c>
      <c r="U47" s="3169"/>
      <c r="V47" s="3169">
        <f>ROUND(PRODUCT(V46,AC7:AC45),0)</f>
        <v>6470</v>
      </c>
      <c r="W47" s="3169"/>
      <c r="X47" s="759"/>
      <c r="Y47" s="759"/>
      <c r="Z47" s="759"/>
      <c r="AA47" s="759"/>
      <c r="AB47" s="759"/>
      <c r="AC47" s="759"/>
    </row>
    <row r="48" spans="1:29" ht="15.75" thickBot="1">
      <c r="A48" s="492" t="s">
        <v>2756</v>
      </c>
      <c r="B48" s="493"/>
      <c r="C48" s="494">
        <f>R48</f>
        <v>6611</v>
      </c>
      <c r="D48" s="494"/>
      <c r="E48" s="494"/>
      <c r="F48" s="494"/>
      <c r="G48" s="494"/>
      <c r="H48" s="494"/>
      <c r="I48" s="494"/>
      <c r="J48" s="494"/>
      <c r="K48" s="785"/>
      <c r="L48" s="1146"/>
      <c r="M48" s="1147"/>
      <c r="N48" s="1147"/>
      <c r="O48" s="1147"/>
      <c r="P48" s="3170" t="str">
        <f>A48</f>
        <v>估价对象XX用房的比较价值（楼面单价，元/平方米）</v>
      </c>
      <c r="Q48" s="3171"/>
      <c r="R48" s="3172">
        <f>ROUND(AVERAGE(R47:V47),0)</f>
        <v>6611</v>
      </c>
      <c r="S48" s="3172"/>
      <c r="T48" s="3172"/>
      <c r="U48" s="3172"/>
      <c r="V48" s="3172"/>
      <c r="W48" s="317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3.9697822544808137E-2</v>
      </c>
      <c r="F51" s="500" t="str">
        <f>IF(OR(E51&gt;=0.3,E51&lt;=-0.3),"超过30%","")</f>
        <v/>
      </c>
      <c r="G51" s="499">
        <f>IF(G46&lt;G47,G47/G46-1,G46/G47-1)</f>
        <v>3.9659128154703405E-2</v>
      </c>
      <c r="H51" s="500" t="str">
        <f>IF(OR(G51&gt;=0.3,G51&lt;=-0.3),"超过30%","")</f>
        <v/>
      </c>
      <c r="I51" s="499">
        <f>IF(I46&lt;I47,I47/I46-1,I46/I47-1)</f>
        <v>5.5641421947449921E-3</v>
      </c>
      <c r="J51" s="500" t="str">
        <f>IF(OR(I51&gt;=0.3,I51&lt;=-0.3),"超过30%","")</f>
        <v/>
      </c>
      <c r="K51" s="1108"/>
      <c r="L51" s="1109"/>
      <c r="M51" s="1147"/>
      <c r="N51" s="1147"/>
      <c r="O51" s="1147"/>
    </row>
    <row r="52" spans="1:15" ht="13.5" customHeight="1">
      <c r="A52" s="1147"/>
      <c r="B52" s="1147"/>
      <c r="C52" s="497" t="s">
        <v>2671</v>
      </c>
      <c r="D52" s="501"/>
      <c r="E52" s="499">
        <f>IF(E47&lt;G47,G47/E47-1,E47/G47-1)</f>
        <v>0.10639974779319039</v>
      </c>
      <c r="F52" s="500" t="str">
        <f>IF(OR(E52&gt;=0.2,E52&lt;=-0.2),"超过20%","")</f>
        <v/>
      </c>
      <c r="G52" s="499">
        <f>IF(G47&lt;I47,I47/G47-1,G47/I47-1)</f>
        <v>1.9861286254728938E-2</v>
      </c>
      <c r="H52" s="500" t="str">
        <f>IF(OR(G52&gt;=0.2,G52&lt;=-0.2),"超过20%","")</f>
        <v/>
      </c>
      <c r="I52" s="499">
        <f>IF(I47&lt;E47,E47/I47-1,I47/E47-1)</f>
        <v>8.4853168469860796E-2</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0.10635857096034096</v>
      </c>
      <c r="F53" s="500" t="str">
        <f>IF(OR(E53&gt;=0.3,E53&lt;=-0.3),"超过30%","")</f>
        <v/>
      </c>
      <c r="G53" s="499">
        <f>IF(G46&lt;I46,I46/G46-1,G46/I46-1)</f>
        <v>6.6207800721075127E-2</v>
      </c>
      <c r="H53" s="500" t="str">
        <f>IF(OR(G53&gt;=0.3,G53&lt;=-0.3),"超过30%","")</f>
        <v/>
      </c>
      <c r="I53" s="499">
        <f>IF(I46&lt;E46,E46/I46-1,I46/E46-1)</f>
        <v>3.7657546879803272E-2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7" t="s">
        <v>2759</v>
      </c>
      <c r="D55" s="2708" t="s">
        <v>2760</v>
      </c>
      <c r="E55" s="686" t="s">
        <v>2761</v>
      </c>
      <c r="F55" s="1110" t="s">
        <v>2762</v>
      </c>
      <c r="G55" s="3173" t="s">
        <v>2763</v>
      </c>
      <c r="H55" s="3174"/>
      <c r="I55" s="144" t="s">
        <v>2764</v>
      </c>
      <c r="J55" s="2709" t="str">
        <f>项目基本情况!F35</f>
        <v>湖北省武汉市江夏区纸坊街红旗村“江南新天地”（又名“鹏湖湾”）项目</v>
      </c>
      <c r="K55" s="2710" t="s">
        <v>2765</v>
      </c>
      <c r="L55" s="1109"/>
      <c r="M55" s="1147"/>
      <c r="N55" s="1147"/>
      <c r="O55" s="1147"/>
    </row>
    <row r="56" spans="1:15" s="692" customFormat="1">
      <c r="A56" s="688" t="s">
        <v>2766</v>
      </c>
      <c r="B56" s="689">
        <f>C48</f>
        <v>6611</v>
      </c>
      <c r="C56" s="690">
        <v>1</v>
      </c>
      <c r="D56" s="1166">
        <v>1</v>
      </c>
      <c r="E56" s="690">
        <f>'数据-汇总表'!E8+'数据-汇总表'!E9</f>
        <v>42432.480000000003</v>
      </c>
      <c r="F56" s="1106">
        <f t="shared" ref="F56:F65" si="15">ROUND(B56*E56/10000,0)</f>
        <v>28052</v>
      </c>
      <c r="G56" s="3175"/>
      <c r="H56" s="3176"/>
      <c r="I56" s="1111">
        <v>1</v>
      </c>
      <c r="J56" s="1114">
        <v>1</v>
      </c>
      <c r="K56" s="1148"/>
      <c r="L56" s="944"/>
      <c r="M56" s="944"/>
      <c r="N56" s="944"/>
      <c r="O56" s="944"/>
    </row>
    <row r="57" spans="1:15" s="692" customFormat="1">
      <c r="A57" s="693" t="s">
        <v>2767</v>
      </c>
      <c r="B57" s="262">
        <f>ROUND($C$48*C57*D57,0)</f>
        <v>0</v>
      </c>
      <c r="C57" s="200">
        <f t="shared" ref="C57:C65" si="16">IF($C$55="北京市系数",I57,J57)</f>
        <v>0</v>
      </c>
      <c r="D57" s="1167">
        <v>0.25</v>
      </c>
      <c r="E57" s="694"/>
      <c r="F57" s="1106">
        <f t="shared" si="15"/>
        <v>0</v>
      </c>
      <c r="G57" s="3177" t="s">
        <v>2768</v>
      </c>
      <c r="H57" s="1107">
        <f>项目基本情况!B37</f>
        <v>0</v>
      </c>
      <c r="I57" s="1111">
        <f>SUMIF(修正!A45:A56,H57,修正!B45:B56)</f>
        <v>0</v>
      </c>
      <c r="J57" s="1115"/>
      <c r="K57" s="1147"/>
      <c r="L57" s="944"/>
      <c r="M57" s="944"/>
      <c r="N57" s="944"/>
      <c r="O57" s="944"/>
    </row>
    <row r="58" spans="1:15" s="692" customFormat="1">
      <c r="A58" s="693" t="s">
        <v>2769</v>
      </c>
      <c r="B58" s="262">
        <f t="shared" ref="B58:B65" si="17">ROUND($C$48*C58*D58,0)</f>
        <v>0</v>
      </c>
      <c r="C58" s="200">
        <f t="shared" si="16"/>
        <v>0</v>
      </c>
      <c r="D58" s="1167">
        <v>0.25</v>
      </c>
      <c r="E58" s="694"/>
      <c r="F58" s="1106">
        <f t="shared" si="15"/>
        <v>0</v>
      </c>
      <c r="G58" s="3177"/>
      <c r="H58" s="1107">
        <f>项目基本情况!B37</f>
        <v>0</v>
      </c>
      <c r="I58" s="1111">
        <f>SUMIF(修正!A45:A56,H58,修正!C45:C56)</f>
        <v>0</v>
      </c>
      <c r="J58" s="1115"/>
      <c r="K58" s="1148"/>
      <c r="L58" s="944"/>
      <c r="M58" s="944"/>
      <c r="N58" s="944"/>
      <c r="O58" s="944"/>
    </row>
    <row r="59" spans="1:15" s="692" customFormat="1">
      <c r="A59" s="693" t="s">
        <v>2770</v>
      </c>
      <c r="B59" s="262">
        <f t="shared" si="17"/>
        <v>0</v>
      </c>
      <c r="C59" s="200">
        <f t="shared" si="16"/>
        <v>0</v>
      </c>
      <c r="D59" s="1167">
        <v>0.25</v>
      </c>
      <c r="E59" s="694"/>
      <c r="F59" s="1106">
        <f t="shared" si="15"/>
        <v>0</v>
      </c>
      <c r="G59" s="3177"/>
      <c r="H59" s="1107">
        <f>项目基本情况!B37</f>
        <v>0</v>
      </c>
      <c r="I59" s="1111">
        <f>SUMIF(修正!A45:A56,H59,修正!D45:D56)</f>
        <v>0</v>
      </c>
      <c r="J59" s="1115"/>
      <c r="K59" s="1147"/>
      <c r="L59" s="944"/>
      <c r="M59" s="944"/>
      <c r="N59" s="944"/>
      <c r="O59" s="944"/>
    </row>
    <row r="60" spans="1:15" s="692" customFormat="1">
      <c r="A60" s="693" t="s">
        <v>2771</v>
      </c>
      <c r="B60" s="262">
        <f t="shared" si="17"/>
        <v>0</v>
      </c>
      <c r="C60" s="200">
        <f t="shared" si="16"/>
        <v>0</v>
      </c>
      <c r="D60" s="1167">
        <v>0.25</v>
      </c>
      <c r="E60" s="694"/>
      <c r="F60" s="1106">
        <f t="shared" si="15"/>
        <v>0</v>
      </c>
      <c r="G60" s="3177"/>
      <c r="H60" s="1107">
        <f>项目基本情况!B37</f>
        <v>0</v>
      </c>
      <c r="I60" s="1111">
        <f>SUMIF(修正!A45:A56,H60,修正!E45:E56)</f>
        <v>0</v>
      </c>
      <c r="J60" s="1115"/>
      <c r="K60" s="1148"/>
      <c r="L60" s="944"/>
      <c r="M60" s="944"/>
      <c r="N60" s="944"/>
      <c r="O60" s="944"/>
    </row>
    <row r="61" spans="1:15" s="692" customFormat="1">
      <c r="A61" s="693" t="s">
        <v>2772</v>
      </c>
      <c r="B61" s="262">
        <f t="shared" si="17"/>
        <v>0</v>
      </c>
      <c r="C61" s="200">
        <f t="shared" si="16"/>
        <v>0</v>
      </c>
      <c r="D61" s="1167">
        <v>0.25</v>
      </c>
      <c r="E61" s="261">
        <f>'数据-汇总表'!E11</f>
        <v>0</v>
      </c>
      <c r="F61" s="1106">
        <f t="shared" si="15"/>
        <v>0</v>
      </c>
      <c r="G61" s="2711" t="s">
        <v>2773</v>
      </c>
      <c r="H61" s="1107">
        <f>项目基本情况!C37</f>
        <v>0</v>
      </c>
      <c r="I61" s="1111">
        <f>SUMIF(修正!A45:A56,H61,修正!F45:F56)</f>
        <v>0</v>
      </c>
      <c r="J61" s="1115"/>
      <c r="K61" s="1147"/>
      <c r="L61" s="944"/>
      <c r="M61" s="944"/>
      <c r="N61" s="944"/>
      <c r="O61" s="944"/>
    </row>
    <row r="62" spans="1:15" s="692" customFormat="1">
      <c r="A62" s="693" t="s">
        <v>2774</v>
      </c>
      <c r="B62" s="262">
        <f t="shared" si="17"/>
        <v>0</v>
      </c>
      <c r="C62" s="200">
        <f t="shared" si="16"/>
        <v>0</v>
      </c>
      <c r="D62" s="1167">
        <v>0.25</v>
      </c>
      <c r="E62" s="261">
        <f>'数据-汇总表'!E12</f>
        <v>0</v>
      </c>
      <c r="F62" s="1106">
        <f t="shared" si="15"/>
        <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f t="shared" si="17"/>
        <v>0</v>
      </c>
      <c r="C63" s="200">
        <f t="shared" si="16"/>
        <v>0</v>
      </c>
      <c r="D63" s="1167">
        <v>0.25</v>
      </c>
      <c r="E63" s="261">
        <f>'数据-汇总表'!E13</f>
        <v>0</v>
      </c>
      <c r="F63" s="1106">
        <f t="shared" si="15"/>
        <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f t="shared" si="17"/>
        <v>0</v>
      </c>
      <c r="C64" s="200">
        <f t="shared" si="16"/>
        <v>0</v>
      </c>
      <c r="D64" s="1167">
        <v>0.25</v>
      </c>
      <c r="E64" s="261">
        <f>'数据-汇总表'!E14</f>
        <v>0</v>
      </c>
      <c r="F64" s="1106">
        <f t="shared" si="15"/>
        <v>0</v>
      </c>
      <c r="G64" s="2711" t="s">
        <v>2768</v>
      </c>
      <c r="H64" s="1107">
        <f>项目基本情况!B37</f>
        <v>0</v>
      </c>
      <c r="I64" s="1111">
        <f>SUMIF(修正!A45:A56,H64,修正!H45:H56)</f>
        <v>0</v>
      </c>
      <c r="J64" s="1115"/>
      <c r="K64" s="1148"/>
      <c r="L64" s="944"/>
      <c r="M64" s="944"/>
      <c r="N64" s="944"/>
      <c r="O64" s="944"/>
    </row>
    <row r="65" spans="1:17" s="692" customFormat="1" ht="15" thickBot="1">
      <c r="A65" s="693" t="s">
        <v>2779</v>
      </c>
      <c r="B65" s="262">
        <f t="shared" si="17"/>
        <v>0</v>
      </c>
      <c r="C65" s="200">
        <f t="shared" si="16"/>
        <v>0</v>
      </c>
      <c r="D65" s="1167">
        <v>0.25</v>
      </c>
      <c r="E65" s="261">
        <f>'数据-汇总表'!E15</f>
        <v>0</v>
      </c>
      <c r="F65" s="1106">
        <f t="shared" si="15"/>
        <v>0</v>
      </c>
      <c r="G65" s="2712"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42432.480000000003</v>
      </c>
      <c r="F66" s="697">
        <f>IF(B46="楼面地价",SUM(F56:F65),ROUND(C48*E66/10000,0))</f>
        <v>28052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3" t="s">
        <v>2781</v>
      </c>
      <c r="B70" s="1362"/>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4" t="s">
        <v>2782</v>
      </c>
      <c r="B71" s="332" t="str">
        <f>"北京市平均增长率"&amp;TEXT(SUMIF(基准地价修正!N21:N25,A71,基准地价修正!P21:P25),"0.00%")</f>
        <v>北京市平均增长率2.50%</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48" t="s">
        <v>3132</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0（含）-2</v>
      </c>
      <c r="D79" s="547" t="str">
        <f t="shared" ref="D79:L79" si="21">D80&amp;"（含）"&amp;"-"&amp;E80</f>
        <v>2（含）-4</v>
      </c>
      <c r="E79" s="547" t="str">
        <f t="shared" si="21"/>
        <v>4（含）-6</v>
      </c>
      <c r="F79" s="547" t="str">
        <f t="shared" si="21"/>
        <v>6（含）-8</v>
      </c>
      <c r="G79" s="547" t="str">
        <f t="shared" si="21"/>
        <v>8（含）-</v>
      </c>
      <c r="H79" s="547" t="str">
        <f t="shared" si="21"/>
        <v>（含）-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2</v>
      </c>
      <c r="E80" s="549">
        <v>4</v>
      </c>
      <c r="F80" s="549">
        <v>6</v>
      </c>
      <c r="G80" s="549">
        <v>8</v>
      </c>
      <c r="H80" s="549"/>
      <c r="I80" s="549"/>
      <c r="J80" s="549"/>
      <c r="K80" s="550"/>
      <c r="L80" s="551"/>
      <c r="M80" s="552"/>
      <c r="N80" s="1155"/>
      <c r="O80" s="1155"/>
      <c r="P80" s="45"/>
      <c r="Q80" s="504"/>
    </row>
    <row r="81" spans="1:17" ht="15.75" thickBot="1">
      <c r="A81" s="534"/>
      <c r="B81" s="535"/>
      <c r="C81" s="544">
        <v>100</v>
      </c>
      <c r="D81" s="544">
        <f t="shared" ref="D81:M81" si="22">IF($B$46="单位面积地价",C81+$K11,C81-$K11)</f>
        <v>95</v>
      </c>
      <c r="E81" s="544">
        <f t="shared" si="22"/>
        <v>90</v>
      </c>
      <c r="F81" s="544">
        <f t="shared" si="22"/>
        <v>85</v>
      </c>
      <c r="G81" s="544">
        <f t="shared" si="22"/>
        <v>80</v>
      </c>
      <c r="H81" s="544">
        <f t="shared" si="22"/>
        <v>75</v>
      </c>
      <c r="I81" s="544">
        <f t="shared" si="22"/>
        <v>70</v>
      </c>
      <c r="J81" s="544">
        <f t="shared" si="22"/>
        <v>65</v>
      </c>
      <c r="K81" s="544">
        <f t="shared" si="22"/>
        <v>60</v>
      </c>
      <c r="L81" s="544">
        <f t="shared" si="22"/>
        <v>55</v>
      </c>
      <c r="M81" s="544">
        <f t="shared" si="22"/>
        <v>50</v>
      </c>
      <c r="N81" s="1156"/>
      <c r="O81" s="1156"/>
      <c r="P81" s="45"/>
      <c r="Q81" s="504"/>
    </row>
    <row r="82" spans="1:17" s="471" customFormat="1" ht="15.75" hidden="1"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hidden="1" thickBot="1">
      <c r="A83" s="553"/>
      <c r="B83" s="543"/>
      <c r="C83" s="560"/>
      <c r="D83" s="536"/>
      <c r="E83" s="536"/>
      <c r="F83" s="536"/>
      <c r="G83" s="536"/>
      <c r="H83" s="536"/>
      <c r="I83" s="536"/>
      <c r="J83" s="536"/>
      <c r="K83" s="536"/>
      <c r="L83" s="536"/>
      <c r="M83" s="537"/>
      <c r="N83" s="1156"/>
      <c r="O83" s="1156"/>
      <c r="P83" s="558"/>
      <c r="Q83" s="559"/>
    </row>
    <row r="84" spans="1:17" s="471" customFormat="1" ht="15.75" hidden="1" thickTop="1">
      <c r="A84" s="553"/>
      <c r="B84" s="538">
        <f>B13</f>
        <v>111</v>
      </c>
      <c r="C84" s="554"/>
      <c r="D84" s="554"/>
      <c r="E84" s="554"/>
      <c r="F84" s="554"/>
      <c r="G84" s="554"/>
      <c r="H84" s="555"/>
      <c r="I84" s="555"/>
      <c r="J84" s="555"/>
      <c r="K84" s="555"/>
      <c r="L84" s="556"/>
      <c r="M84" s="557"/>
      <c r="N84" s="1157"/>
      <c r="O84" s="1157"/>
      <c r="P84" s="470"/>
      <c r="Q84" s="561"/>
    </row>
    <row r="85" spans="1:17" s="471" customFormat="1" ht="15.75" hidden="1" thickBot="1">
      <c r="A85" s="553"/>
      <c r="B85" s="543"/>
      <c r="C85" s="560"/>
      <c r="D85" s="560"/>
      <c r="E85" s="560"/>
      <c r="F85" s="560"/>
      <c r="G85" s="560"/>
      <c r="H85" s="562"/>
      <c r="I85" s="562"/>
      <c r="J85" s="562"/>
      <c r="K85" s="562"/>
      <c r="L85" s="562"/>
      <c r="M85" s="563"/>
      <c r="N85" s="1157"/>
      <c r="O85" s="1157"/>
      <c r="P85" s="558"/>
      <c r="Q85" s="559"/>
    </row>
    <row r="86" spans="1:17" s="471" customFormat="1" ht="15.75" hidden="1" thickTop="1">
      <c r="A86" s="553"/>
      <c r="B86" s="546">
        <f>B14</f>
        <v>111</v>
      </c>
      <c r="C86" s="523"/>
      <c r="D86" s="523"/>
      <c r="E86" s="523"/>
      <c r="F86" s="523"/>
      <c r="G86" s="523"/>
      <c r="H86" s="564"/>
      <c r="I86" s="564"/>
      <c r="J86" s="564"/>
      <c r="K86" s="564"/>
      <c r="L86" s="565"/>
      <c r="M86" s="566"/>
      <c r="N86" s="1157"/>
      <c r="O86" s="1157"/>
      <c r="P86" s="567"/>
      <c r="Q86" s="559"/>
    </row>
    <row r="87" spans="1:17" s="471" customFormat="1" ht="15.75" hidden="1" thickBot="1">
      <c r="A87" s="568"/>
      <c r="B87" s="569"/>
      <c r="C87" s="570"/>
      <c r="D87" s="570"/>
      <c r="E87" s="570"/>
      <c r="F87" s="570"/>
      <c r="G87" s="570"/>
      <c r="H87" s="571"/>
      <c r="I87" s="571"/>
      <c r="J87" s="571"/>
      <c r="K87" s="571"/>
      <c r="L87" s="571"/>
      <c r="M87" s="572"/>
      <c r="N87" s="1157"/>
      <c r="O87" s="1157"/>
      <c r="P87" s="558"/>
      <c r="Q87" s="559"/>
    </row>
    <row r="88" spans="1:17" ht="15" thickTop="1">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6"/>
      <c r="O105" s="1156"/>
      <c r="P105" s="45"/>
      <c r="Q105" s="504"/>
    </row>
    <row r="106" spans="1:17" ht="27.75" thickTop="1">
      <c r="A106" s="534"/>
      <c r="B106" s="538" t="s">
        <v>2690</v>
      </c>
      <c r="C106" s="2949" t="s">
        <v>3139</v>
      </c>
      <c r="D106" s="2949" t="s">
        <v>3138</v>
      </c>
      <c r="E106" s="2949" t="s">
        <v>3140</v>
      </c>
      <c r="F106" s="2949" t="s">
        <v>3141</v>
      </c>
      <c r="G106" s="2949" t="s">
        <v>3142</v>
      </c>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6"/>
      <c r="O107" s="1156"/>
      <c r="P107" s="45"/>
      <c r="Q107" s="504"/>
    </row>
    <row r="108" spans="1:17" ht="15.75" hidden="1" thickTop="1">
      <c r="A108" s="534"/>
      <c r="B108" s="538" t="s">
        <v>2749</v>
      </c>
      <c r="C108" s="583"/>
      <c r="D108" s="583"/>
      <c r="E108" s="583"/>
      <c r="F108" s="583"/>
      <c r="G108" s="583"/>
      <c r="H108" s="583"/>
      <c r="I108" s="583"/>
      <c r="J108" s="583"/>
      <c r="K108" s="584"/>
      <c r="L108" s="585"/>
      <c r="M108" s="586"/>
      <c r="N108" s="1155"/>
      <c r="O108" s="1155"/>
      <c r="P108" s="45"/>
      <c r="Q108" s="504"/>
    </row>
    <row r="109" spans="1:17" ht="15.75" hidden="1"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hidden="1" thickTop="1">
      <c r="A110" s="534"/>
      <c r="B110" s="546">
        <f>B35</f>
        <v>111</v>
      </c>
      <c r="C110" s="554"/>
      <c r="D110" s="554"/>
      <c r="E110" s="554"/>
      <c r="F110" s="554"/>
      <c r="G110" s="587"/>
      <c r="H110" s="587"/>
      <c r="I110" s="587"/>
      <c r="J110" s="587"/>
      <c r="K110" s="588"/>
      <c r="L110" s="589"/>
      <c r="M110" s="590"/>
      <c r="N110" s="1155"/>
      <c r="O110" s="1155"/>
      <c r="P110" s="45"/>
      <c r="Q110" s="504"/>
    </row>
    <row r="111" spans="1:17" ht="15.75" hidden="1" thickBot="1">
      <c r="A111" s="534"/>
      <c r="B111" s="569"/>
      <c r="C111" s="560"/>
      <c r="D111" s="560"/>
      <c r="E111" s="560"/>
      <c r="F111" s="560"/>
      <c r="G111" s="591"/>
      <c r="H111" s="591"/>
      <c r="I111" s="591"/>
      <c r="J111" s="591"/>
      <c r="K111" s="591"/>
      <c r="L111" s="591"/>
      <c r="M111" s="592"/>
      <c r="N111" s="1156"/>
      <c r="O111" s="1156"/>
      <c r="P111" s="45"/>
      <c r="Q111" s="504"/>
    </row>
    <row r="112" spans="1:17" ht="15" hidden="1" thickTop="1">
      <c r="A112" s="675"/>
      <c r="B112" s="538">
        <f>B36</f>
        <v>111</v>
      </c>
      <c r="C112" s="523"/>
      <c r="D112" s="523"/>
      <c r="E112" s="523"/>
      <c r="F112" s="523"/>
      <c r="G112" s="583"/>
      <c r="H112" s="583"/>
      <c r="I112" s="583"/>
      <c r="J112" s="583"/>
      <c r="K112" s="584"/>
      <c r="L112" s="585"/>
      <c r="M112" s="586"/>
      <c r="N112" s="1155"/>
      <c r="O112" s="1155"/>
      <c r="P112" s="45"/>
      <c r="Q112" s="504"/>
    </row>
    <row r="113" spans="1:17" ht="15.75" hidden="1" thickBot="1">
      <c r="A113" s="534"/>
      <c r="B113" s="543"/>
      <c r="C113" s="570"/>
      <c r="D113" s="570"/>
      <c r="E113" s="570"/>
      <c r="F113" s="570"/>
      <c r="G113" s="536"/>
      <c r="H113" s="536"/>
      <c r="I113" s="536"/>
      <c r="J113" s="536"/>
      <c r="K113" s="536"/>
      <c r="L113" s="536"/>
      <c r="M113" s="537"/>
      <c r="N113" s="1156"/>
      <c r="O113" s="1156"/>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hidden="1" thickBot="1">
      <c r="A115" s="553"/>
      <c r="B115" s="546"/>
      <c r="C115" s="512"/>
      <c r="D115" s="677"/>
      <c r="E115" s="677"/>
      <c r="F115" s="677"/>
      <c r="G115" s="677"/>
      <c r="H115" s="677"/>
      <c r="I115" s="677"/>
      <c r="J115" s="677"/>
      <c r="K115" s="677"/>
      <c r="L115" s="677"/>
      <c r="M115" s="699"/>
      <c r="N115" s="1156"/>
      <c r="O115" s="1156"/>
      <c r="P115" s="558"/>
      <c r="Q115" s="559"/>
    </row>
    <row r="116" spans="1:17" ht="29.25" thickTop="1">
      <c r="A116" s="527" t="s">
        <v>2562</v>
      </c>
      <c r="B116" s="528" t="s">
        <v>2790</v>
      </c>
      <c r="C116" s="529" t="str">
        <f>C117&amp;"(含)"&amp;"-"&amp;D117</f>
        <v>0(含)-100000</v>
      </c>
      <c r="D116" s="529" t="str">
        <f t="shared" ref="D116:M116" si="26">D117&amp;"(含)"&amp;"-"&amp;E117</f>
        <v>100000(含)-200000</v>
      </c>
      <c r="E116" s="529" t="str">
        <f t="shared" si="26"/>
        <v>200000(含)-500000</v>
      </c>
      <c r="F116" s="529" t="str">
        <f t="shared" si="26"/>
        <v>500000(含)-800000</v>
      </c>
      <c r="G116" s="529" t="str">
        <f t="shared" si="26"/>
        <v>800000(含)-1000000</v>
      </c>
      <c r="H116" s="529" t="str">
        <f t="shared" si="26"/>
        <v>1000000(含)-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100000</v>
      </c>
      <c r="E117" s="595">
        <v>200000</v>
      </c>
      <c r="F117" s="595">
        <v>500000</v>
      </c>
      <c r="G117" s="595">
        <v>800000</v>
      </c>
      <c r="H117" s="595">
        <v>1000000</v>
      </c>
      <c r="I117" s="595"/>
      <c r="J117" s="596"/>
      <c r="K117" s="596"/>
      <c r="L117" s="597"/>
      <c r="M117" s="598"/>
      <c r="N117" s="1155"/>
      <c r="O117" s="1155"/>
      <c r="P117" s="45"/>
      <c r="Q117" s="504"/>
    </row>
    <row r="118" spans="1:17" ht="15.75" thickBot="1">
      <c r="A118" s="534"/>
      <c r="B118" s="543"/>
      <c r="C118" s="570">
        <v>100</v>
      </c>
      <c r="D118" s="536">
        <v>101</v>
      </c>
      <c r="E118" s="536">
        <v>102</v>
      </c>
      <c r="F118" s="536">
        <v>103</v>
      </c>
      <c r="G118" s="536">
        <v>104</v>
      </c>
      <c r="H118" s="536">
        <v>105</v>
      </c>
      <c r="I118" s="591"/>
      <c r="J118" s="591"/>
      <c r="K118" s="591"/>
      <c r="L118" s="591"/>
      <c r="M118" s="592"/>
      <c r="N118" s="1156"/>
      <c r="O118" s="1156"/>
      <c r="P118" s="45"/>
      <c r="Q118" s="504"/>
    </row>
    <row r="119" spans="1:17" ht="15" thickTop="1">
      <c r="A119" s="599"/>
      <c r="B119" s="538" t="s">
        <v>2791</v>
      </c>
      <c r="C119" s="2950" t="s">
        <v>3144</v>
      </c>
      <c r="D119" s="2950" t="s">
        <v>3146</v>
      </c>
      <c r="E119" s="2950" t="s">
        <v>3147</v>
      </c>
      <c r="F119" s="2950" t="s">
        <v>3149</v>
      </c>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95</v>
      </c>
      <c r="E120" s="544">
        <f t="shared" si="27"/>
        <v>90</v>
      </c>
      <c r="F120" s="544">
        <f t="shared" si="27"/>
        <v>85</v>
      </c>
      <c r="G120" s="544">
        <f t="shared" si="27"/>
        <v>80</v>
      </c>
      <c r="H120" s="544">
        <f t="shared" si="27"/>
        <v>75</v>
      </c>
      <c r="I120" s="544">
        <f t="shared" si="27"/>
        <v>70</v>
      </c>
      <c r="J120" s="544">
        <f t="shared" si="27"/>
        <v>65</v>
      </c>
      <c r="K120" s="544">
        <f t="shared" si="27"/>
        <v>60</v>
      </c>
      <c r="L120" s="544">
        <f t="shared" si="27"/>
        <v>55</v>
      </c>
      <c r="M120" s="545">
        <f t="shared" si="27"/>
        <v>50</v>
      </c>
      <c r="N120" s="1156"/>
      <c r="O120" s="1156"/>
      <c r="P120" s="45"/>
      <c r="Q120" s="504"/>
    </row>
    <row r="121" spans="1:17" ht="15" thickTop="1">
      <c r="A121" s="599"/>
      <c r="B121" s="538" t="s">
        <v>2792</v>
      </c>
      <c r="C121" s="2949" t="s">
        <v>3150</v>
      </c>
      <c r="D121" s="2949" t="s">
        <v>3151</v>
      </c>
      <c r="E121" s="2949" t="s">
        <v>3152</v>
      </c>
      <c r="F121" s="2950" t="s">
        <v>3153</v>
      </c>
      <c r="G121" s="2950" t="s">
        <v>3154</v>
      </c>
      <c r="H121" s="583"/>
      <c r="I121" s="583"/>
      <c r="J121" s="583"/>
      <c r="K121" s="584"/>
      <c r="L121" s="585"/>
      <c r="M121" s="586"/>
      <c r="N121" s="1155"/>
      <c r="O121" s="1155"/>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6"/>
      <c r="O122" s="1156"/>
      <c r="P122" s="45"/>
      <c r="Q122" s="504"/>
    </row>
    <row r="123" spans="1:17" s="471" customFormat="1" ht="15" thickTop="1">
      <c r="A123" s="593"/>
      <c r="B123" s="538" t="s">
        <v>2793</v>
      </c>
      <c r="C123" s="2949" t="s">
        <v>3155</v>
      </c>
      <c r="D123" s="2949" t="s">
        <v>3156</v>
      </c>
      <c r="E123" s="2949" t="s">
        <v>3157</v>
      </c>
      <c r="F123" s="2949" t="s">
        <v>3158</v>
      </c>
      <c r="G123" s="2949" t="s">
        <v>3159</v>
      </c>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9">D124-$K41</f>
        <v>100</v>
      </c>
      <c r="F124" s="544">
        <f t="shared" si="29"/>
        <v>100</v>
      </c>
      <c r="G124" s="544">
        <f t="shared" si="29"/>
        <v>100</v>
      </c>
      <c r="H124" s="544">
        <f t="shared" si="29"/>
        <v>100</v>
      </c>
      <c r="I124" s="544">
        <f t="shared" si="29"/>
        <v>100</v>
      </c>
      <c r="J124" s="544">
        <f t="shared" si="29"/>
        <v>100</v>
      </c>
      <c r="K124" s="544">
        <f t="shared" si="29"/>
        <v>100</v>
      </c>
      <c r="L124" s="544">
        <f t="shared" si="29"/>
        <v>100</v>
      </c>
      <c r="M124" s="545">
        <f t="shared" si="29"/>
        <v>100</v>
      </c>
      <c r="N124" s="1157"/>
      <c r="O124" s="1157"/>
      <c r="P124" s="558"/>
      <c r="Q124" s="559"/>
    </row>
    <row r="125" spans="1:17" ht="15" thickTop="1">
      <c r="A125" s="599"/>
      <c r="B125" s="538" t="s">
        <v>2794</v>
      </c>
      <c r="C125" s="2949" t="s">
        <v>3150</v>
      </c>
      <c r="D125" s="2949" t="s">
        <v>3151</v>
      </c>
      <c r="E125" s="2949" t="s">
        <v>3152</v>
      </c>
      <c r="F125" s="2950" t="s">
        <v>3153</v>
      </c>
      <c r="G125" s="2950" t="s">
        <v>3154</v>
      </c>
      <c r="H125" s="583"/>
      <c r="I125" s="583"/>
      <c r="J125" s="583"/>
      <c r="K125" s="584"/>
      <c r="L125" s="585"/>
      <c r="M125" s="586"/>
      <c r="N125" s="1155"/>
      <c r="O125" s="1155"/>
      <c r="P125" s="45"/>
      <c r="Q125" s="504"/>
    </row>
    <row r="126" spans="1:17" ht="15.7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6"/>
      <c r="O126" s="1156"/>
      <c r="P126" s="45"/>
      <c r="Q126" s="504"/>
    </row>
    <row r="127" spans="1:17" ht="15" hidden="1" thickTop="1">
      <c r="A127" s="599"/>
      <c r="B127" s="538">
        <f>B43</f>
        <v>111</v>
      </c>
      <c r="C127" s="554"/>
      <c r="D127" s="554"/>
      <c r="E127" s="554"/>
      <c r="F127" s="554"/>
      <c r="G127" s="554"/>
      <c r="H127" s="583"/>
      <c r="I127" s="583"/>
      <c r="J127" s="583"/>
      <c r="K127" s="584"/>
      <c r="L127" s="585"/>
      <c r="M127" s="586"/>
      <c r="N127" s="1155"/>
      <c r="O127" s="1155"/>
      <c r="P127" s="45"/>
      <c r="Q127" s="504"/>
    </row>
    <row r="128" spans="1:17" ht="15.75" hidden="1" thickBot="1">
      <c r="A128" s="534"/>
      <c r="B128" s="543"/>
      <c r="C128" s="560"/>
      <c r="D128" s="560"/>
      <c r="E128" s="560"/>
      <c r="F128" s="560"/>
      <c r="G128" s="536"/>
      <c r="H128" s="536"/>
      <c r="I128" s="536"/>
      <c r="J128" s="536"/>
      <c r="K128" s="536"/>
      <c r="L128" s="536"/>
      <c r="M128" s="537"/>
      <c r="N128" s="1156"/>
      <c r="O128" s="1156"/>
      <c r="P128" s="45"/>
      <c r="Q128" s="504"/>
    </row>
    <row r="129" spans="1:17" ht="15" hidden="1" thickTop="1">
      <c r="A129" s="599"/>
      <c r="B129" s="538">
        <f>B44</f>
        <v>111</v>
      </c>
      <c r="C129" s="523"/>
      <c r="D129" s="523"/>
      <c r="E129" s="523"/>
      <c r="F129" s="523"/>
      <c r="G129" s="583"/>
      <c r="H129" s="583"/>
      <c r="I129" s="583"/>
      <c r="J129" s="583"/>
      <c r="K129" s="584"/>
      <c r="L129" s="585"/>
      <c r="M129" s="586"/>
      <c r="N129" s="1155"/>
      <c r="O129" s="1155"/>
      <c r="P129" s="45"/>
      <c r="Q129" s="504"/>
    </row>
    <row r="130" spans="1:17" ht="15.75" hidden="1" thickBot="1">
      <c r="A130" s="534"/>
      <c r="B130" s="543"/>
      <c r="C130" s="570"/>
      <c r="D130" s="570"/>
      <c r="E130" s="570"/>
      <c r="F130" s="570"/>
      <c r="G130" s="536"/>
      <c r="H130" s="536"/>
      <c r="I130" s="536"/>
      <c r="J130" s="536"/>
      <c r="K130" s="536"/>
      <c r="L130" s="536"/>
      <c r="M130" s="537"/>
      <c r="N130" s="1156"/>
      <c r="O130" s="1156"/>
      <c r="P130" s="45"/>
      <c r="Q130" s="504"/>
    </row>
    <row r="131" spans="1:17" s="471" customFormat="1" ht="15" hidden="1"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hidden="1" thickBot="1">
      <c r="A132" s="568"/>
      <c r="B132" s="700"/>
      <c r="C132" s="570"/>
      <c r="D132" s="570"/>
      <c r="E132" s="570"/>
      <c r="F132" s="570"/>
      <c r="G132" s="591"/>
      <c r="H132" s="591"/>
      <c r="I132" s="591"/>
      <c r="J132" s="591"/>
      <c r="K132" s="591"/>
      <c r="L132" s="591"/>
      <c r="M132" s="592"/>
      <c r="N132" s="1157"/>
      <c r="O132" s="1157"/>
      <c r="P132" s="558"/>
      <c r="Q132" s="559"/>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topLeftCell="A16" workbookViewId="0">
      <selection activeCell="I26" sqref="I2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3"/>
      <c r="C1" s="1584"/>
      <c r="D1" s="1582"/>
      <c r="E1" s="320"/>
      <c r="F1" s="320"/>
      <c r="G1" s="1583"/>
      <c r="H1" s="320"/>
      <c r="I1" s="320"/>
      <c r="J1" s="320"/>
      <c r="K1" s="320">
        <f>MATCH(C1,'数据-取费表'!A6:A16,0)+5</f>
        <v>8</v>
      </c>
    </row>
    <row r="2" spans="1:33" ht="18" customHeight="1">
      <c r="A2" s="245" t="s">
        <v>2328</v>
      </c>
      <c r="B2" s="248">
        <f ca="1">C32</f>
        <v>31837</v>
      </c>
      <c r="C2" s="320" t="s">
        <v>2461</v>
      </c>
      <c r="D2" s="320"/>
      <c r="E2" s="320"/>
      <c r="F2" s="320"/>
      <c r="G2" s="320"/>
      <c r="H2" s="320"/>
      <c r="I2" s="320"/>
      <c r="J2" s="320"/>
      <c r="K2" s="320"/>
    </row>
    <row r="3" spans="1:33" ht="18" customHeight="1" thickBot="1">
      <c r="A3" s="247" t="s">
        <v>2330</v>
      </c>
      <c r="B3" s="248">
        <f ca="1">ROUND(B2*10000/IF(C1="",'数据-汇总表'!E3,INDIRECT("'数据-取费表'!K"&amp;$K$1)),0)</f>
        <v>7372</v>
      </c>
      <c r="C3" s="320" t="s">
        <v>2462</v>
      </c>
      <c r="D3" s="320"/>
      <c r="E3" s="320"/>
      <c r="F3" s="320"/>
      <c r="G3" s="320"/>
      <c r="H3" s="320"/>
      <c r="I3" s="320"/>
      <c r="J3" s="320"/>
      <c r="K3" s="320"/>
    </row>
    <row r="4" spans="1:33" s="959" customFormat="1" ht="16.5" customHeight="1">
      <c r="A4" s="956" t="s">
        <v>2463</v>
      </c>
      <c r="B4" s="957"/>
      <c r="C4" s="999">
        <f>SUM(C8:K8)</f>
        <v>51122</v>
      </c>
      <c r="D4" s="957"/>
      <c r="E4" s="957"/>
      <c r="F4" s="957"/>
      <c r="G4" s="957"/>
      <c r="H4" s="957"/>
      <c r="I4" s="957"/>
      <c r="J4" s="957"/>
      <c r="K4" s="958"/>
    </row>
    <row r="5" spans="1:33" s="963" customFormat="1" ht="15">
      <c r="A5" s="960" t="s">
        <v>2464</v>
      </c>
      <c r="B5" s="961" t="s">
        <v>2465</v>
      </c>
      <c r="C5" s="2556" t="s">
        <v>3129</v>
      </c>
      <c r="D5" s="2556" t="s">
        <v>3130</v>
      </c>
      <c r="E5" s="2556" t="s">
        <v>2466</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2963">
        <f>'比较法-住宅'!B3</f>
        <v>12048</v>
      </c>
      <c r="D6" s="2963">
        <f>'比较法-住宅'!B3</f>
        <v>12048</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21216.240000000002</v>
      </c>
      <c r="D7" s="321">
        <f>SUMIF('数据-汇总表'!$C19:$C33,假设开发法!D5,'数据-汇总表'!$E19:$E33)</f>
        <v>21216.240000000002</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2470</v>
      </c>
      <c r="B8" s="177" t="s">
        <v>2471</v>
      </c>
      <c r="C8" s="2964">
        <f>ROUND(C6*C7/10000,0)</f>
        <v>25561</v>
      </c>
      <c r="D8" s="2964">
        <f>ROUND(D6*D7/10000,0)</f>
        <v>25561</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8873</v>
      </c>
      <c r="D11" s="976"/>
      <c r="E11" s="375"/>
      <c r="F11" s="977">
        <f ca="1">1-IF('数据-取费表'!B24=0,1,IF(C1="",'数据-取费表'!N16,INDIRECT("'数据-取费表'!n"&amp;$K$1)))</f>
        <v>0.76500000000000001</v>
      </c>
      <c r="G11" s="8"/>
      <c r="H11" s="971"/>
      <c r="I11" s="971"/>
      <c r="J11" s="971"/>
      <c r="K11" s="972"/>
    </row>
    <row r="12" spans="1:33" s="978" customFormat="1" ht="13.5" customHeight="1">
      <c r="A12" s="974" t="s">
        <v>1335</v>
      </c>
      <c r="B12" s="975" t="s">
        <v>2480</v>
      </c>
      <c r="C12" s="24">
        <f ca="1">ROUND(C11*F12,0)</f>
        <v>266</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438</v>
      </c>
      <c r="D13" s="1036"/>
      <c r="E13" s="375"/>
      <c r="F13" s="979">
        <f>'数据-取费表'!B34</f>
        <v>0.05</v>
      </c>
      <c r="G13" s="8" t="s">
        <v>2483</v>
      </c>
      <c r="H13" s="971"/>
      <c r="I13" s="971"/>
      <c r="J13" s="971"/>
      <c r="K13" s="972"/>
    </row>
    <row r="14" spans="1:33" s="980" customFormat="1" ht="13.5" customHeight="1">
      <c r="A14" s="974" t="s">
        <v>1337</v>
      </c>
      <c r="B14" s="975" t="s">
        <v>2484</v>
      </c>
      <c r="C14" s="24">
        <f ca="1">ROUND(D14*E14*F11/10000,0)</f>
        <v>661</v>
      </c>
      <c r="D14" s="1036">
        <f ca="1">IF(C1="",'数据-汇总表'!E3,INDIRECT("'数据-取费表'!K"&amp;$K$1)+INDIRECT("'数据-取费表'!S"&amp;$K$1))</f>
        <v>43189.020000000004</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133</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10371</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43189.020000000004</v>
      </c>
      <c r="E17" s="24">
        <f>'数据-取费表'!B32</f>
        <v>0</v>
      </c>
      <c r="F17" s="981"/>
      <c r="G17" s="140" t="s">
        <v>2490</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260</v>
      </c>
      <c r="D18" s="1036"/>
      <c r="E18" s="24"/>
      <c r="F18" s="979"/>
      <c r="G18" s="2558" t="s">
        <v>3090</v>
      </c>
      <c r="H18" s="1579"/>
      <c r="I18" s="2559" t="s">
        <v>2492</v>
      </c>
      <c r="J18" s="982"/>
      <c r="K18" s="983"/>
    </row>
    <row r="19" spans="1:33" s="978" customFormat="1" ht="13.5" customHeight="1">
      <c r="A19" s="974" t="s">
        <v>805</v>
      </c>
      <c r="B19" s="975" t="s">
        <v>2493</v>
      </c>
      <c r="C19" s="24">
        <f ca="1">ROUND(D19*E19/10000,0)</f>
        <v>255</v>
      </c>
      <c r="D19" s="1036">
        <f ca="1">IF(C1="",'数据-汇总表'!E5,IF(INDIRECT("'数据-取费表'!c"&amp;$K$1)="住宅",INDIRECT("'数据-取费表'!k"&amp;$K$1),0))</f>
        <v>42432.480000000003</v>
      </c>
      <c r="E19" s="24">
        <f>'数据-取费表'!B27</f>
        <v>60</v>
      </c>
      <c r="F19" s="979"/>
      <c r="G19" s="15"/>
      <c r="H19" s="1581"/>
      <c r="I19" s="984"/>
      <c r="J19" s="984"/>
      <c r="K19" s="985"/>
    </row>
    <row r="20" spans="1:33" s="978" customFormat="1" ht="13.5" customHeight="1">
      <c r="A20" s="974" t="s">
        <v>806</v>
      </c>
      <c r="B20" s="975" t="s">
        <v>2494</v>
      </c>
      <c r="C20" s="24">
        <f ca="1">ROUND(D20*E20/10000,0)</f>
        <v>5</v>
      </c>
      <c r="D20" s="1036">
        <f ca="1">IF(C1="",'数据-汇总表'!E6,IF(INDIRECT("'数据-取费表'!c"&amp;$K$1)="住宅",INDIRECT("'数据-取费表'!s"&amp;$K$1),INDIRECT("'数据-取费表'!k"&amp;$K$1)+INDIRECT("'数据-取费表'!s"&amp;$K$1)))</f>
        <v>756.54000000000087</v>
      </c>
      <c r="E20" s="24">
        <f>'数据-取费表'!B28</f>
        <v>60</v>
      </c>
      <c r="F20" s="979"/>
      <c r="G20" s="15"/>
      <c r="H20" s="984"/>
      <c r="I20" s="984"/>
      <c r="J20" s="984"/>
      <c r="K20" s="985"/>
    </row>
    <row r="21" spans="1:33" s="978" customFormat="1" ht="13.5" customHeight="1">
      <c r="A21" s="964" t="s">
        <v>802</v>
      </c>
      <c r="B21" s="988" t="s">
        <v>2495</v>
      </c>
      <c r="C21" s="989">
        <f ca="1">C16+C17+C18</f>
        <v>10631</v>
      </c>
      <c r="D21" s="990"/>
      <c r="E21" s="325"/>
      <c r="F21" s="325"/>
      <c r="G21" s="140" t="s">
        <v>2496</v>
      </c>
      <c r="H21" s="982"/>
      <c r="I21" s="982"/>
      <c r="J21" s="982"/>
      <c r="K21" s="983"/>
    </row>
    <row r="22" spans="1:33" s="978" customFormat="1" ht="13.5" customHeight="1">
      <c r="A22" s="964" t="s">
        <v>2468</v>
      </c>
      <c r="B22" s="988" t="s">
        <v>2497</v>
      </c>
      <c r="C22" s="989">
        <f ca="1">ROUND(C21*F22,0)</f>
        <v>213</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391</v>
      </c>
      <c r="D23" s="325"/>
      <c r="E23" s="325"/>
      <c r="F23" s="991">
        <f>'数据-取费表'!B38</f>
        <v>0.01</v>
      </c>
      <c r="G23" s="8" t="s">
        <v>2500</v>
      </c>
      <c r="H23" s="971"/>
      <c r="I23" s="971"/>
      <c r="J23" s="971"/>
      <c r="K23" s="972"/>
    </row>
    <row r="24" spans="1:33" s="978" customFormat="1" ht="13.5" customHeight="1">
      <c r="A24" s="964" t="s">
        <v>2501</v>
      </c>
      <c r="B24" s="988" t="s">
        <v>2502</v>
      </c>
      <c r="C24" s="324">
        <f>ROUND(F24/(1+'数据-取费表'!C42),4)</f>
        <v>3.8600000000000002E-2</v>
      </c>
      <c r="D24" s="325" t="s">
        <v>15</v>
      </c>
      <c r="E24" s="325"/>
      <c r="F24" s="991">
        <f>'数据-取费表'!B48+'数据-取费表'!B49</f>
        <v>4.0500000000000001E-2</v>
      </c>
      <c r="G24" s="8" t="s">
        <v>2503</v>
      </c>
      <c r="H24" s="993"/>
      <c r="I24" s="993"/>
      <c r="J24" s="993"/>
      <c r="K24" s="994"/>
    </row>
    <row r="25" spans="1:33" s="978" customFormat="1" ht="13.5" customHeight="1">
      <c r="A25" s="964" t="s">
        <v>2504</v>
      </c>
      <c r="B25" s="990" t="s">
        <v>2505</v>
      </c>
      <c r="C25" s="1359">
        <f ca="1">C27</f>
        <v>317</v>
      </c>
      <c r="D25" s="324">
        <f ca="1">C26</f>
        <v>5.9499999999999997E-2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5.9499999999999997E-2</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317</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2508</v>
      </c>
      <c r="B28" s="2561" t="s">
        <v>2509</v>
      </c>
      <c r="C28" s="331">
        <f ca="1">C30</f>
        <v>562</v>
      </c>
      <c r="D28" s="324">
        <f ca="1">C29</f>
        <v>4.1500000000000002E-2</v>
      </c>
      <c r="E28" s="326" t="s">
        <v>15</v>
      </c>
      <c r="F28" s="332">
        <f ca="1">IF(C1="",'数据-取费表'!Q16,INDIRECT("'数据-取费表'!q"&amp;$K$1))</f>
        <v>0.05</v>
      </c>
      <c r="G28" s="992"/>
      <c r="H28" s="993"/>
      <c r="I28" s="993"/>
      <c r="J28" s="993"/>
      <c r="K28" s="994"/>
    </row>
    <row r="29" spans="1:33" s="335" customFormat="1" ht="13.5" customHeight="1">
      <c r="A29" s="974" t="s">
        <v>803</v>
      </c>
      <c r="B29" s="997" t="s">
        <v>2510</v>
      </c>
      <c r="C29" s="328">
        <f ca="1">ROUND((1+C24)*F28*'数据-取费表'!B24/'数据-取费表'!B20,4)</f>
        <v>4.1500000000000002E-2</v>
      </c>
      <c r="D29" s="328"/>
      <c r="E29" s="329"/>
      <c r="F29" s="334"/>
      <c r="G29" s="140" t="s">
        <v>2511</v>
      </c>
      <c r="H29" s="982"/>
      <c r="I29" s="982"/>
      <c r="J29" s="982"/>
      <c r="K29" s="983"/>
    </row>
    <row r="30" spans="1:33" s="335" customFormat="1" ht="13.5" customHeight="1">
      <c r="A30" s="974" t="s">
        <v>804</v>
      </c>
      <c r="B30" s="997" t="s">
        <v>2512</v>
      </c>
      <c r="C30" s="336">
        <f ca="1">ROUND((C21+C22+C23)*F28,0)</f>
        <v>562</v>
      </c>
      <c r="D30" s="328"/>
      <c r="E30" s="329"/>
      <c r="F30" s="334"/>
      <c r="G30" s="140"/>
      <c r="H30" s="982"/>
      <c r="I30" s="982"/>
      <c r="J30" s="982"/>
      <c r="K30" s="983"/>
    </row>
    <row r="31" spans="1:33" s="978" customFormat="1" ht="13.5" customHeight="1" thickBot="1">
      <c r="A31" s="2562" t="s">
        <v>2513</v>
      </c>
      <c r="B31" s="1008" t="s">
        <v>2514</v>
      </c>
      <c r="C31" s="1009">
        <f>ROUND(C4*F31/(1+'数据-取费表'!C42),0)</f>
        <v>2727</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31837</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0</v>
      </c>
      <c r="D5" s="1824" t="s">
        <v>1402</v>
      </c>
      <c r="E5" s="1296"/>
      <c r="F5" s="1297"/>
      <c r="G5" s="1853"/>
      <c r="H5" s="344">
        <v>1</v>
      </c>
      <c r="I5" s="345" t="s">
        <v>1401</v>
      </c>
      <c r="J5" s="1295">
        <f ca="1">J6+J10+J12</f>
        <v>0</v>
      </c>
      <c r="K5" s="1824" t="s">
        <v>1402</v>
      </c>
      <c r="L5" s="1296"/>
      <c r="M5" s="1297"/>
    </row>
    <row r="6" spans="1:37" ht="18" customHeight="1">
      <c r="A6" s="1294" t="s">
        <v>1035</v>
      </c>
      <c r="B6" s="3216" t="s">
        <v>1403</v>
      </c>
      <c r="C6" s="1299">
        <f ca="1">ROUND(F6*F8*F7*(1-F9)/10000,0)</f>
        <v>0</v>
      </c>
      <c r="D6" s="164" t="s">
        <v>3033</v>
      </c>
      <c r="E6" s="347" t="s">
        <v>1405</v>
      </c>
      <c r="F6" s="348">
        <f ca="1">INDIRECT("'数据-取费表'!u"&amp;$G$1)</f>
        <v>0</v>
      </c>
      <c r="G6" s="1853"/>
      <c r="H6" s="1294" t="s">
        <v>1035</v>
      </c>
      <c r="I6" s="3216" t="s">
        <v>1403</v>
      </c>
      <c r="J6" s="346">
        <f ca="1">ROUND(M6*M8*M7*(1-M9)/10000,0)</f>
        <v>0</v>
      </c>
      <c r="K6" s="164" t="s">
        <v>3032</v>
      </c>
      <c r="L6" s="347" t="s">
        <v>1405</v>
      </c>
      <c r="M6" s="348">
        <f ca="1">INDIRECT("'数据-取费表'!z"&amp;$G$1)</f>
        <v>0</v>
      </c>
    </row>
    <row r="7" spans="1:37" ht="18" customHeight="1">
      <c r="A7" s="1298"/>
      <c r="B7" s="3217"/>
      <c r="C7" s="1300"/>
      <c r="D7" s="352"/>
      <c r="E7" s="1301" t="s">
        <v>1406</v>
      </c>
      <c r="F7" s="348">
        <f ca="1">IF(INDIRECT("'数据-取费表'!ah"&amp;$G$1)="",INDIRECT("'数据-取费表'!k"&amp;$G$1),INDIRECT("'数据-取费表'!ah"&amp;$G$1))</f>
        <v>0</v>
      </c>
      <c r="G7" s="1853"/>
      <c r="H7" s="349"/>
      <c r="I7" s="3217"/>
      <c r="J7" s="351"/>
      <c r="K7" s="352"/>
      <c r="L7" s="347" t="s">
        <v>1406</v>
      </c>
      <c r="M7" s="348">
        <f ca="1">F7</f>
        <v>0</v>
      </c>
    </row>
    <row r="8" spans="1:37" ht="18" customHeight="1">
      <c r="A8" s="349"/>
      <c r="B8" s="3217"/>
      <c r="C8" s="351"/>
      <c r="D8" s="352"/>
      <c r="E8" s="347" t="s">
        <v>1407</v>
      </c>
      <c r="F8" s="348">
        <f ca="1">INDIRECT("'数据-取费表'!ai"&amp;$G$1)</f>
        <v>0</v>
      </c>
      <c r="G8" s="1853"/>
      <c r="H8" s="349"/>
      <c r="I8" s="3217"/>
      <c r="J8" s="351"/>
      <c r="K8" s="352"/>
      <c r="L8" s="347" t="s">
        <v>1407</v>
      </c>
      <c r="M8" s="348">
        <f ca="1">INDIRECT("'数据-取费表'!ai"&amp;$G$1)</f>
        <v>0</v>
      </c>
    </row>
    <row r="9" spans="1:37" ht="18" customHeight="1">
      <c r="A9" s="349"/>
      <c r="B9" s="3218"/>
      <c r="C9" s="351"/>
      <c r="D9" s="352"/>
      <c r="E9" s="347" t="s">
        <v>1408</v>
      </c>
      <c r="F9" s="357">
        <f ca="1">INDIRECT("'数据-取费表'!w"&amp;$G$1)</f>
        <v>0</v>
      </c>
      <c r="G9" s="1853"/>
      <c r="H9" s="349"/>
      <c r="I9" s="3218"/>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3042</v>
      </c>
      <c r="E10" s="358" t="s">
        <v>1410</v>
      </c>
      <c r="F10" s="1369"/>
      <c r="G10" s="1853"/>
      <c r="H10" s="1294" t="s">
        <v>1039</v>
      </c>
      <c r="I10" s="1825" t="s">
        <v>1409</v>
      </c>
      <c r="J10" s="346">
        <f ca="1">ROUND(IF(M10="押一",J6/12*M11,IF(M10="押二",J6/12*2*M11,IF(M10="押三",J6/12*3*M11,J11*M11))),0)</f>
        <v>0</v>
      </c>
      <c r="K10" s="1826" t="s">
        <v>3041</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ROUND(F17*(F43+INDIRECT("'数据-取费表'!S"&amp;$G$1))/10000,0)</f>
        <v>0</v>
      </c>
      <c r="D17" s="347" t="s">
        <v>1427</v>
      </c>
      <c r="E17" s="347" t="s">
        <v>1428</v>
      </c>
      <c r="F17" s="26">
        <f>'数据-取费表'!B35</f>
        <v>200</v>
      </c>
      <c r="G17" s="1856"/>
      <c r="H17" s="1204" t="s">
        <v>1035</v>
      </c>
      <c r="I17" s="347" t="s">
        <v>1429</v>
      </c>
      <c r="J17" s="24">
        <f ca="1">ROUND(IF(项目基本情况!B11="自然人",J5*M17,J18+J19+J20),1)</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IF(K19="按租金收入计税",ROUND(J5*M19,2),ROUND(C29*M19*0.7,2))</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ROUND(M20*M21/10000,2)</f>
        <v>0</v>
      </c>
      <c r="K20" s="370" t="s">
        <v>1442</v>
      </c>
      <c r="L20" s="347" t="s">
        <v>1443</v>
      </c>
      <c r="M20" s="371">
        <f>'数据-取费表'!B52</f>
        <v>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ROUND(J13*M23,1)</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0</v>
      </c>
      <c r="D34" s="370" t="s">
        <v>1442</v>
      </c>
      <c r="E34" s="347" t="s">
        <v>1443</v>
      </c>
      <c r="F34" s="371">
        <f>'数据-取费表'!B52</f>
        <v>4</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ROUND(C29*F36,1)</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ROUND(C13*F37,1)</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ROUND(F49*F51*F50*(1-F52)/10000,0)</f>
        <v>0</v>
      </c>
      <c r="D49" s="1279" t="s">
        <v>3034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371"/>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24.75" thickBot="1">
      <c r="A53" s="1408" t="s">
        <v>1137</v>
      </c>
      <c r="B53" s="1833" t="s">
        <v>1409</v>
      </c>
      <c r="C53" s="361">
        <f ca="1">ROUND(IF(F53="押一",C49/12*F11,IF(F53="押二",C49/12*2*F11,IF(F53="押三",C49/12*3*F11,C54*F11))),0)</f>
        <v>0</v>
      </c>
      <c r="D53" s="1826" t="s">
        <v>3041</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14" t="s">
        <v>1548</v>
      </c>
      <c r="L53" s="3215"/>
      <c r="O53" s="1886" t="s">
        <v>1046</v>
      </c>
      <c r="P53" s="1887" t="s">
        <v>1549</v>
      </c>
      <c r="Q53" s="1888" t="e">
        <f ca="1">Q47+Q48</f>
        <v>#DIV/0!</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v>
      </c>
      <c r="D62" s="1187" t="s">
        <v>1497</v>
      </c>
      <c r="E62" s="1172" t="s">
        <v>1498</v>
      </c>
      <c r="F62" s="371">
        <f t="shared" si="0"/>
        <v>4</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ROUND(C48*F66,1)</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c r="O70" s="1896" t="s">
        <v>1049</v>
      </c>
      <c r="P70" s="1936" t="s">
        <v>1585</v>
      </c>
      <c r="Q70" s="1888">
        <f ca="1">C13</f>
        <v>0</v>
      </c>
      <c r="R70" s="1888" t="s">
        <v>1529</v>
      </c>
    </row>
    <row r="71" spans="1:18" s="1844" customFormat="1" ht="13.5" thickBot="1">
      <c r="A71" s="1193" t="s">
        <v>1033</v>
      </c>
      <c r="B71" s="1194" t="s">
        <v>1487</v>
      </c>
      <c r="C71" s="382" t="e">
        <f ca="1">ROUND(C68*10000/F71,0)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216" t="s">
        <v>1403</v>
      </c>
      <c r="C6" s="1299">
        <f ca="1">ROUND(F6*F8*F7*(1-F9),0)</f>
        <v>0</v>
      </c>
      <c r="D6" s="164" t="s">
        <v>3030</v>
      </c>
      <c r="E6" s="347" t="s">
        <v>1405</v>
      </c>
      <c r="F6" s="348">
        <f ca="1">INDIRECT("'数据-取费表'!u"&amp;$G$1)</f>
        <v>0</v>
      </c>
      <c r="G6" s="1853"/>
      <c r="H6" s="1294" t="s">
        <v>1035</v>
      </c>
      <c r="I6" s="3216" t="s">
        <v>1403</v>
      </c>
      <c r="J6" s="346">
        <f ca="1">ROUND(M6*M8*M7*(1-M9),0)</f>
        <v>0</v>
      </c>
      <c r="K6" s="1836" t="s">
        <v>3031</v>
      </c>
      <c r="L6" s="347" t="s">
        <v>1405</v>
      </c>
      <c r="M6" s="348">
        <f ca="1">INDIRECT("'数据-取费表'!z"&amp;$G$1)</f>
        <v>0</v>
      </c>
    </row>
    <row r="7" spans="1:37" ht="18" customHeight="1">
      <c r="A7" s="1298"/>
      <c r="B7" s="3217"/>
      <c r="C7" s="1300"/>
      <c r="D7" s="352"/>
      <c r="E7" s="1301" t="s">
        <v>1406</v>
      </c>
      <c r="F7" s="348">
        <f ca="1">IF(INDIRECT("'数据-取费表'!ah"&amp;$G$1)="",INDIRECT("'数据-取费表'!k"&amp;$G$1),INDIRECT("'数据-取费表'!ah"&amp;$G$1))</f>
        <v>0</v>
      </c>
      <c r="G7" s="1853"/>
      <c r="H7" s="349"/>
      <c r="I7" s="3217"/>
      <c r="J7" s="351"/>
      <c r="K7" s="352"/>
      <c r="L7" s="347" t="s">
        <v>1406</v>
      </c>
      <c r="M7" s="348">
        <f ca="1">F7</f>
        <v>0</v>
      </c>
    </row>
    <row r="8" spans="1:37" ht="18" customHeight="1">
      <c r="A8" s="349"/>
      <c r="B8" s="3217"/>
      <c r="C8" s="351"/>
      <c r="D8" s="352"/>
      <c r="E8" s="347" t="s">
        <v>1407</v>
      </c>
      <c r="F8" s="348">
        <f ca="1">INDIRECT("'数据-取费表'!ai"&amp;$G$1)</f>
        <v>0</v>
      </c>
      <c r="G8" s="1853"/>
      <c r="H8" s="349"/>
      <c r="I8" s="3217"/>
      <c r="J8" s="351"/>
      <c r="K8" s="352"/>
      <c r="L8" s="347" t="s">
        <v>1407</v>
      </c>
      <c r="M8" s="348">
        <f ca="1">INDIRECT("'数据-取费表'!ai"&amp;$G$1)</f>
        <v>0</v>
      </c>
    </row>
    <row r="9" spans="1:37" ht="18" customHeight="1">
      <c r="A9" s="349"/>
      <c r="B9" s="3218"/>
      <c r="C9" s="351"/>
      <c r="D9" s="352"/>
      <c r="E9" s="347" t="s">
        <v>1408</v>
      </c>
      <c r="F9" s="357">
        <f ca="1">INDIRECT("'数据-取费表'!w"&amp;$G$1)</f>
        <v>0</v>
      </c>
      <c r="G9" s="1853"/>
      <c r="H9" s="349"/>
      <c r="I9" s="3218"/>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3041</v>
      </c>
      <c r="E10" s="358" t="s">
        <v>1410</v>
      </c>
      <c r="F10" s="1369"/>
      <c r="G10" s="1853"/>
      <c r="H10" s="1294" t="s">
        <v>1039</v>
      </c>
      <c r="I10" s="1825" t="s">
        <v>1409</v>
      </c>
      <c r="J10" s="346">
        <f ca="1">ROUND(IF(M10="押一",J6/12*M11,IF(M10="押二",J6/12*2*M11,IF(M10="押三",J6/12*3*M11,J11*M11))),0)</f>
        <v>0</v>
      </c>
      <c r="K10" s="1837" t="s">
        <v>3043</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4</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3044</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14" t="s">
        <v>1548</v>
      </c>
      <c r="L53" s="3215"/>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4</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2525</v>
      </c>
      <c r="B1" s="2564"/>
      <c r="C1" s="2564"/>
      <c r="D1" s="2564"/>
      <c r="E1" s="2565"/>
    </row>
    <row r="2" spans="1:6" ht="15.75">
      <c r="A2" s="2566" t="s">
        <v>2328</v>
      </c>
      <c r="B2" s="2567">
        <f ca="1">SUMIF(B6:B13,"&lt;&gt;#ref!",B6:B13)</f>
        <v>0</v>
      </c>
      <c r="C2" s="2568" t="s">
        <v>2518</v>
      </c>
      <c r="D2" s="2569" t="s">
        <v>2519</v>
      </c>
      <c r="E2" s="2570">
        <f>SUM(E6:E13)</f>
        <v>0</v>
      </c>
    </row>
    <row r="3" spans="1:6" ht="15.75">
      <c r="A3" s="2566" t="s">
        <v>1395</v>
      </c>
      <c r="B3" s="2567" t="e">
        <f ca="1">ROUND(B2*10000/E2,0)</f>
        <v>#DIV/0!</v>
      </c>
      <c r="C3" s="2568" t="s">
        <v>2526</v>
      </c>
      <c r="D3" s="2571"/>
      <c r="E3" s="2572"/>
    </row>
    <row r="4" spans="1:6" ht="15.75">
      <c r="A4" s="2573"/>
      <c r="B4" s="2571"/>
      <c r="C4" s="2571"/>
      <c r="D4" s="2571"/>
      <c r="E4" s="2572"/>
    </row>
    <row r="5" spans="1:6" ht="15">
      <c r="A5" s="2574" t="s">
        <v>2520</v>
      </c>
      <c r="B5" s="3219" t="s">
        <v>2521</v>
      </c>
      <c r="C5" s="3219"/>
      <c r="D5" s="2575"/>
      <c r="E5" s="2576" t="s">
        <v>2522</v>
      </c>
      <c r="F5" s="2577" t="s">
        <v>2523</v>
      </c>
    </row>
    <row r="6" spans="1:6">
      <c r="A6" s="2578">
        <f>'数据-取费表'!AN6</f>
        <v>0</v>
      </c>
      <c r="B6" s="2577" t="e">
        <f ca="1">IF(F6="是",'数据-取费表'!AO6,0)</f>
        <v>#REF!</v>
      </c>
      <c r="C6" s="2568" t="s">
        <v>2518</v>
      </c>
      <c r="D6" s="2571"/>
      <c r="E6" s="2579">
        <f>IF(OR(A6=0,F6="否"),0,'数据-取费表'!K6+'数据-取费表'!S6)</f>
        <v>0</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6" t="s">
        <v>1076</v>
      </c>
      <c r="B1" s="3237"/>
      <c r="C1" s="3238"/>
      <c r="D1" s="3239">
        <f>SUM(I10,I15,I20,I21,I23)</f>
        <v>0</v>
      </c>
      <c r="E1" s="3239"/>
      <c r="F1" s="3239"/>
      <c r="G1" s="3239"/>
      <c r="H1" s="3239"/>
      <c r="I1" s="3240"/>
    </row>
    <row r="2" spans="1:9">
      <c r="A2" s="3226" t="s">
        <v>1077</v>
      </c>
      <c r="B2" s="3227" t="s">
        <v>1078</v>
      </c>
      <c r="C2" s="3227"/>
      <c r="D2" s="1304" t="s">
        <v>1079</v>
      </c>
      <c r="E2" s="1304" t="s">
        <v>1080</v>
      </c>
      <c r="F2" s="1304" t="s">
        <v>1081</v>
      </c>
      <c r="G2" s="1304" t="s">
        <v>1082</v>
      </c>
      <c r="H2" s="1304" t="s">
        <v>1083</v>
      </c>
      <c r="I2" s="1305" t="s">
        <v>1084</v>
      </c>
    </row>
    <row r="3" spans="1:9">
      <c r="A3" s="3226"/>
      <c r="B3" s="3227" t="s">
        <v>1085</v>
      </c>
      <c r="C3" s="3227"/>
      <c r="D3" s="1306"/>
      <c r="E3" s="1304"/>
      <c r="F3" s="1307"/>
      <c r="G3" s="1307"/>
      <c r="H3" s="1308"/>
      <c r="I3" s="1309">
        <f>ROUND(D3*E3*F3*G3*H3/10000,0)</f>
        <v>0</v>
      </c>
    </row>
    <row r="4" spans="1:9">
      <c r="A4" s="3226"/>
      <c r="B4" s="3227" t="s">
        <v>1086</v>
      </c>
      <c r="C4" s="3227"/>
      <c r="D4" s="1306"/>
      <c r="E4" s="1304"/>
      <c r="F4" s="1307"/>
      <c r="G4" s="1307"/>
      <c r="H4" s="1308"/>
      <c r="I4" s="1309">
        <f t="shared" ref="I4:I9" si="0">ROUND(D4*E4*F4*G4*H4/10000,0)</f>
        <v>0</v>
      </c>
    </row>
    <row r="5" spans="1:9">
      <c r="A5" s="3226"/>
      <c r="B5" s="3227" t="s">
        <v>1087</v>
      </c>
      <c r="C5" s="3227"/>
      <c r="D5" s="1306"/>
      <c r="E5" s="1304"/>
      <c r="F5" s="1307"/>
      <c r="G5" s="1307"/>
      <c r="H5" s="1308"/>
      <c r="I5" s="1309">
        <f t="shared" si="0"/>
        <v>0</v>
      </c>
    </row>
    <row r="6" spans="1:9">
      <c r="A6" s="3226"/>
      <c r="B6" s="3227" t="s">
        <v>1088</v>
      </c>
      <c r="C6" s="3227"/>
      <c r="D6" s="1306"/>
      <c r="E6" s="1304"/>
      <c r="F6" s="1307"/>
      <c r="G6" s="1307"/>
      <c r="H6" s="1308"/>
      <c r="I6" s="1309">
        <f t="shared" si="0"/>
        <v>0</v>
      </c>
    </row>
    <row r="7" spans="1:9">
      <c r="A7" s="3226"/>
      <c r="B7" s="3227" t="s">
        <v>1089</v>
      </c>
      <c r="C7" s="3227"/>
      <c r="D7" s="1306"/>
      <c r="E7" s="1304"/>
      <c r="F7" s="1307"/>
      <c r="G7" s="1307"/>
      <c r="H7" s="1308"/>
      <c r="I7" s="1309">
        <f t="shared" si="0"/>
        <v>0</v>
      </c>
    </row>
    <row r="8" spans="1:9">
      <c r="A8" s="3226"/>
      <c r="B8" s="3227" t="s">
        <v>1090</v>
      </c>
      <c r="C8" s="3227"/>
      <c r="D8" s="1306"/>
      <c r="E8" s="1304"/>
      <c r="F8" s="1307"/>
      <c r="G8" s="1307"/>
      <c r="H8" s="1308"/>
      <c r="I8" s="1309">
        <f t="shared" si="0"/>
        <v>0</v>
      </c>
    </row>
    <row r="9" spans="1:9">
      <c r="A9" s="3226"/>
      <c r="B9" s="3227" t="s">
        <v>1091</v>
      </c>
      <c r="C9" s="3227"/>
      <c r="D9" s="1306"/>
      <c r="E9" s="1304"/>
      <c r="F9" s="1307"/>
      <c r="G9" s="1307"/>
      <c r="H9" s="1308"/>
      <c r="I9" s="1309">
        <f t="shared" si="0"/>
        <v>0</v>
      </c>
    </row>
    <row r="10" spans="1:9">
      <c r="A10" s="3226"/>
      <c r="B10" s="3228" t="s">
        <v>1092</v>
      </c>
      <c r="C10" s="3228"/>
      <c r="D10" s="1310"/>
      <c r="E10" s="1310" t="e">
        <f>ROUND(D1*10000/D10/H9,0)</f>
        <v>#DIV/0!</v>
      </c>
      <c r="F10" s="1311"/>
      <c r="G10" s="1311"/>
      <c r="H10" s="1312"/>
      <c r="I10" s="1313">
        <f>SUM(I3:I9)</f>
        <v>0</v>
      </c>
    </row>
    <row r="11" spans="1:9" ht="14.25">
      <c r="A11" s="3226" t="s">
        <v>1093</v>
      </c>
      <c r="B11" s="3227" t="s">
        <v>1094</v>
      </c>
      <c r="C11" s="3227"/>
      <c r="D11" s="1306" t="s">
        <v>1095</v>
      </c>
      <c r="E11" s="1306" t="s">
        <v>1096</v>
      </c>
      <c r="F11" s="1307" t="s">
        <v>1097</v>
      </c>
      <c r="G11" s="1307" t="s">
        <v>1083</v>
      </c>
      <c r="H11" s="1314" t="s">
        <v>1098</v>
      </c>
      <c r="I11" s="1305" t="s">
        <v>1084</v>
      </c>
    </row>
    <row r="12" spans="1:9">
      <c r="A12" s="3226"/>
      <c r="B12" s="3227" t="s">
        <v>1099</v>
      </c>
      <c r="C12" s="3227"/>
      <c r="D12" s="1306"/>
      <c r="E12" s="1306"/>
      <c r="F12" s="1307"/>
      <c r="G12" s="1308"/>
      <c r="H12" s="1315"/>
      <c r="I12" s="1305">
        <f>ROUND(D12*E12*F12*G12/10000,0)</f>
        <v>0</v>
      </c>
    </row>
    <row r="13" spans="1:9">
      <c r="A13" s="3226"/>
      <c r="B13" s="3227" t="s">
        <v>1100</v>
      </c>
      <c r="C13" s="3227"/>
      <c r="D13" s="1306"/>
      <c r="E13" s="1306"/>
      <c r="F13" s="1307"/>
      <c r="G13" s="1308"/>
      <c r="H13" s="1315"/>
      <c r="I13" s="1305">
        <f>ROUND(D13*E13*F13*G13/10000,0)</f>
        <v>0</v>
      </c>
    </row>
    <row r="14" spans="1:9">
      <c r="A14" s="3226"/>
      <c r="B14" s="3227" t="s">
        <v>1101</v>
      </c>
      <c r="C14" s="3227"/>
      <c r="D14" s="1306"/>
      <c r="E14" s="1306"/>
      <c r="F14" s="1307"/>
      <c r="G14" s="1308"/>
      <c r="H14" s="1315"/>
      <c r="I14" s="1305">
        <f>ROUND(D14*E14*F14*G14/10000,0)</f>
        <v>0</v>
      </c>
    </row>
    <row r="15" spans="1:9">
      <c r="A15" s="3226"/>
      <c r="B15" s="3228" t="s">
        <v>1092</v>
      </c>
      <c r="C15" s="3228"/>
      <c r="D15" s="1310"/>
      <c r="E15" s="1310">
        <f>SUM(E12:E14)</f>
        <v>0</v>
      </c>
      <c r="F15" s="1311"/>
      <c r="G15" s="1308"/>
      <c r="H15" s="1315"/>
      <c r="I15" s="1316">
        <f>SUM(I12:I14)</f>
        <v>0</v>
      </c>
    </row>
    <row r="16" spans="1:9" ht="24">
      <c r="A16" s="3226" t="s">
        <v>1102</v>
      </c>
      <c r="B16" s="3227" t="s">
        <v>1103</v>
      </c>
      <c r="C16" s="3227"/>
      <c r="D16" s="1306" t="s">
        <v>1079</v>
      </c>
      <c r="E16" s="1317" t="s">
        <v>1104</v>
      </c>
      <c r="F16" s="1307" t="s">
        <v>1105</v>
      </c>
      <c r="G16" s="1308" t="s">
        <v>1083</v>
      </c>
      <c r="H16" s="1314" t="s">
        <v>1098</v>
      </c>
      <c r="I16" s="1305" t="s">
        <v>1084</v>
      </c>
    </row>
    <row r="17" spans="1:9" ht="14.25">
      <c r="A17" s="3226"/>
      <c r="B17" s="3227" t="s">
        <v>1106</v>
      </c>
      <c r="C17" s="3227"/>
      <c r="D17" s="1306"/>
      <c r="E17" s="1306"/>
      <c r="F17" s="1307"/>
      <c r="G17" s="1308"/>
      <c r="H17" s="1318"/>
      <c r="I17" s="1319">
        <f>ROUND(D17*E17*F17*G17/10000,0)</f>
        <v>0</v>
      </c>
    </row>
    <row r="18" spans="1:9" ht="14.25">
      <c r="A18" s="3226"/>
      <c r="B18" s="3227" t="s">
        <v>1107</v>
      </c>
      <c r="C18" s="3227"/>
      <c r="D18" s="1306"/>
      <c r="E18" s="1306"/>
      <c r="F18" s="1307"/>
      <c r="G18" s="1308"/>
      <c r="H18" s="1318"/>
      <c r="I18" s="1319">
        <f>ROUND(D18*E18*F18*G18/10000,0)</f>
        <v>0</v>
      </c>
    </row>
    <row r="19" spans="1:9" ht="14.25">
      <c r="A19" s="3226"/>
      <c r="B19" s="3227" t="s">
        <v>1108</v>
      </c>
      <c r="C19" s="3227"/>
      <c r="D19" s="1306"/>
      <c r="E19" s="1306"/>
      <c r="F19" s="1307"/>
      <c r="G19" s="1308"/>
      <c r="H19" s="1318"/>
      <c r="I19" s="1319">
        <f>ROUND(D19*E19*F19*G19/10000,0)</f>
        <v>0</v>
      </c>
    </row>
    <row r="20" spans="1:9">
      <c r="A20" s="3226"/>
      <c r="B20" s="3228" t="s">
        <v>1092</v>
      </c>
      <c r="C20" s="3228"/>
      <c r="D20" s="1310">
        <f>SUM(D17:D19)</f>
        <v>0</v>
      </c>
      <c r="E20" s="1310"/>
      <c r="F20" s="1311"/>
      <c r="G20" s="1308"/>
      <c r="H20" s="1315"/>
      <c r="I20" s="1316">
        <f>SUM(I17:I19)</f>
        <v>0</v>
      </c>
    </row>
    <row r="21" spans="1:9">
      <c r="A21" s="3226" t="s">
        <v>1109</v>
      </c>
      <c r="B21" s="3229"/>
      <c r="C21" s="3229"/>
      <c r="D21" s="3229"/>
      <c r="E21" s="3229"/>
      <c r="F21" s="3229"/>
      <c r="G21" s="3229"/>
      <c r="H21" s="1767">
        <v>0.1</v>
      </c>
      <c r="I21" s="1313">
        <f>ROUND(I10*H21,0)</f>
        <v>0</v>
      </c>
    </row>
    <row r="22" spans="1:9" ht="14.25">
      <c r="A22" s="3230" t="s">
        <v>1110</v>
      </c>
      <c r="B22" s="3231"/>
      <c r="C22" s="3232"/>
      <c r="D22" s="1320" t="s">
        <v>1111</v>
      </c>
      <c r="E22" s="1320" t="s">
        <v>1112</v>
      </c>
      <c r="F22" s="1321" t="s">
        <v>1113</v>
      </c>
      <c r="G22" s="1321" t="s">
        <v>1114</v>
      </c>
      <c r="H22" s="1314" t="s">
        <v>1115</v>
      </c>
      <c r="I22" s="1305" t="s">
        <v>1116</v>
      </c>
    </row>
    <row r="23" spans="1:9" ht="14.25" thickBot="1">
      <c r="A23" s="3233"/>
      <c r="B23" s="3234"/>
      <c r="C23" s="3235"/>
      <c r="D23" s="1322"/>
      <c r="E23" s="1322"/>
      <c r="F23" s="1322"/>
      <c r="G23" s="1323"/>
      <c r="H23" s="1324"/>
      <c r="I23" s="1325">
        <f>ROUND(E23*D23*F23*(1-G23)/10000,0)</f>
        <v>0</v>
      </c>
    </row>
    <row r="26" spans="1:9">
      <c r="A26" s="1326" t="s">
        <v>1117</v>
      </c>
      <c r="B26" s="1326"/>
      <c r="C26" s="1326"/>
      <c r="D26" s="1326"/>
      <c r="E26" s="3223">
        <f>C27-C30-C31-C32</f>
        <v>0</v>
      </c>
      <c r="F26" s="3223"/>
      <c r="G26" s="3223"/>
      <c r="H26" s="1739" t="s">
        <v>1340</v>
      </c>
    </row>
    <row r="27" spans="1:9">
      <c r="A27" s="1327">
        <v>1</v>
      </c>
      <c r="B27" s="1328" t="s">
        <v>1118</v>
      </c>
      <c r="C27" s="1328">
        <f>C28+C29</f>
        <v>0</v>
      </c>
      <c r="D27" s="1328"/>
      <c r="E27" s="3224"/>
      <c r="F27" s="3224"/>
      <c r="G27" s="3224"/>
    </row>
    <row r="28" spans="1:9">
      <c r="A28" s="1329" t="s">
        <v>1119</v>
      </c>
      <c r="B28" s="1328" t="s">
        <v>1120</v>
      </c>
      <c r="C28" s="1328"/>
      <c r="D28" s="1328"/>
      <c r="E28" s="3224"/>
      <c r="F28" s="3224"/>
      <c r="G28" s="322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5"/>
      <c r="F32" s="3225"/>
      <c r="G32" s="3225"/>
    </row>
    <row r="33" spans="1:7" hidden="1">
      <c r="A33" s="3220" t="s">
        <v>1129</v>
      </c>
      <c r="B33" s="3221"/>
      <c r="C33" s="3221"/>
      <c r="D33" s="3222"/>
      <c r="E33" s="3223"/>
      <c r="F33" s="3223"/>
      <c r="G33" s="3223"/>
    </row>
    <row r="34" spans="1:7" hidden="1">
      <c r="A34" s="1331">
        <v>1</v>
      </c>
      <c r="B34" s="1328" t="s">
        <v>1130</v>
      </c>
      <c r="C34" s="1328"/>
      <c r="D34" s="1328"/>
      <c r="E34" s="3224"/>
      <c r="F34" s="3224"/>
      <c r="G34" s="3224"/>
    </row>
    <row r="35" spans="1:7" hidden="1">
      <c r="A35" s="1331">
        <v>2</v>
      </c>
      <c r="B35" s="1328" t="s">
        <v>1131</v>
      </c>
      <c r="C35" s="1328"/>
      <c r="D35" s="1328"/>
      <c r="E35" s="3224"/>
      <c r="F35" s="3224"/>
      <c r="G35" s="3224"/>
    </row>
    <row r="36" spans="1:7" hidden="1">
      <c r="A36" s="1331">
        <v>3</v>
      </c>
      <c r="B36" s="1328" t="s">
        <v>1132</v>
      </c>
      <c r="C36" s="1328"/>
      <c r="D36" s="1328"/>
      <c r="E36" s="3224"/>
      <c r="F36" s="3224"/>
      <c r="G36" s="3224"/>
    </row>
    <row r="37" spans="1:7" hidden="1">
      <c r="A37" s="1331">
        <v>4</v>
      </c>
      <c r="B37" s="1328" t="s">
        <v>1133</v>
      </c>
      <c r="C37" s="1328"/>
      <c r="D37" s="1328"/>
      <c r="E37" s="3224"/>
      <c r="F37" s="3224"/>
      <c r="G37" s="3224"/>
    </row>
    <row r="38" spans="1:7" hidden="1">
      <c r="A38" s="3220" t="s">
        <v>1134</v>
      </c>
      <c r="B38" s="3221"/>
      <c r="C38" s="3221"/>
      <c r="D38" s="3222"/>
      <c r="E38" s="3223"/>
      <c r="F38" s="3223"/>
      <c r="G38" s="322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4" t="s">
        <v>2641</v>
      </c>
      <c r="C1" s="1636" t="s">
        <v>2529</v>
      </c>
      <c r="D1" s="1623"/>
      <c r="E1" s="2659"/>
      <c r="F1" s="2586"/>
      <c r="G1" s="1633" t="s">
        <v>2642</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2328</v>
      </c>
      <c r="B2" s="1421" t="e">
        <f ca="1">IF(C2="——",ROUND(C49*D3/10000,0),ROUND(C49*D3/10000,0)-D2)</f>
        <v>#DIV/0!</v>
      </c>
      <c r="C2" s="2588"/>
      <c r="D2" s="1368" t="e">
        <f ca="1">SUMIF(INDIRECT("'"&amp;F2&amp;"'"&amp;"!A:A"),"承租人权益价值",INDIRECT("'"&amp;F2&amp;"'"&amp;"!c:c"))</f>
        <v>#REF!</v>
      </c>
      <c r="E2" s="2589" t="s">
        <v>2329</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2330</v>
      </c>
      <c r="B3" s="609" t="e">
        <f ca="1">IF(C2="——",C49,ROUND(B2*10000/D3,0))</f>
        <v>#DIV/0!</v>
      </c>
      <c r="C3" s="400" t="s">
        <v>2643</v>
      </c>
      <c r="D3" s="399">
        <f>IF(D1="",'数据-汇总表'!E3,SUMIF('数据-汇总表'!$C19:$C33,D1,'数据-汇总表'!$E19:$E33))</f>
        <v>43189.020000000004</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2644</v>
      </c>
      <c r="B4" s="402"/>
      <c r="C4" s="3173" t="s">
        <v>2645</v>
      </c>
      <c r="D4" s="3186"/>
      <c r="E4" s="3187" t="s">
        <v>2646</v>
      </c>
      <c r="F4" s="3188"/>
      <c r="G4" s="3173" t="s">
        <v>2647</v>
      </c>
      <c r="H4" s="3186"/>
      <c r="I4" s="3173" t="s">
        <v>2648</v>
      </c>
      <c r="J4" s="3186"/>
      <c r="K4" s="610" t="s">
        <v>2649</v>
      </c>
      <c r="L4" s="1133"/>
      <c r="M4" s="1134"/>
      <c r="N4" s="1134"/>
      <c r="O4" s="1134"/>
      <c r="P4" s="3189" t="s">
        <v>2650</v>
      </c>
      <c r="Q4" s="3190"/>
      <c r="R4" s="3195" t="s">
        <v>2646</v>
      </c>
      <c r="S4" s="3196"/>
      <c r="T4" s="3195" t="s">
        <v>2647</v>
      </c>
      <c r="U4" s="3196"/>
      <c r="V4" s="3182" t="s">
        <v>2648</v>
      </c>
      <c r="W4" s="3182"/>
      <c r="X4" s="1815"/>
      <c r="Y4" s="3195" t="s">
        <v>2650</v>
      </c>
      <c r="Z4" s="3196"/>
      <c r="AA4" s="3183" t="s">
        <v>2646</v>
      </c>
      <c r="AB4" s="3182" t="s">
        <v>2647</v>
      </c>
      <c r="AC4" s="3183" t="s">
        <v>2648</v>
      </c>
    </row>
    <row r="5" spans="1:29" ht="15">
      <c r="A5" s="404"/>
      <c r="B5" s="405"/>
      <c r="C5" s="3208" t="s">
        <v>2541</v>
      </c>
      <c r="D5" s="3204"/>
      <c r="E5" s="3250" t="s">
        <v>2542</v>
      </c>
      <c r="F5" s="3213"/>
      <c r="G5" s="3208" t="s">
        <v>2543</v>
      </c>
      <c r="H5" s="3204"/>
      <c r="I5" s="3208" t="s">
        <v>2544</v>
      </c>
      <c r="J5" s="3204"/>
      <c r="K5" s="610"/>
      <c r="L5" s="1133"/>
      <c r="M5" s="1134"/>
      <c r="N5" s="1134"/>
      <c r="O5" s="1134"/>
      <c r="P5" s="3191"/>
      <c r="Q5" s="3192"/>
      <c r="R5" s="3197"/>
      <c r="S5" s="3198"/>
      <c r="T5" s="3197"/>
      <c r="U5" s="3198"/>
      <c r="V5" s="3182"/>
      <c r="W5" s="3182"/>
      <c r="X5" s="1815"/>
      <c r="Y5" s="3197"/>
      <c r="Z5" s="3198"/>
      <c r="AA5" s="3184"/>
      <c r="AB5" s="3182"/>
      <c r="AC5" s="3184"/>
    </row>
    <row r="6" spans="1:29" ht="15.75" thickBot="1">
      <c r="A6" s="406"/>
      <c r="B6" s="407"/>
      <c r="C6" s="3209" t="s">
        <v>2545</v>
      </c>
      <c r="D6" s="3202"/>
      <c r="E6" s="3249" t="s">
        <v>2545</v>
      </c>
      <c r="F6" s="3211"/>
      <c r="G6" s="3209" t="s">
        <v>2545</v>
      </c>
      <c r="H6" s="3202"/>
      <c r="I6" s="3209" t="s">
        <v>2545</v>
      </c>
      <c r="J6" s="3202"/>
      <c r="K6" s="610" t="s">
        <v>2546</v>
      </c>
      <c r="L6" s="1133"/>
      <c r="M6" s="1134"/>
      <c r="N6" s="1134"/>
      <c r="O6" s="1134"/>
      <c r="P6" s="3193"/>
      <c r="Q6" s="3194"/>
      <c r="R6" s="3197"/>
      <c r="S6" s="3198"/>
      <c r="T6" s="3199"/>
      <c r="U6" s="3200"/>
      <c r="V6" s="3182"/>
      <c r="W6" s="3182"/>
      <c r="X6" s="1815"/>
      <c r="Y6" s="3199"/>
      <c r="Z6" s="3200"/>
      <c r="AA6" s="3185"/>
      <c r="AB6" s="3182"/>
      <c r="AC6" s="3185"/>
    </row>
    <row r="7" spans="1:29" s="117" customFormat="1" ht="15.75" thickBot="1">
      <c r="A7" s="408" t="s">
        <v>2547</v>
      </c>
      <c r="B7" s="409"/>
      <c r="C7" s="410">
        <f>'数据-取费表'!B2</f>
        <v>43262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5" t="s">
        <v>2548</v>
      </c>
      <c r="Q7" s="3207"/>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5" t="s">
        <v>2551</v>
      </c>
      <c r="Q8" s="3206"/>
      <c r="R8" s="770" t="s">
        <v>17</v>
      </c>
      <c r="S8" s="771">
        <f t="shared" si="0"/>
        <v>0</v>
      </c>
      <c r="T8" s="770" t="s">
        <v>17</v>
      </c>
      <c r="U8" s="771">
        <f t="shared" si="1"/>
        <v>0</v>
      </c>
      <c r="V8" s="770" t="s">
        <v>17</v>
      </c>
      <c r="W8" s="771">
        <f t="shared" si="2"/>
        <v>0</v>
      </c>
      <c r="X8" s="772"/>
      <c r="Y8" s="3205" t="s">
        <v>2551</v>
      </c>
      <c r="Z8" s="3206"/>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5" t="s">
        <v>2554</v>
      </c>
      <c r="Q9" s="1797"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5"/>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5"/>
      <c r="Q11" s="1797"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5"/>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5"/>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5"/>
      <c r="Q14" s="1797">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3" t="s">
        <v>2559</v>
      </c>
      <c r="Q15" s="1812" t="str">
        <f t="shared" si="6"/>
        <v>商业繁华度</v>
      </c>
      <c r="R15" s="774" t="s">
        <v>17</v>
      </c>
      <c r="S15" s="775">
        <f t="shared" si="0"/>
        <v>100</v>
      </c>
      <c r="T15" s="774" t="s">
        <v>17</v>
      </c>
      <c r="U15" s="775">
        <f t="shared" si="1"/>
        <v>100</v>
      </c>
      <c r="V15" s="774" t="s">
        <v>17</v>
      </c>
      <c r="W15" s="775">
        <f t="shared" si="2"/>
        <v>100</v>
      </c>
      <c r="X15" s="1815"/>
      <c r="Y15" s="3178" t="s">
        <v>2559</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44"/>
      <c r="Q16" s="1812"/>
      <c r="R16" s="774"/>
      <c r="S16" s="775"/>
      <c r="T16" s="774"/>
      <c r="U16" s="775"/>
      <c r="V16" s="774"/>
      <c r="W16" s="775"/>
      <c r="X16" s="1815"/>
      <c r="Y16" s="3179"/>
      <c r="Z16" s="1816"/>
      <c r="AA16" s="1813">
        <v>1</v>
      </c>
      <c r="AB16" s="1813">
        <v>1</v>
      </c>
      <c r="AC16" s="1813">
        <v>1</v>
      </c>
    </row>
    <row r="17" spans="1:29" ht="85.5">
      <c r="A17" s="428"/>
      <c r="B17" s="451" t="s">
        <v>2096</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4"/>
      <c r="Q17" s="1812" t="str">
        <f>B17</f>
        <v>交通便捷度</v>
      </c>
      <c r="R17" s="774" t="s">
        <v>17</v>
      </c>
      <c r="S17" s="775">
        <f>F17</f>
        <v>100</v>
      </c>
      <c r="T17" s="774" t="s">
        <v>17</v>
      </c>
      <c r="U17" s="775">
        <f>H17</f>
        <v>100</v>
      </c>
      <c r="V17" s="774" t="s">
        <v>17</v>
      </c>
      <c r="W17" s="775">
        <f>J17</f>
        <v>100</v>
      </c>
      <c r="X17" s="1815"/>
      <c r="Y17" s="3179"/>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34"/>
      <c r="P18" s="3244"/>
      <c r="Q18" s="1812"/>
      <c r="R18" s="774"/>
      <c r="S18" s="775"/>
      <c r="T18" s="774"/>
      <c r="U18" s="775"/>
      <c r="V18" s="774"/>
      <c r="W18" s="775"/>
      <c r="X18" s="1815"/>
      <c r="Y18" s="3179"/>
      <c r="Z18" s="1816"/>
      <c r="AA18" s="1813">
        <v>1</v>
      </c>
      <c r="AB18" s="1813">
        <v>1</v>
      </c>
      <c r="AC18" s="1813">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4"/>
      <c r="Q19" s="1812" t="str">
        <f>B19</f>
        <v>公共配套设施</v>
      </c>
      <c r="R19" s="774" t="s">
        <v>17</v>
      </c>
      <c r="S19" s="775">
        <f>F19</f>
        <v>100</v>
      </c>
      <c r="T19" s="774" t="s">
        <v>17</v>
      </c>
      <c r="U19" s="775">
        <f>H19</f>
        <v>100</v>
      </c>
      <c r="V19" s="774" t="s">
        <v>17</v>
      </c>
      <c r="W19" s="775">
        <f>J19</f>
        <v>100</v>
      </c>
      <c r="X19" s="1815"/>
      <c r="Y19" s="3179"/>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34"/>
      <c r="P20" s="3244"/>
      <c r="Q20" s="1812"/>
      <c r="R20" s="774"/>
      <c r="S20" s="775"/>
      <c r="T20" s="774"/>
      <c r="U20" s="775"/>
      <c r="V20" s="774"/>
      <c r="W20" s="775"/>
      <c r="X20" s="1815"/>
      <c r="Y20" s="3179"/>
      <c r="Z20" s="1816"/>
      <c r="AA20" s="1813">
        <v>1</v>
      </c>
      <c r="AB20" s="1813">
        <v>1</v>
      </c>
      <c r="AC20" s="1813">
        <v>1</v>
      </c>
    </row>
    <row r="21" spans="1:29" ht="28.5">
      <c r="A21" s="428"/>
      <c r="B21" s="1387"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4"/>
      <c r="Q21" s="1812" t="str">
        <f>B21</f>
        <v>基础设施水平</v>
      </c>
      <c r="R21" s="774" t="s">
        <v>17</v>
      </c>
      <c r="S21" s="775">
        <f>F21</f>
        <v>100</v>
      </c>
      <c r="T21" s="774" t="s">
        <v>17</v>
      </c>
      <c r="U21" s="775">
        <f>H21</f>
        <v>100</v>
      </c>
      <c r="V21" s="774" t="s">
        <v>17</v>
      </c>
      <c r="W21" s="775">
        <f>J21</f>
        <v>100</v>
      </c>
      <c r="X21" s="1815"/>
      <c r="Y21" s="3179"/>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9"/>
      <c r="G22" s="447"/>
      <c r="H22" s="448"/>
      <c r="I22" s="447"/>
      <c r="J22" s="448"/>
      <c r="K22" s="1386"/>
      <c r="L22" s="1143"/>
      <c r="M22" s="1134"/>
      <c r="N22" s="1134"/>
      <c r="O22" s="1134"/>
      <c r="P22" s="3244"/>
      <c r="Q22" s="1812"/>
      <c r="R22" s="774"/>
      <c r="S22" s="775"/>
      <c r="T22" s="774"/>
      <c r="U22" s="775"/>
      <c r="V22" s="774"/>
      <c r="W22" s="775"/>
      <c r="X22" s="1815"/>
      <c r="Y22" s="3179"/>
      <c r="Z22" s="1816"/>
      <c r="AA22" s="1813">
        <v>1</v>
      </c>
      <c r="AB22" s="1813">
        <v>1</v>
      </c>
      <c r="AC22" s="1813">
        <v>1</v>
      </c>
    </row>
    <row r="23" spans="1:29" ht="57">
      <c r="A23" s="428"/>
      <c r="B23" s="451" t="s">
        <v>2101</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4"/>
      <c r="Q23" s="1812" t="str">
        <f>B23</f>
        <v>自然及人文环境</v>
      </c>
      <c r="R23" s="774" t="s">
        <v>17</v>
      </c>
      <c r="S23" s="775">
        <f>F23</f>
        <v>100</v>
      </c>
      <c r="T23" s="774" t="s">
        <v>17</v>
      </c>
      <c r="U23" s="775">
        <f>H23</f>
        <v>100</v>
      </c>
      <c r="V23" s="774" t="s">
        <v>17</v>
      </c>
      <c r="W23" s="775">
        <f>J23</f>
        <v>100</v>
      </c>
      <c r="X23" s="1815"/>
      <c r="Y23" s="3179"/>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3"/>
      <c r="M24" s="1134"/>
      <c r="N24" s="1134"/>
      <c r="O24" s="1134"/>
      <c r="P24" s="3244"/>
      <c r="Q24" s="1812"/>
      <c r="R24" s="774"/>
      <c r="S24" s="775"/>
      <c r="T24" s="774"/>
      <c r="U24" s="775"/>
      <c r="V24" s="774"/>
      <c r="W24" s="775"/>
      <c r="X24" s="1815"/>
      <c r="Y24" s="3179"/>
      <c r="Z24" s="1816"/>
      <c r="AA24" s="1813">
        <v>1</v>
      </c>
      <c r="AB24" s="1813">
        <v>1</v>
      </c>
      <c r="AC24" s="181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4"/>
      <c r="Q25" s="1812" t="str">
        <f t="shared" ref="Q25:Q46" si="11">B25</f>
        <v>临街状况</v>
      </c>
      <c r="R25" s="774" t="s">
        <v>17</v>
      </c>
      <c r="S25" s="775">
        <f>F25</f>
        <v>100</v>
      </c>
      <c r="T25" s="774" t="s">
        <v>17</v>
      </c>
      <c r="U25" s="775">
        <f>H25</f>
        <v>100</v>
      </c>
      <c r="V25" s="774" t="s">
        <v>17</v>
      </c>
      <c r="W25" s="775">
        <f>J25</f>
        <v>100</v>
      </c>
      <c r="X25" s="1815"/>
      <c r="Y25" s="3179"/>
      <c r="Z25" s="1816" t="str">
        <f>Q25</f>
        <v>临街状况</v>
      </c>
      <c r="AA25" s="1813">
        <f t="shared" si="3"/>
        <v>1</v>
      </c>
      <c r="AB25" s="1813">
        <f t="shared" si="4"/>
        <v>1</v>
      </c>
      <c r="AC25" s="1813">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4"/>
      <c r="Q26" s="1812" t="str">
        <f t="shared" si="11"/>
        <v>平面位置/可视性</v>
      </c>
      <c r="R26" s="774" t="s">
        <v>17</v>
      </c>
      <c r="S26" s="775">
        <f>F26</f>
        <v>100</v>
      </c>
      <c r="T26" s="774" t="s">
        <v>17</v>
      </c>
      <c r="U26" s="775">
        <f>H26</f>
        <v>100</v>
      </c>
      <c r="V26" s="774" t="s">
        <v>17</v>
      </c>
      <c r="W26" s="775">
        <f>J26</f>
        <v>100</v>
      </c>
      <c r="X26" s="1815"/>
      <c r="Y26" s="3179"/>
      <c r="Z26" s="1816" t="str">
        <f>Q26</f>
        <v>平面位置/可视性</v>
      </c>
      <c r="AA26" s="1813">
        <f t="shared" si="3"/>
        <v>1</v>
      </c>
      <c r="AB26" s="1813">
        <f t="shared" si="4"/>
        <v>1</v>
      </c>
      <c r="AC26" s="1813">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44"/>
      <c r="Q27" s="1797" t="str">
        <f t="shared" si="11"/>
        <v>人流量</v>
      </c>
      <c r="R27" s="770" t="s">
        <v>17</v>
      </c>
      <c r="S27" s="771">
        <f>F27</f>
        <v>100</v>
      </c>
      <c r="T27" s="770" t="s">
        <v>17</v>
      </c>
      <c r="U27" s="771">
        <f>H27</f>
        <v>100</v>
      </c>
      <c r="V27" s="770" t="s">
        <v>17</v>
      </c>
      <c r="W27" s="771">
        <f>J27</f>
        <v>100</v>
      </c>
      <c r="X27" s="772"/>
      <c r="Y27" s="3179"/>
      <c r="Z27" s="55" t="str">
        <f>Q27</f>
        <v>人流量</v>
      </c>
      <c r="AA27" s="1813">
        <f>D27/F27</f>
        <v>1</v>
      </c>
      <c r="AB27" s="1813">
        <f>D27/H27</f>
        <v>1</v>
      </c>
      <c r="AC27" s="181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4"/>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9"/>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4"/>
      <c r="Q29" s="1812">
        <f t="shared" si="11"/>
        <v>111</v>
      </c>
      <c r="R29" s="774" t="s">
        <v>17</v>
      </c>
      <c r="S29" s="775">
        <f t="shared" si="12"/>
        <v>100</v>
      </c>
      <c r="T29" s="774" t="s">
        <v>17</v>
      </c>
      <c r="U29" s="775">
        <f t="shared" si="13"/>
        <v>100</v>
      </c>
      <c r="V29" s="774" t="s">
        <v>17</v>
      </c>
      <c r="W29" s="775">
        <f t="shared" si="14"/>
        <v>100</v>
      </c>
      <c r="X29" s="1815"/>
      <c r="Y29" s="3179"/>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4"/>
      <c r="Q30" s="1812">
        <f t="shared" si="11"/>
        <v>111</v>
      </c>
      <c r="R30" s="774" t="s">
        <v>17</v>
      </c>
      <c r="S30" s="775">
        <f t="shared" si="12"/>
        <v>100</v>
      </c>
      <c r="T30" s="774" t="s">
        <v>17</v>
      </c>
      <c r="U30" s="775">
        <f t="shared" si="13"/>
        <v>100</v>
      </c>
      <c r="V30" s="774" t="s">
        <v>17</v>
      </c>
      <c r="W30" s="775">
        <f t="shared" si="14"/>
        <v>100</v>
      </c>
      <c r="X30" s="1815"/>
      <c r="Y30" s="3179"/>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4"/>
      <c r="Q31" s="1812">
        <f t="shared" si="11"/>
        <v>111</v>
      </c>
      <c r="R31" s="774" t="s">
        <v>17</v>
      </c>
      <c r="S31" s="775">
        <f t="shared" si="12"/>
        <v>100</v>
      </c>
      <c r="T31" s="774" t="s">
        <v>17</v>
      </c>
      <c r="U31" s="775">
        <f t="shared" si="13"/>
        <v>100</v>
      </c>
      <c r="V31" s="774" t="s">
        <v>17</v>
      </c>
      <c r="W31" s="775">
        <f t="shared" si="14"/>
        <v>100</v>
      </c>
      <c r="X31" s="1815"/>
      <c r="Y31" s="3179"/>
      <c r="Z31" s="1816">
        <f t="shared" si="15"/>
        <v>111</v>
      </c>
      <c r="AA31" s="1813">
        <f t="shared" si="3"/>
        <v>1</v>
      </c>
      <c r="AB31" s="1813">
        <f t="shared" si="4"/>
        <v>1</v>
      </c>
      <c r="AC31" s="1813">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45" t="s">
        <v>2564</v>
      </c>
      <c r="Q32" s="1812" t="str">
        <f t="shared" si="11"/>
        <v>商业类型</v>
      </c>
      <c r="R32" s="774" t="s">
        <v>17</v>
      </c>
      <c r="S32" s="775">
        <f t="shared" si="12"/>
        <v>100</v>
      </c>
      <c r="T32" s="774" t="s">
        <v>17</v>
      </c>
      <c r="U32" s="775">
        <f t="shared" si="13"/>
        <v>100</v>
      </c>
      <c r="V32" s="774" t="s">
        <v>17</v>
      </c>
      <c r="W32" s="775">
        <f t="shared" si="14"/>
        <v>100</v>
      </c>
      <c r="X32" s="1815"/>
      <c r="Y32" s="3181" t="s">
        <v>2564</v>
      </c>
      <c r="Z32" s="1816" t="str">
        <f t="shared" si="15"/>
        <v>商业类型</v>
      </c>
      <c r="AA32" s="1813">
        <f t="shared" si="3"/>
        <v>1</v>
      </c>
      <c r="AB32" s="1813">
        <f t="shared" si="4"/>
        <v>1</v>
      </c>
      <c r="AC32" s="181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6"/>
      <c r="Q33" s="776" t="str">
        <f t="shared" si="11"/>
        <v>项目建筑规模</v>
      </c>
      <c r="R33" s="777" t="s">
        <v>17</v>
      </c>
      <c r="S33" s="778" t="e">
        <f t="shared" si="12"/>
        <v>#N/A</v>
      </c>
      <c r="T33" s="777" t="s">
        <v>17</v>
      </c>
      <c r="U33" s="778" t="e">
        <f t="shared" si="13"/>
        <v>#N/A</v>
      </c>
      <c r="V33" s="777" t="s">
        <v>17</v>
      </c>
      <c r="W33" s="778" t="e">
        <f t="shared" si="14"/>
        <v>#N/A</v>
      </c>
      <c r="X33" s="779"/>
      <c r="Y33" s="3181"/>
      <c r="Z33" s="780" t="str">
        <f t="shared" si="15"/>
        <v>项目建筑规模</v>
      </c>
      <c r="AA33" s="1813" t="e">
        <f t="shared" si="3"/>
        <v>#N/A</v>
      </c>
      <c r="AB33" s="1813" t="e">
        <f t="shared" si="4"/>
        <v>#N/A</v>
      </c>
      <c r="AC33" s="1813"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46"/>
      <c r="Q34" s="1812" t="str">
        <f t="shared" si="11"/>
        <v>建筑结构</v>
      </c>
      <c r="R34" s="774" t="s">
        <v>17</v>
      </c>
      <c r="S34" s="775">
        <f t="shared" si="12"/>
        <v>100</v>
      </c>
      <c r="T34" s="774" t="s">
        <v>17</v>
      </c>
      <c r="U34" s="775">
        <f t="shared" si="13"/>
        <v>100</v>
      </c>
      <c r="V34" s="774" t="s">
        <v>17</v>
      </c>
      <c r="W34" s="775">
        <f t="shared" si="14"/>
        <v>100</v>
      </c>
      <c r="X34" s="1815"/>
      <c r="Y34" s="3181"/>
      <c r="Z34" s="1816" t="str">
        <f t="shared" si="15"/>
        <v>建筑结构</v>
      </c>
      <c r="AA34" s="1813">
        <f t="shared" si="3"/>
        <v>1</v>
      </c>
      <c r="AB34" s="1813">
        <f t="shared" si="4"/>
        <v>1</v>
      </c>
      <c r="AC34" s="1813">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46"/>
      <c r="Q35" s="1812" t="str">
        <f t="shared" si="11"/>
        <v>公共部分装修</v>
      </c>
      <c r="R35" s="774" t="s">
        <v>17</v>
      </c>
      <c r="S35" s="775">
        <f t="shared" si="12"/>
        <v>100</v>
      </c>
      <c r="T35" s="774" t="s">
        <v>17</v>
      </c>
      <c r="U35" s="775">
        <f t="shared" si="13"/>
        <v>100</v>
      </c>
      <c r="V35" s="774" t="s">
        <v>17</v>
      </c>
      <c r="W35" s="775">
        <f t="shared" si="14"/>
        <v>100</v>
      </c>
      <c r="X35" s="1815"/>
      <c r="Y35" s="3181"/>
      <c r="Z35" s="1816" t="str">
        <f t="shared" si="15"/>
        <v>公共部分装修</v>
      </c>
      <c r="AA35" s="1813">
        <f t="shared" si="3"/>
        <v>1</v>
      </c>
      <c r="AB35" s="1813">
        <f t="shared" si="4"/>
        <v>1</v>
      </c>
      <c r="AC35" s="181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6"/>
      <c r="Q36" s="1812" t="str">
        <f t="shared" si="11"/>
        <v>成新度</v>
      </c>
      <c r="R36" s="774" t="s">
        <v>17</v>
      </c>
      <c r="S36" s="775" t="e">
        <f t="shared" si="12"/>
        <v>#N/A</v>
      </c>
      <c r="T36" s="774" t="s">
        <v>17</v>
      </c>
      <c r="U36" s="775" t="e">
        <f t="shared" si="13"/>
        <v>#N/A</v>
      </c>
      <c r="V36" s="774" t="s">
        <v>17</v>
      </c>
      <c r="W36" s="775" t="e">
        <f t="shared" si="14"/>
        <v>#N/A</v>
      </c>
      <c r="X36" s="1815"/>
      <c r="Y36" s="3181"/>
      <c r="Z36" s="1816" t="str">
        <f t="shared" si="15"/>
        <v>成新度</v>
      </c>
      <c r="AA36" s="1813" t="e">
        <f t="shared" si="3"/>
        <v>#N/A</v>
      </c>
      <c r="AB36" s="1813" t="e">
        <f t="shared" si="4"/>
        <v>#N/A</v>
      </c>
      <c r="AC36" s="1813"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46"/>
      <c r="Q37" s="1797" t="str">
        <f t="shared" si="11"/>
        <v>市政基础设施</v>
      </c>
      <c r="R37" s="770" t="s">
        <v>17</v>
      </c>
      <c r="S37" s="771">
        <f t="shared" si="12"/>
        <v>100</v>
      </c>
      <c r="T37" s="770" t="s">
        <v>17</v>
      </c>
      <c r="U37" s="771">
        <f t="shared" si="13"/>
        <v>100</v>
      </c>
      <c r="V37" s="770" t="s">
        <v>17</v>
      </c>
      <c r="W37" s="771">
        <f t="shared" si="14"/>
        <v>100</v>
      </c>
      <c r="X37" s="772"/>
      <c r="Y37" s="3181"/>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46" t="s">
        <v>2564</v>
      </c>
      <c r="Q38" s="1812" t="str">
        <f t="shared" si="11"/>
        <v>业态</v>
      </c>
      <c r="R38" s="774" t="s">
        <v>17</v>
      </c>
      <c r="S38" s="775">
        <f t="shared" si="12"/>
        <v>100</v>
      </c>
      <c r="T38" s="774" t="s">
        <v>17</v>
      </c>
      <c r="U38" s="775">
        <f t="shared" si="13"/>
        <v>100</v>
      </c>
      <c r="V38" s="774" t="s">
        <v>17</v>
      </c>
      <c r="W38" s="775">
        <f t="shared" si="14"/>
        <v>100</v>
      </c>
      <c r="X38" s="1815"/>
      <c r="Y38" s="3181" t="s">
        <v>2564</v>
      </c>
      <c r="Z38" s="1816" t="str">
        <f t="shared" si="15"/>
        <v>业态</v>
      </c>
      <c r="AA38" s="1813">
        <f t="shared" si="3"/>
        <v>1</v>
      </c>
      <c r="AB38" s="1813">
        <f t="shared" si="4"/>
        <v>1</v>
      </c>
      <c r="AC38" s="1813">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46"/>
      <c r="Q39" s="1812" t="str">
        <f t="shared" si="11"/>
        <v>层高</v>
      </c>
      <c r="R39" s="774" t="s">
        <v>17</v>
      </c>
      <c r="S39" s="775">
        <f t="shared" si="12"/>
        <v>100</v>
      </c>
      <c r="T39" s="774" t="s">
        <v>17</v>
      </c>
      <c r="U39" s="775">
        <f t="shared" si="13"/>
        <v>100</v>
      </c>
      <c r="V39" s="774" t="s">
        <v>17</v>
      </c>
      <c r="W39" s="775">
        <f t="shared" si="14"/>
        <v>100</v>
      </c>
      <c r="X39" s="1815"/>
      <c r="Y39" s="3181"/>
      <c r="Z39" s="1816" t="str">
        <f t="shared" si="15"/>
        <v>层高</v>
      </c>
      <c r="AA39" s="1813">
        <f t="shared" si="3"/>
        <v>1</v>
      </c>
      <c r="AB39" s="1813">
        <f t="shared" si="4"/>
        <v>1</v>
      </c>
      <c r="AC39" s="181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6"/>
      <c r="Q40" s="1812" t="str">
        <f t="shared" si="11"/>
        <v>单套建筑面积</v>
      </c>
      <c r="R40" s="774" t="s">
        <v>17</v>
      </c>
      <c r="S40" s="775">
        <f t="shared" si="12"/>
        <v>100</v>
      </c>
      <c r="T40" s="774" t="s">
        <v>17</v>
      </c>
      <c r="U40" s="775">
        <f t="shared" si="13"/>
        <v>100</v>
      </c>
      <c r="V40" s="774" t="s">
        <v>17</v>
      </c>
      <c r="W40" s="775">
        <f t="shared" si="14"/>
        <v>100</v>
      </c>
      <c r="X40" s="1815"/>
      <c r="Y40" s="3181"/>
      <c r="Z40" s="1816" t="str">
        <f t="shared" si="15"/>
        <v>单套建筑面积</v>
      </c>
      <c r="AA40" s="1813">
        <f t="shared" si="3"/>
        <v>1</v>
      </c>
      <c r="AB40" s="1813">
        <f t="shared" si="4"/>
        <v>1</v>
      </c>
      <c r="AC40" s="1813">
        <f t="shared" si="5"/>
        <v>1</v>
      </c>
    </row>
    <row r="41" spans="1:29" s="471" customFormat="1" ht="15">
      <c r="A41" s="468"/>
      <c r="B41" s="181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6"/>
      <c r="Q41" s="776" t="str">
        <f t="shared" si="11"/>
        <v>进深比</v>
      </c>
      <c r="R41" s="777" t="s">
        <v>17</v>
      </c>
      <c r="S41" s="778">
        <f t="shared" si="12"/>
        <v>100</v>
      </c>
      <c r="T41" s="777" t="s">
        <v>17</v>
      </c>
      <c r="U41" s="778">
        <f t="shared" si="13"/>
        <v>100</v>
      </c>
      <c r="V41" s="777" t="s">
        <v>17</v>
      </c>
      <c r="W41" s="778">
        <f t="shared" si="14"/>
        <v>100</v>
      </c>
      <c r="X41" s="779"/>
      <c r="Y41" s="3181"/>
      <c r="Z41" s="780" t="str">
        <f t="shared" si="15"/>
        <v>进深比</v>
      </c>
      <c r="AA41" s="1813">
        <f t="shared" si="3"/>
        <v>1</v>
      </c>
      <c r="AB41" s="1813">
        <f t="shared" si="4"/>
        <v>1</v>
      </c>
      <c r="AC41" s="1813">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46"/>
      <c r="Q42" s="1812" t="str">
        <f t="shared" si="11"/>
        <v>内部装修</v>
      </c>
      <c r="R42" s="774" t="s">
        <v>17</v>
      </c>
      <c r="S42" s="775">
        <f t="shared" si="12"/>
        <v>100</v>
      </c>
      <c r="T42" s="774" t="s">
        <v>17</v>
      </c>
      <c r="U42" s="775">
        <f t="shared" si="13"/>
        <v>100</v>
      </c>
      <c r="V42" s="774" t="s">
        <v>17</v>
      </c>
      <c r="W42" s="775">
        <f t="shared" si="14"/>
        <v>100</v>
      </c>
      <c r="X42" s="1815"/>
      <c r="Y42" s="3181"/>
      <c r="Z42" s="1816" t="str">
        <f t="shared" si="15"/>
        <v>内部装修</v>
      </c>
      <c r="AA42" s="1813">
        <f t="shared" si="3"/>
        <v>1</v>
      </c>
      <c r="AB42" s="1813">
        <f t="shared" si="4"/>
        <v>1</v>
      </c>
      <c r="AC42" s="1813">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46"/>
      <c r="Q43" s="1812" t="str">
        <f t="shared" si="11"/>
        <v>内部装修维护情况</v>
      </c>
      <c r="R43" s="774" t="s">
        <v>17</v>
      </c>
      <c r="S43" s="775">
        <f t="shared" si="12"/>
        <v>100</v>
      </c>
      <c r="T43" s="774" t="s">
        <v>17</v>
      </c>
      <c r="U43" s="775">
        <f t="shared" si="13"/>
        <v>100</v>
      </c>
      <c r="V43" s="774" t="s">
        <v>17</v>
      </c>
      <c r="W43" s="775">
        <f t="shared" si="14"/>
        <v>100</v>
      </c>
      <c r="X43" s="1815"/>
      <c r="Y43" s="3181"/>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6"/>
      <c r="Q44" s="1797">
        <f t="shared" si="11"/>
        <v>111</v>
      </c>
      <c r="R44" s="770" t="s">
        <v>17</v>
      </c>
      <c r="S44" s="771">
        <f t="shared" si="12"/>
        <v>100</v>
      </c>
      <c r="T44" s="770" t="s">
        <v>17</v>
      </c>
      <c r="U44" s="771">
        <f t="shared" si="13"/>
        <v>100</v>
      </c>
      <c r="V44" s="770" t="s">
        <v>17</v>
      </c>
      <c r="W44" s="771">
        <f t="shared" si="14"/>
        <v>100</v>
      </c>
      <c r="X44" s="772"/>
      <c r="Y44" s="318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6"/>
      <c r="Q45" s="1812">
        <f t="shared" si="11"/>
        <v>111</v>
      </c>
      <c r="R45" s="774" t="s">
        <v>17</v>
      </c>
      <c r="S45" s="775">
        <f t="shared" si="12"/>
        <v>100</v>
      </c>
      <c r="T45" s="774" t="s">
        <v>17</v>
      </c>
      <c r="U45" s="775">
        <f t="shared" si="13"/>
        <v>100</v>
      </c>
      <c r="V45" s="774" t="s">
        <v>17</v>
      </c>
      <c r="W45" s="775">
        <f t="shared" si="14"/>
        <v>100</v>
      </c>
      <c r="X45" s="1815"/>
      <c r="Y45" s="3181"/>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7"/>
      <c r="Q46" s="1812">
        <f t="shared" si="11"/>
        <v>111</v>
      </c>
      <c r="R46" s="774" t="s">
        <v>17</v>
      </c>
      <c r="S46" s="775">
        <f t="shared" si="12"/>
        <v>100</v>
      </c>
      <c r="T46" s="774" t="s">
        <v>17</v>
      </c>
      <c r="U46" s="775">
        <f t="shared" si="13"/>
        <v>100</v>
      </c>
      <c r="V46" s="774" t="s">
        <v>17</v>
      </c>
      <c r="W46" s="775">
        <f t="shared" si="14"/>
        <v>100</v>
      </c>
      <c r="X46" s="1815"/>
      <c r="Y46" s="3248"/>
      <c r="Z46" s="1816">
        <f t="shared" si="15"/>
        <v>111</v>
      </c>
      <c r="AA46" s="1813">
        <f t="shared" si="3"/>
        <v>1</v>
      </c>
      <c r="AB46" s="1813">
        <f t="shared" si="4"/>
        <v>1</v>
      </c>
      <c r="AC46" s="1813">
        <f t="shared" si="5"/>
        <v>1</v>
      </c>
    </row>
    <row r="47" spans="1:29" ht="15">
      <c r="A47" s="479" t="s">
        <v>2576</v>
      </c>
      <c r="B47" s="480"/>
      <c r="C47" s="1410" t="s">
        <v>1</v>
      </c>
      <c r="D47" s="1411"/>
      <c r="E47" s="1412"/>
      <c r="F47" s="1413"/>
      <c r="G47" s="1414"/>
      <c r="H47" s="1415"/>
      <c r="I47" s="1412"/>
      <c r="J47" s="1415"/>
      <c r="K47" s="783"/>
      <c r="L47" s="1146"/>
      <c r="M47" s="1147"/>
      <c r="N47" s="1134"/>
      <c r="O47" s="1147"/>
      <c r="P47" s="3176" t="str">
        <f>A47</f>
        <v>成交单价（元/平方米）</v>
      </c>
      <c r="Q47" s="3176"/>
      <c r="R47" s="3182">
        <f>E47</f>
        <v>0</v>
      </c>
      <c r="S47" s="3182"/>
      <c r="T47" s="3182">
        <f>G47</f>
        <v>0</v>
      </c>
      <c r="U47" s="3182"/>
      <c r="V47" s="3182">
        <f>I47</f>
        <v>0</v>
      </c>
      <c r="W47" s="3182"/>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76" t="str">
        <f>A48</f>
        <v>比较价值（元/平方米）</v>
      </c>
      <c r="Q48" s="3176"/>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170" t="str">
        <f>A49</f>
        <v>估价对象XX用房的比较价值（楼面单价，元/平方米）</v>
      </c>
      <c r="Q49" s="3171"/>
      <c r="R49" s="3242" t="e">
        <f>IF(F1="售价",ROUND(AVERAGE(R48:V48),0),ROUND(AVERAGE(R48:V48),1))</f>
        <v>#DIV/0!</v>
      </c>
      <c r="S49" s="3242"/>
      <c r="T49" s="3242"/>
      <c r="U49" s="3242"/>
      <c r="V49" s="3242"/>
      <c r="W49" s="32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2547</v>
      </c>
      <c r="B58" s="506"/>
      <c r="C58" s="1576" t="str">
        <f>YEAR(C7)&amp;"-"&amp;MONTH(C7)</f>
        <v>2018-6</v>
      </c>
      <c r="D58" s="1577">
        <f>EDATE(C58,-1)</f>
        <v>43221</v>
      </c>
      <c r="E58" s="1577">
        <f t="shared" ref="E58:N58" si="16">EDATE(D58,-1)</f>
        <v>43191</v>
      </c>
      <c r="F58" s="1577">
        <f t="shared" si="16"/>
        <v>43160</v>
      </c>
      <c r="G58" s="1577">
        <f t="shared" si="16"/>
        <v>43132</v>
      </c>
      <c r="H58" s="1577">
        <f t="shared" si="16"/>
        <v>43101</v>
      </c>
      <c r="I58" s="1577">
        <f t="shared" si="16"/>
        <v>43070</v>
      </c>
      <c r="J58" s="1577">
        <f t="shared" si="16"/>
        <v>43040</v>
      </c>
      <c r="K58" s="1577">
        <f t="shared" si="16"/>
        <v>43009</v>
      </c>
      <c r="L58" s="1577">
        <f t="shared" si="16"/>
        <v>42979</v>
      </c>
      <c r="M58" s="1577">
        <f t="shared" si="16"/>
        <v>42948</v>
      </c>
      <c r="N58" s="1577">
        <f t="shared" si="16"/>
        <v>42917</v>
      </c>
      <c r="O58" s="1577">
        <f>EDATE(N58,-1)</f>
        <v>42887</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2562</v>
      </c>
      <c r="B100" s="528" t="s">
        <v>2680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2615</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2681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2683</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1" t="s">
        <v>2685</v>
      </c>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1" t="e">
        <f ca="1">IF(C2="——",ROUND(C50*D3/10000,0),ROUND(C50*D3/10000,0)-D2)</f>
        <v>#DIV/0!</v>
      </c>
      <c r="C2" s="2588"/>
      <c r="D2" s="1368" t="e">
        <f ca="1">SUMIF(INDIRECT("'"&amp;F2&amp;"'"&amp;"!A:A"),"承租人权益价值",INDIRECT("'"&amp;F2&amp;"'"&amp;"!c:c"))</f>
        <v>#REF!</v>
      </c>
      <c r="E2" s="2589" t="s">
        <v>2329</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2643</v>
      </c>
      <c r="D3" s="399">
        <f>IF(D1="",'数据-汇总表'!E3,SUMIF('数据-汇总表'!$C19:$C33,D1,'数据-汇总表'!$E19:$E33))</f>
        <v>43189.020000000004</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73" t="s">
        <v>2645</v>
      </c>
      <c r="D4" s="3186"/>
      <c r="E4" s="3187" t="s">
        <v>2646</v>
      </c>
      <c r="F4" s="3188"/>
      <c r="G4" s="3173" t="s">
        <v>2647</v>
      </c>
      <c r="H4" s="3186"/>
      <c r="I4" s="3173" t="s">
        <v>2648</v>
      </c>
      <c r="J4" s="3186"/>
      <c r="K4" s="610" t="s">
        <v>2649</v>
      </c>
      <c r="L4" s="1133"/>
      <c r="M4" s="1134"/>
      <c r="N4" s="1134"/>
      <c r="O4" s="1134"/>
      <c r="P4" s="3257" t="s">
        <v>2650</v>
      </c>
      <c r="Q4" s="3258"/>
      <c r="R4" s="3261" t="s">
        <v>2646</v>
      </c>
      <c r="S4" s="3262"/>
      <c r="T4" s="3261" t="s">
        <v>2647</v>
      </c>
      <c r="U4" s="3262"/>
      <c r="V4" s="3263" t="s">
        <v>2648</v>
      </c>
      <c r="W4" s="3263"/>
      <c r="X4" s="2672"/>
      <c r="Y4" s="3261" t="s">
        <v>2650</v>
      </c>
      <c r="Z4" s="3262"/>
      <c r="AA4" s="3265" t="s">
        <v>2646</v>
      </c>
      <c r="AB4" s="3265" t="s">
        <v>2647</v>
      </c>
      <c r="AC4" s="3254" t="s">
        <v>2648</v>
      </c>
    </row>
    <row r="5" spans="1:29" ht="15">
      <c r="A5" s="404"/>
      <c r="B5" s="405"/>
      <c r="C5" s="3208" t="s">
        <v>2541</v>
      </c>
      <c r="D5" s="3204"/>
      <c r="E5" s="3250" t="s">
        <v>2542</v>
      </c>
      <c r="F5" s="3213"/>
      <c r="G5" s="3208" t="s">
        <v>2543</v>
      </c>
      <c r="H5" s="3204"/>
      <c r="I5" s="3208" t="s">
        <v>2544</v>
      </c>
      <c r="J5" s="3204"/>
      <c r="K5" s="610"/>
      <c r="L5" s="1133"/>
      <c r="M5" s="1134"/>
      <c r="N5" s="1134"/>
      <c r="O5" s="1134"/>
      <c r="P5" s="3259"/>
      <c r="Q5" s="3192"/>
      <c r="R5" s="3197"/>
      <c r="S5" s="3198"/>
      <c r="T5" s="3197"/>
      <c r="U5" s="3198"/>
      <c r="V5" s="3182"/>
      <c r="W5" s="3182"/>
      <c r="X5" s="1815"/>
      <c r="Y5" s="3197"/>
      <c r="Z5" s="3198"/>
      <c r="AA5" s="3184"/>
      <c r="AB5" s="3184"/>
      <c r="AC5" s="3255"/>
    </row>
    <row r="6" spans="1:29" ht="15.75" thickBot="1">
      <c r="A6" s="406"/>
      <c r="B6" s="407"/>
      <c r="C6" s="3209" t="s">
        <v>2545</v>
      </c>
      <c r="D6" s="3202"/>
      <c r="E6" s="3249" t="s">
        <v>2545</v>
      </c>
      <c r="F6" s="3211"/>
      <c r="G6" s="3209" t="s">
        <v>2545</v>
      </c>
      <c r="H6" s="3202"/>
      <c r="I6" s="3209" t="s">
        <v>2545</v>
      </c>
      <c r="J6" s="3202"/>
      <c r="K6" s="610" t="s">
        <v>2546</v>
      </c>
      <c r="L6" s="1133"/>
      <c r="M6" s="1134"/>
      <c r="N6" s="1134"/>
      <c r="O6" s="1134"/>
      <c r="P6" s="3260"/>
      <c r="Q6" s="3194"/>
      <c r="R6" s="3197"/>
      <c r="S6" s="3198"/>
      <c r="T6" s="3199"/>
      <c r="U6" s="3200"/>
      <c r="V6" s="3182"/>
      <c r="W6" s="3182"/>
      <c r="X6" s="1815"/>
      <c r="Y6" s="3199"/>
      <c r="Z6" s="3200"/>
      <c r="AA6" s="3185"/>
      <c r="AB6" s="3185"/>
      <c r="AC6" s="3256"/>
    </row>
    <row r="7" spans="1:29" s="117" customFormat="1" ht="15.75" thickBot="1">
      <c r="A7" s="408" t="s">
        <v>2547</v>
      </c>
      <c r="B7" s="409"/>
      <c r="C7" s="410">
        <f>'数据-取费表'!B2</f>
        <v>43262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4" t="s">
        <v>2548</v>
      </c>
      <c r="Q7" s="3207"/>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4" t="s">
        <v>2551</v>
      </c>
      <c r="Q8" s="3206"/>
      <c r="R8" s="770" t="s">
        <v>17</v>
      </c>
      <c r="S8" s="771">
        <f t="shared" si="0"/>
        <v>0</v>
      </c>
      <c r="T8" s="770" t="s">
        <v>17</v>
      </c>
      <c r="U8" s="771">
        <f t="shared" si="1"/>
        <v>0</v>
      </c>
      <c r="V8" s="770" t="s">
        <v>17</v>
      </c>
      <c r="W8" s="771">
        <f t="shared" si="2"/>
        <v>0</v>
      </c>
      <c r="X8" s="772"/>
      <c r="Y8" s="3205" t="s">
        <v>2551</v>
      </c>
      <c r="Z8" s="3206"/>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5" t="s">
        <v>2554</v>
      </c>
      <c r="Q9" s="1797"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5"/>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5"/>
      <c r="Q11" s="1797"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75"/>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75"/>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75"/>
      <c r="Q14" s="1797">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3" t="s">
        <v>2559</v>
      </c>
      <c r="Q15" s="1812" t="str">
        <f t="shared" si="6"/>
        <v>办公集聚程度</v>
      </c>
      <c r="R15" s="774" t="s">
        <v>17</v>
      </c>
      <c r="S15" s="775">
        <f t="shared" si="0"/>
        <v>100</v>
      </c>
      <c r="T15" s="774" t="s">
        <v>17</v>
      </c>
      <c r="U15" s="775">
        <f t="shared" si="1"/>
        <v>100</v>
      </c>
      <c r="V15" s="774" t="s">
        <v>17</v>
      </c>
      <c r="W15" s="775">
        <f t="shared" si="2"/>
        <v>100</v>
      </c>
      <c r="X15" s="1815"/>
      <c r="Y15" s="3178" t="s">
        <v>2559</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3"/>
      <c r="M16" s="1134"/>
      <c r="N16" s="1134"/>
      <c r="O16" s="1134"/>
      <c r="P16" s="3244"/>
      <c r="Q16" s="1812"/>
      <c r="R16" s="774"/>
      <c r="S16" s="775"/>
      <c r="T16" s="774"/>
      <c r="U16" s="775"/>
      <c r="V16" s="774"/>
      <c r="W16" s="775"/>
      <c r="X16" s="1815"/>
      <c r="Y16" s="3179"/>
      <c r="Z16" s="1816"/>
      <c r="AA16" s="1813">
        <v>1</v>
      </c>
      <c r="AB16" s="1813">
        <v>1</v>
      </c>
      <c r="AC16" s="2676">
        <v>1</v>
      </c>
    </row>
    <row r="17" spans="1:29" ht="71.25">
      <c r="A17" s="428"/>
      <c r="B17" s="631" t="s">
        <v>2096</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4"/>
      <c r="Q17" s="1812" t="str">
        <f>B17</f>
        <v>交通便捷度</v>
      </c>
      <c r="R17" s="774" t="s">
        <v>17</v>
      </c>
      <c r="S17" s="775">
        <f>F17</f>
        <v>100</v>
      </c>
      <c r="T17" s="774" t="s">
        <v>17</v>
      </c>
      <c r="U17" s="775">
        <f>H17</f>
        <v>100</v>
      </c>
      <c r="V17" s="774" t="s">
        <v>17</v>
      </c>
      <c r="W17" s="775">
        <f>J17</f>
        <v>100</v>
      </c>
      <c r="X17" s="1815"/>
      <c r="Y17" s="3179"/>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3"/>
      <c r="M18" s="1134"/>
      <c r="N18" s="1134"/>
      <c r="O18" s="1134"/>
      <c r="P18" s="3244"/>
      <c r="Q18" s="1812"/>
      <c r="R18" s="774"/>
      <c r="S18" s="775"/>
      <c r="T18" s="774"/>
      <c r="U18" s="775"/>
      <c r="V18" s="774"/>
      <c r="W18" s="775"/>
      <c r="X18" s="1815"/>
      <c r="Y18" s="3179"/>
      <c r="Z18" s="1816"/>
      <c r="AA18" s="1813">
        <v>1</v>
      </c>
      <c r="AB18" s="1813">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4"/>
      <c r="Q19" s="1812" t="str">
        <f>B19</f>
        <v>公共配套设施</v>
      </c>
      <c r="R19" s="774" t="s">
        <v>17</v>
      </c>
      <c r="S19" s="775">
        <f>F19</f>
        <v>100</v>
      </c>
      <c r="T19" s="774" t="s">
        <v>17</v>
      </c>
      <c r="U19" s="775">
        <f>H19</f>
        <v>100</v>
      </c>
      <c r="V19" s="774" t="s">
        <v>17</v>
      </c>
      <c r="W19" s="775">
        <f>J19</f>
        <v>100</v>
      </c>
      <c r="X19" s="1815"/>
      <c r="Y19" s="3179"/>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3"/>
      <c r="M20" s="1134"/>
      <c r="N20" s="1134"/>
      <c r="O20" s="1134"/>
      <c r="P20" s="3244"/>
      <c r="Q20" s="1812"/>
      <c r="R20" s="774"/>
      <c r="S20" s="775"/>
      <c r="T20" s="774"/>
      <c r="U20" s="775"/>
      <c r="V20" s="774"/>
      <c r="W20" s="775"/>
      <c r="X20" s="1815"/>
      <c r="Y20" s="3179"/>
      <c r="Z20" s="1816"/>
      <c r="AA20" s="1813">
        <v>1</v>
      </c>
      <c r="AB20" s="1813">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4"/>
      <c r="Q21" s="1812" t="str">
        <f>B21</f>
        <v>基础设施水平</v>
      </c>
      <c r="R21" s="774" t="s">
        <v>17</v>
      </c>
      <c r="S21" s="775">
        <f>F21</f>
        <v>100</v>
      </c>
      <c r="T21" s="774" t="s">
        <v>17</v>
      </c>
      <c r="U21" s="775">
        <f>H21</f>
        <v>100</v>
      </c>
      <c r="V21" s="774" t="s">
        <v>17</v>
      </c>
      <c r="W21" s="775">
        <f>J21</f>
        <v>100</v>
      </c>
      <c r="X21" s="1815"/>
      <c r="Y21" s="3179"/>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44"/>
      <c r="Q22" s="1812"/>
      <c r="R22" s="774"/>
      <c r="S22" s="775"/>
      <c r="T22" s="774"/>
      <c r="U22" s="775"/>
      <c r="V22" s="774"/>
      <c r="W22" s="775"/>
      <c r="X22" s="1815"/>
      <c r="Y22" s="3179"/>
      <c r="Z22" s="1816"/>
      <c r="AA22" s="1813">
        <v>1</v>
      </c>
      <c r="AB22" s="1813">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4"/>
      <c r="Q23" s="1812" t="str">
        <f>B23</f>
        <v>环境质量</v>
      </c>
      <c r="R23" s="774" t="s">
        <v>17</v>
      </c>
      <c r="S23" s="775">
        <f>F23</f>
        <v>100</v>
      </c>
      <c r="T23" s="774" t="s">
        <v>17</v>
      </c>
      <c r="U23" s="775">
        <f>H23</f>
        <v>100</v>
      </c>
      <c r="V23" s="774" t="s">
        <v>17</v>
      </c>
      <c r="W23" s="775">
        <f>J23</f>
        <v>100</v>
      </c>
      <c r="X23" s="1815"/>
      <c r="Y23" s="3179"/>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3"/>
      <c r="M24" s="1134"/>
      <c r="N24" s="1134"/>
      <c r="O24" s="1134"/>
      <c r="P24" s="3244"/>
      <c r="Q24" s="1812"/>
      <c r="R24" s="774"/>
      <c r="S24" s="775"/>
      <c r="T24" s="774"/>
      <c r="U24" s="775"/>
      <c r="V24" s="774"/>
      <c r="W24" s="775"/>
      <c r="X24" s="1815"/>
      <c r="Y24" s="3179"/>
      <c r="Z24" s="1816"/>
      <c r="AA24" s="1813">
        <v>1</v>
      </c>
      <c r="AB24" s="1813">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44"/>
      <c r="Q25" s="1812" t="str">
        <f>B25</f>
        <v>毗邻道路的类型与等级</v>
      </c>
      <c r="R25" s="774" t="s">
        <v>17</v>
      </c>
      <c r="S25" s="775">
        <f>F25</f>
        <v>100</v>
      </c>
      <c r="T25" s="774" t="s">
        <v>17</v>
      </c>
      <c r="U25" s="775">
        <f>H25</f>
        <v>100</v>
      </c>
      <c r="V25" s="774" t="s">
        <v>17</v>
      </c>
      <c r="W25" s="775">
        <f>J25</f>
        <v>100</v>
      </c>
      <c r="X25" s="1815"/>
      <c r="Y25" s="3179"/>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3"/>
      <c r="M26" s="1134"/>
      <c r="N26" s="1134"/>
      <c r="O26" s="1134"/>
      <c r="P26" s="3244"/>
      <c r="Q26" s="1812"/>
      <c r="R26" s="774"/>
      <c r="S26" s="775"/>
      <c r="T26" s="774"/>
      <c r="U26" s="775"/>
      <c r="V26" s="774"/>
      <c r="W26" s="775"/>
      <c r="X26" s="1815"/>
      <c r="Y26" s="3179"/>
      <c r="Z26" s="1816"/>
      <c r="AA26" s="1813">
        <v>1</v>
      </c>
      <c r="AB26" s="1813">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4"/>
      <c r="Q27" s="1812" t="str">
        <f t="shared" ref="Q27:Q47" si="11">B27</f>
        <v>楼层</v>
      </c>
      <c r="R27" s="774" t="s">
        <v>17</v>
      </c>
      <c r="S27" s="775">
        <f>F27</f>
        <v>100</v>
      </c>
      <c r="T27" s="774" t="s">
        <v>17</v>
      </c>
      <c r="U27" s="775">
        <f>H27</f>
        <v>100</v>
      </c>
      <c r="V27" s="774" t="s">
        <v>17</v>
      </c>
      <c r="W27" s="775">
        <f>J27</f>
        <v>100</v>
      </c>
      <c r="X27" s="1815"/>
      <c r="Y27" s="3179"/>
      <c r="Z27" s="1816" t="str">
        <f>Q27</f>
        <v>楼层</v>
      </c>
      <c r="AA27" s="1813">
        <f t="shared" si="3"/>
        <v>1</v>
      </c>
      <c r="AB27" s="1813">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44"/>
      <c r="Q28" s="1797" t="str">
        <f t="shared" si="11"/>
        <v>朝向</v>
      </c>
      <c r="R28" s="770" t="s">
        <v>17</v>
      </c>
      <c r="S28" s="771">
        <f>F28</f>
        <v>100</v>
      </c>
      <c r="T28" s="770" t="s">
        <v>17</v>
      </c>
      <c r="U28" s="771">
        <f>H28</f>
        <v>100</v>
      </c>
      <c r="V28" s="770" t="s">
        <v>17</v>
      </c>
      <c r="W28" s="771">
        <f>J28</f>
        <v>100</v>
      </c>
      <c r="X28" s="772"/>
      <c r="Y28" s="3179"/>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44"/>
      <c r="Q29" s="1812">
        <f t="shared" si="11"/>
        <v>111</v>
      </c>
      <c r="R29" s="774" t="s">
        <v>17</v>
      </c>
      <c r="S29" s="775">
        <f t="shared" ref="S29:S47" si="12">F29</f>
        <v>100</v>
      </c>
      <c r="T29" s="774" t="s">
        <v>17</v>
      </c>
      <c r="U29" s="775">
        <f t="shared" ref="U29:U47" si="13">H29</f>
        <v>100</v>
      </c>
      <c r="V29" s="774" t="s">
        <v>17</v>
      </c>
      <c r="W29" s="775">
        <f t="shared" ref="W29:W47" si="14">J29</f>
        <v>100</v>
      </c>
      <c r="X29" s="1815"/>
      <c r="Y29" s="3179"/>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44"/>
      <c r="Q30" s="1812">
        <f t="shared" si="11"/>
        <v>111</v>
      </c>
      <c r="R30" s="774" t="s">
        <v>17</v>
      </c>
      <c r="S30" s="775">
        <f t="shared" si="12"/>
        <v>100</v>
      </c>
      <c r="T30" s="774" t="s">
        <v>17</v>
      </c>
      <c r="U30" s="775">
        <f t="shared" si="13"/>
        <v>100</v>
      </c>
      <c r="V30" s="774" t="s">
        <v>17</v>
      </c>
      <c r="W30" s="775">
        <f t="shared" si="14"/>
        <v>100</v>
      </c>
      <c r="X30" s="1815"/>
      <c r="Y30" s="3179"/>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44"/>
      <c r="Q31" s="1812">
        <f t="shared" si="11"/>
        <v>111</v>
      </c>
      <c r="R31" s="774" t="s">
        <v>17</v>
      </c>
      <c r="S31" s="775">
        <f t="shared" si="12"/>
        <v>100</v>
      </c>
      <c r="T31" s="774" t="s">
        <v>17</v>
      </c>
      <c r="U31" s="775">
        <f t="shared" si="13"/>
        <v>100</v>
      </c>
      <c r="V31" s="774" t="s">
        <v>17</v>
      </c>
      <c r="W31" s="775">
        <f t="shared" si="14"/>
        <v>100</v>
      </c>
      <c r="X31" s="1815"/>
      <c r="Y31" s="3179"/>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44"/>
      <c r="Q32" s="1812">
        <f t="shared" si="11"/>
        <v>111</v>
      </c>
      <c r="R32" s="774" t="s">
        <v>17</v>
      </c>
      <c r="S32" s="775">
        <f t="shared" si="12"/>
        <v>100</v>
      </c>
      <c r="T32" s="774" t="s">
        <v>17</v>
      </c>
      <c r="U32" s="775">
        <f t="shared" si="13"/>
        <v>100</v>
      </c>
      <c r="V32" s="774" t="s">
        <v>17</v>
      </c>
      <c r="W32" s="775">
        <f t="shared" si="14"/>
        <v>100</v>
      </c>
      <c r="X32" s="1815"/>
      <c r="Y32" s="3179"/>
      <c r="Z32" s="1816">
        <f t="shared" si="15"/>
        <v>111</v>
      </c>
      <c r="AA32" s="1813">
        <f t="shared" si="3"/>
        <v>1</v>
      </c>
      <c r="AB32" s="1813">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45" t="s">
        <v>2564</v>
      </c>
      <c r="Q33" s="1812" t="str">
        <f t="shared" si="11"/>
        <v>建筑类型</v>
      </c>
      <c r="R33" s="774" t="s">
        <v>17</v>
      </c>
      <c r="S33" s="775">
        <f t="shared" si="12"/>
        <v>100</v>
      </c>
      <c r="T33" s="774" t="s">
        <v>17</v>
      </c>
      <c r="U33" s="775">
        <f t="shared" si="13"/>
        <v>100</v>
      </c>
      <c r="V33" s="774" t="s">
        <v>17</v>
      </c>
      <c r="W33" s="775">
        <f t="shared" si="14"/>
        <v>100</v>
      </c>
      <c r="X33" s="1815"/>
      <c r="Y33" s="3181" t="s">
        <v>2564</v>
      </c>
      <c r="Z33" s="1816" t="str">
        <f t="shared" si="15"/>
        <v>建筑类型</v>
      </c>
      <c r="AA33" s="1813">
        <f t="shared" si="3"/>
        <v>1</v>
      </c>
      <c r="AB33" s="1813">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6"/>
      <c r="Q34" s="776" t="str">
        <f t="shared" si="11"/>
        <v>项目建筑规模</v>
      </c>
      <c r="R34" s="777" t="s">
        <v>17</v>
      </c>
      <c r="S34" s="778" t="e">
        <f t="shared" si="12"/>
        <v>#N/A</v>
      </c>
      <c r="T34" s="777" t="s">
        <v>17</v>
      </c>
      <c r="U34" s="778" t="e">
        <f t="shared" si="13"/>
        <v>#N/A</v>
      </c>
      <c r="V34" s="777" t="s">
        <v>17</v>
      </c>
      <c r="W34" s="778" t="e">
        <f t="shared" si="14"/>
        <v>#N/A</v>
      </c>
      <c r="X34" s="779"/>
      <c r="Y34" s="3181"/>
      <c r="Z34" s="780" t="str">
        <f t="shared" si="15"/>
        <v>项目建筑规模</v>
      </c>
      <c r="AA34" s="1813" t="e">
        <f t="shared" si="3"/>
        <v>#N/A</v>
      </c>
      <c r="AB34" s="1813"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6"/>
      <c r="Q35" s="1812" t="str">
        <f t="shared" si="11"/>
        <v>建筑结构</v>
      </c>
      <c r="R35" s="774" t="s">
        <v>17</v>
      </c>
      <c r="S35" s="775">
        <f t="shared" si="12"/>
        <v>100</v>
      </c>
      <c r="T35" s="774" t="s">
        <v>17</v>
      </c>
      <c r="U35" s="775">
        <f t="shared" si="13"/>
        <v>100</v>
      </c>
      <c r="V35" s="774" t="s">
        <v>17</v>
      </c>
      <c r="W35" s="775">
        <f t="shared" si="14"/>
        <v>100</v>
      </c>
      <c r="X35" s="1815"/>
      <c r="Y35" s="3181"/>
      <c r="Z35" s="1816" t="str">
        <f t="shared" si="15"/>
        <v>建筑结构</v>
      </c>
      <c r="AA35" s="1813">
        <f t="shared" si="3"/>
        <v>1</v>
      </c>
      <c r="AB35" s="1813">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6"/>
      <c r="Q36" s="1812" t="str">
        <f t="shared" si="11"/>
        <v>公共部分装修</v>
      </c>
      <c r="R36" s="774" t="s">
        <v>17</v>
      </c>
      <c r="S36" s="775">
        <f t="shared" si="12"/>
        <v>100</v>
      </c>
      <c r="T36" s="774" t="s">
        <v>17</v>
      </c>
      <c r="U36" s="775">
        <f t="shared" si="13"/>
        <v>100</v>
      </c>
      <c r="V36" s="774" t="s">
        <v>17</v>
      </c>
      <c r="W36" s="775">
        <f t="shared" si="14"/>
        <v>100</v>
      </c>
      <c r="X36" s="1815"/>
      <c r="Y36" s="3181"/>
      <c r="Z36" s="1816" t="str">
        <f t="shared" si="15"/>
        <v>公共部分装修</v>
      </c>
      <c r="AA36" s="1813">
        <f t="shared" si="3"/>
        <v>1</v>
      </c>
      <c r="AB36" s="1813">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6"/>
      <c r="Q37" s="1812" t="str">
        <f t="shared" si="11"/>
        <v>成新度</v>
      </c>
      <c r="R37" s="774" t="s">
        <v>17</v>
      </c>
      <c r="S37" s="775" t="e">
        <f t="shared" si="12"/>
        <v>#N/A</v>
      </c>
      <c r="T37" s="774" t="s">
        <v>17</v>
      </c>
      <c r="U37" s="775" t="e">
        <f t="shared" si="13"/>
        <v>#N/A</v>
      </c>
      <c r="V37" s="774" t="s">
        <v>17</v>
      </c>
      <c r="W37" s="775" t="e">
        <f t="shared" si="14"/>
        <v>#N/A</v>
      </c>
      <c r="X37" s="1815"/>
      <c r="Y37" s="3181"/>
      <c r="Z37" s="1816" t="str">
        <f t="shared" si="15"/>
        <v>成新度</v>
      </c>
      <c r="AA37" s="1813" t="e">
        <f t="shared" si="3"/>
        <v>#N/A</v>
      </c>
      <c r="AB37" s="1813"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6"/>
      <c r="Q38" s="1797" t="str">
        <f t="shared" si="11"/>
        <v>写字楼等级</v>
      </c>
      <c r="R38" s="770" t="s">
        <v>17</v>
      </c>
      <c r="S38" s="771">
        <f t="shared" si="12"/>
        <v>100</v>
      </c>
      <c r="T38" s="770" t="s">
        <v>17</v>
      </c>
      <c r="U38" s="771">
        <f t="shared" si="13"/>
        <v>100</v>
      </c>
      <c r="V38" s="770" t="s">
        <v>17</v>
      </c>
      <c r="W38" s="771">
        <f t="shared" si="14"/>
        <v>100</v>
      </c>
      <c r="X38" s="772"/>
      <c r="Y38" s="3181"/>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6" t="s">
        <v>2564</v>
      </c>
      <c r="Q39" s="1812" t="str">
        <f t="shared" si="11"/>
        <v>物业管理</v>
      </c>
      <c r="R39" s="774" t="s">
        <v>17</v>
      </c>
      <c r="S39" s="775">
        <f t="shared" si="12"/>
        <v>100</v>
      </c>
      <c r="T39" s="774" t="s">
        <v>17</v>
      </c>
      <c r="U39" s="775">
        <f t="shared" si="13"/>
        <v>100</v>
      </c>
      <c r="V39" s="774" t="s">
        <v>17</v>
      </c>
      <c r="W39" s="775">
        <f t="shared" si="14"/>
        <v>100</v>
      </c>
      <c r="X39" s="1815"/>
      <c r="Y39" s="3181" t="s">
        <v>2564</v>
      </c>
      <c r="Z39" s="1816" t="str">
        <f t="shared" si="15"/>
        <v>物业管理</v>
      </c>
      <c r="AA39" s="1813">
        <f t="shared" si="3"/>
        <v>1</v>
      </c>
      <c r="AB39" s="1813">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6"/>
      <c r="Q40" s="1812" t="str">
        <f t="shared" si="11"/>
        <v>市政基础设施</v>
      </c>
      <c r="R40" s="774" t="s">
        <v>17</v>
      </c>
      <c r="S40" s="775">
        <f t="shared" si="12"/>
        <v>100</v>
      </c>
      <c r="T40" s="774" t="s">
        <v>17</v>
      </c>
      <c r="U40" s="775">
        <f t="shared" si="13"/>
        <v>100</v>
      </c>
      <c r="V40" s="774" t="s">
        <v>17</v>
      </c>
      <c r="W40" s="775">
        <f t="shared" si="14"/>
        <v>100</v>
      </c>
      <c r="X40" s="1815"/>
      <c r="Y40" s="3181"/>
      <c r="Z40" s="1816" t="str">
        <f t="shared" si="15"/>
        <v>市政基础设施</v>
      </c>
      <c r="AA40" s="1813">
        <f t="shared" si="3"/>
        <v>1</v>
      </c>
      <c r="AB40" s="1813">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6"/>
      <c r="Q41" s="1812" t="str">
        <f t="shared" si="11"/>
        <v>层高</v>
      </c>
      <c r="R41" s="774" t="s">
        <v>17</v>
      </c>
      <c r="S41" s="775">
        <f t="shared" si="12"/>
        <v>100</v>
      </c>
      <c r="T41" s="774" t="s">
        <v>17</v>
      </c>
      <c r="U41" s="775">
        <f t="shared" si="13"/>
        <v>100</v>
      </c>
      <c r="V41" s="774" t="s">
        <v>17</v>
      </c>
      <c r="W41" s="775">
        <f t="shared" si="14"/>
        <v>100</v>
      </c>
      <c r="X41" s="1815"/>
      <c r="Y41" s="3181"/>
      <c r="Z41" s="1816" t="str">
        <f t="shared" si="15"/>
        <v>层高</v>
      </c>
      <c r="AA41" s="1813">
        <f t="shared" si="3"/>
        <v>1</v>
      </c>
      <c r="AB41" s="1813">
        <f t="shared" si="4"/>
        <v>1</v>
      </c>
      <c r="AC41" s="2676">
        <f t="shared" si="5"/>
        <v>1</v>
      </c>
    </row>
    <row r="42" spans="1:29" s="471" customFormat="1" ht="15">
      <c r="A42" s="468"/>
      <c r="B42" s="181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6"/>
      <c r="Q42" s="776" t="str">
        <f t="shared" si="11"/>
        <v>单套建筑面积</v>
      </c>
      <c r="R42" s="777" t="s">
        <v>17</v>
      </c>
      <c r="S42" s="778">
        <f t="shared" si="12"/>
        <v>100</v>
      </c>
      <c r="T42" s="777" t="s">
        <v>17</v>
      </c>
      <c r="U42" s="778">
        <f t="shared" si="13"/>
        <v>100</v>
      </c>
      <c r="V42" s="777" t="s">
        <v>17</v>
      </c>
      <c r="W42" s="778">
        <f t="shared" si="14"/>
        <v>100</v>
      </c>
      <c r="X42" s="779"/>
      <c r="Y42" s="3181"/>
      <c r="Z42" s="780" t="str">
        <f t="shared" si="15"/>
        <v>单套建筑面积</v>
      </c>
      <c r="AA42" s="1813">
        <f t="shared" si="3"/>
        <v>1</v>
      </c>
      <c r="AB42" s="1813">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6"/>
      <c r="Q43" s="1812" t="str">
        <f t="shared" si="11"/>
        <v>内部装修</v>
      </c>
      <c r="R43" s="774" t="s">
        <v>17</v>
      </c>
      <c r="S43" s="775">
        <f t="shared" si="12"/>
        <v>100</v>
      </c>
      <c r="T43" s="774" t="s">
        <v>17</v>
      </c>
      <c r="U43" s="775">
        <f t="shared" si="13"/>
        <v>100</v>
      </c>
      <c r="V43" s="774" t="s">
        <v>17</v>
      </c>
      <c r="W43" s="775">
        <f t="shared" si="14"/>
        <v>100</v>
      </c>
      <c r="X43" s="1815"/>
      <c r="Y43" s="3181"/>
      <c r="Z43" s="1816" t="str">
        <f t="shared" si="15"/>
        <v>内部装修</v>
      </c>
      <c r="AA43" s="1813">
        <f t="shared" si="3"/>
        <v>1</v>
      </c>
      <c r="AB43" s="1813">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46"/>
      <c r="Q44" s="1812" t="str">
        <f t="shared" si="11"/>
        <v>内部装修维护情况</v>
      </c>
      <c r="R44" s="774" t="s">
        <v>17</v>
      </c>
      <c r="S44" s="775">
        <f t="shared" si="12"/>
        <v>100</v>
      </c>
      <c r="T44" s="774" t="s">
        <v>17</v>
      </c>
      <c r="U44" s="775">
        <f t="shared" si="13"/>
        <v>100</v>
      </c>
      <c r="V44" s="774" t="s">
        <v>17</v>
      </c>
      <c r="W44" s="775">
        <f t="shared" si="14"/>
        <v>100</v>
      </c>
      <c r="X44" s="1815"/>
      <c r="Y44" s="3181"/>
      <c r="Z44" s="1816" t="str">
        <f t="shared" si="15"/>
        <v>内部装修维护情况</v>
      </c>
      <c r="AA44" s="1813">
        <f t="shared" si="3"/>
        <v>1</v>
      </c>
      <c r="AB44" s="1813">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6"/>
      <c r="Q45" s="1797">
        <f t="shared" si="11"/>
        <v>111</v>
      </c>
      <c r="R45" s="770" t="s">
        <v>17</v>
      </c>
      <c r="S45" s="771">
        <f t="shared" si="12"/>
        <v>100</v>
      </c>
      <c r="T45" s="770" t="s">
        <v>17</v>
      </c>
      <c r="U45" s="771">
        <f t="shared" si="13"/>
        <v>100</v>
      </c>
      <c r="V45" s="770" t="s">
        <v>17</v>
      </c>
      <c r="W45" s="771">
        <f t="shared" si="14"/>
        <v>100</v>
      </c>
      <c r="X45" s="772"/>
      <c r="Y45" s="3181"/>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6"/>
      <c r="Q46" s="1812">
        <f t="shared" si="11"/>
        <v>111</v>
      </c>
      <c r="R46" s="774" t="s">
        <v>17</v>
      </c>
      <c r="S46" s="775">
        <f t="shared" si="12"/>
        <v>100</v>
      </c>
      <c r="T46" s="774" t="s">
        <v>17</v>
      </c>
      <c r="U46" s="775">
        <f t="shared" si="13"/>
        <v>100</v>
      </c>
      <c r="V46" s="774" t="s">
        <v>17</v>
      </c>
      <c r="W46" s="775">
        <f t="shared" si="14"/>
        <v>100</v>
      </c>
      <c r="X46" s="1815"/>
      <c r="Y46" s="3181"/>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7"/>
      <c r="Q47" s="1812">
        <f t="shared" si="11"/>
        <v>111</v>
      </c>
      <c r="R47" s="774" t="s">
        <v>17</v>
      </c>
      <c r="S47" s="775">
        <f t="shared" si="12"/>
        <v>100</v>
      </c>
      <c r="T47" s="774" t="s">
        <v>17</v>
      </c>
      <c r="U47" s="775">
        <f t="shared" si="13"/>
        <v>100</v>
      </c>
      <c r="V47" s="774" t="s">
        <v>17</v>
      </c>
      <c r="W47" s="775">
        <f t="shared" si="14"/>
        <v>100</v>
      </c>
      <c r="X47" s="1815"/>
      <c r="Y47" s="3248"/>
      <c r="Z47" s="1816">
        <f t="shared" si="15"/>
        <v>111</v>
      </c>
      <c r="AA47" s="1813">
        <f t="shared" si="3"/>
        <v>1</v>
      </c>
      <c r="AB47" s="1813">
        <f t="shared" si="4"/>
        <v>1</v>
      </c>
      <c r="AC47" s="2676">
        <f t="shared" si="5"/>
        <v>1</v>
      </c>
    </row>
    <row r="48" spans="1:29" ht="15">
      <c r="A48" s="479" t="s">
        <v>2576</v>
      </c>
      <c r="B48" s="480"/>
      <c r="C48" s="1410" t="s">
        <v>1</v>
      </c>
      <c r="D48" s="1411"/>
      <c r="E48" s="1412"/>
      <c r="F48" s="1413"/>
      <c r="G48" s="1414"/>
      <c r="H48" s="1415"/>
      <c r="I48" s="1412"/>
      <c r="J48" s="485"/>
      <c r="K48" s="783"/>
      <c r="L48" s="1146"/>
      <c r="M48" s="1134"/>
      <c r="N48" s="1134"/>
      <c r="O48" s="1134"/>
      <c r="P48" s="3175" t="str">
        <f>A48</f>
        <v>成交单价（元/平方米）</v>
      </c>
      <c r="Q48" s="3176"/>
      <c r="R48" s="3241">
        <f>E48</f>
        <v>0</v>
      </c>
      <c r="S48" s="3241"/>
      <c r="T48" s="3241">
        <f>G48</f>
        <v>0</v>
      </c>
      <c r="U48" s="3241"/>
      <c r="V48" s="3241">
        <f>I48</f>
        <v>0</v>
      </c>
      <c r="W48" s="3241"/>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75" t="str">
        <f>A49</f>
        <v>比较价值（元/平方米）</v>
      </c>
      <c r="Q49" s="3176"/>
      <c r="R49" s="3241" t="e">
        <f>IF(F1="售价",ROUND(PRODUCT(R48,AA7:AA47),0),ROUND(PRODUCT(R48,AA7:AA47),1))</f>
        <v>#DIV/0!</v>
      </c>
      <c r="S49" s="3241"/>
      <c r="T49" s="3241" t="e">
        <f>IF(F1="售价",ROUND(PRODUCT(T48,AB7:AB47),0),ROUND(PRODUCT(T48,AB7:AB47),1))</f>
        <v>#DIV/0!</v>
      </c>
      <c r="U49" s="3241"/>
      <c r="V49" s="3241" t="e">
        <f>IF(F1="售价",ROUND(PRODUCT(V48,AC7:AC47),0),ROUND(PRODUCT(V48,AC7:AC47),1))</f>
        <v>#DIV/0!</v>
      </c>
      <c r="W49" s="3241"/>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51" t="str">
        <f>A50</f>
        <v>估价对象XX用房的比较价值（楼面单价，元/平方米）</v>
      </c>
      <c r="Q50" s="3252"/>
      <c r="R50" s="3253" t="e">
        <f>IF(F1="售价",ROUND(AVERAGE(R49:V49),0),ROUND(AVERAGE(R49:V49),1))</f>
        <v>#DIV/0!</v>
      </c>
      <c r="S50" s="3253"/>
      <c r="T50" s="3253"/>
      <c r="U50" s="3253"/>
      <c r="V50" s="3253"/>
      <c r="W50" s="3253"/>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3"/>
      <c r="Q58" s="504"/>
    </row>
    <row r="59" spans="1:29" s="508" customFormat="1" ht="15">
      <c r="A59" s="505" t="s">
        <v>2547</v>
      </c>
      <c r="B59" s="506"/>
      <c r="C59" s="1576" t="str">
        <f>YEAR(C7)&amp;"-"&amp;MONTH(C7)</f>
        <v>2018-6</v>
      </c>
      <c r="D59" s="1577">
        <f>EDATE(C59,-1)</f>
        <v>43221</v>
      </c>
      <c r="E59" s="1577">
        <f>EDATE(D59,-1)</f>
        <v>43191</v>
      </c>
      <c r="F59" s="1577">
        <f t="shared" ref="F59:O59" si="16">EDATE(E59,-1)</f>
        <v>43160</v>
      </c>
      <c r="G59" s="1577">
        <f t="shared" si="16"/>
        <v>43132</v>
      </c>
      <c r="H59" s="1577">
        <f t="shared" si="16"/>
        <v>43101</v>
      </c>
      <c r="I59" s="1577">
        <f t="shared" si="16"/>
        <v>43070</v>
      </c>
      <c r="J59" s="1577">
        <f t="shared" si="16"/>
        <v>43040</v>
      </c>
      <c r="K59" s="1577">
        <f t="shared" si="16"/>
        <v>43009</v>
      </c>
      <c r="L59" s="1577">
        <f t="shared" si="16"/>
        <v>42979</v>
      </c>
      <c r="M59" s="1577">
        <f t="shared" si="16"/>
        <v>42948</v>
      </c>
      <c r="N59" s="1577">
        <f t="shared" si="16"/>
        <v>42917</v>
      </c>
      <c r="O59" s="1577">
        <f t="shared" si="16"/>
        <v>42887</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2587</v>
      </c>
      <c r="B64" s="528" t="s">
        <v>2553</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2698</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2562</v>
      </c>
      <c r="B101" s="528" t="s">
        <v>2611</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2613</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2615</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2616</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2617</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2700</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2619</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1" t="s">
        <v>2701</v>
      </c>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1" t="e">
        <f ca="1">IF(C2="——",ROUND(C43*D3/10000,0),ROUND(C43*D3/10000,0)-D2)</f>
        <v>#DIV/0!</v>
      </c>
      <c r="C2" s="2588"/>
      <c r="D2" s="1127" t="e">
        <f ca="1">SUMIF(INDIRECT("'"&amp;F2&amp;"'"&amp;"!A:A"),"承租人权益价值",INDIRECT("'"&amp;F2&amp;"'"&amp;"!c:c"))</f>
        <v>#REF!</v>
      </c>
      <c r="E2" s="2589" t="s">
        <v>2329</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2643</v>
      </c>
      <c r="D3" s="399">
        <f>IF(D1="",'数据-汇总表'!E3,SUMIF('数据-汇总表'!$C19:$C33,D1,'数据-汇总表'!$E19:$E33))</f>
        <v>43189.020000000004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73" t="s">
        <v>2645</v>
      </c>
      <c r="D4" s="3186"/>
      <c r="E4" s="3187" t="s">
        <v>2646</v>
      </c>
      <c r="F4" s="3188"/>
      <c r="G4" s="3173" t="s">
        <v>2647</v>
      </c>
      <c r="H4" s="3186"/>
      <c r="I4" s="3173" t="s">
        <v>2648</v>
      </c>
      <c r="J4" s="3186"/>
      <c r="K4" s="610" t="s">
        <v>2649</v>
      </c>
      <c r="L4" s="1133"/>
      <c r="M4" s="1134"/>
      <c r="N4" s="1134"/>
      <c r="O4" s="1134"/>
      <c r="P4" s="3189" t="s">
        <v>2650</v>
      </c>
      <c r="Q4" s="3190"/>
      <c r="R4" s="3195" t="s">
        <v>2646</v>
      </c>
      <c r="S4" s="3196"/>
      <c r="T4" s="3195" t="s">
        <v>2647</v>
      </c>
      <c r="U4" s="3196"/>
      <c r="V4" s="3182" t="s">
        <v>2648</v>
      </c>
      <c r="W4" s="3182"/>
      <c r="X4" s="1815"/>
      <c r="Y4" s="3195" t="s">
        <v>2650</v>
      </c>
      <c r="Z4" s="3196"/>
      <c r="AA4" s="3183" t="s">
        <v>2646</v>
      </c>
      <c r="AB4" s="3184" t="s">
        <v>2647</v>
      </c>
      <c r="AC4" s="3183" t="s">
        <v>2648</v>
      </c>
    </row>
    <row r="5" spans="1:29" ht="15">
      <c r="A5" s="404"/>
      <c r="B5" s="405"/>
      <c r="C5" s="3208" t="s">
        <v>2541</v>
      </c>
      <c r="D5" s="3204"/>
      <c r="E5" s="3250" t="s">
        <v>2542</v>
      </c>
      <c r="F5" s="3213"/>
      <c r="G5" s="3208" t="s">
        <v>2543</v>
      </c>
      <c r="H5" s="3204"/>
      <c r="I5" s="3208" t="s">
        <v>2544</v>
      </c>
      <c r="J5" s="3204"/>
      <c r="K5" s="610"/>
      <c r="L5" s="1133"/>
      <c r="M5" s="1134"/>
      <c r="N5" s="1134"/>
      <c r="O5" s="1134"/>
      <c r="P5" s="3191"/>
      <c r="Q5" s="3192"/>
      <c r="R5" s="3197"/>
      <c r="S5" s="3198"/>
      <c r="T5" s="3197"/>
      <c r="U5" s="3198"/>
      <c r="V5" s="3182"/>
      <c r="W5" s="3182"/>
      <c r="X5" s="1815"/>
      <c r="Y5" s="3197"/>
      <c r="Z5" s="3198"/>
      <c r="AA5" s="3184"/>
      <c r="AB5" s="3184"/>
      <c r="AC5" s="3184"/>
    </row>
    <row r="6" spans="1:29" ht="15.75" thickBot="1">
      <c r="A6" s="406"/>
      <c r="B6" s="407"/>
      <c r="C6" s="3209" t="s">
        <v>2545</v>
      </c>
      <c r="D6" s="3202"/>
      <c r="E6" s="3249" t="s">
        <v>2545</v>
      </c>
      <c r="F6" s="3211"/>
      <c r="G6" s="3209" t="s">
        <v>2545</v>
      </c>
      <c r="H6" s="3202"/>
      <c r="I6" s="3209" t="s">
        <v>2545</v>
      </c>
      <c r="J6" s="3202"/>
      <c r="K6" s="610" t="s">
        <v>2546</v>
      </c>
      <c r="L6" s="1133"/>
      <c r="M6" s="1134"/>
      <c r="N6" s="1134"/>
      <c r="O6" s="1134"/>
      <c r="P6" s="3193"/>
      <c r="Q6" s="3194"/>
      <c r="R6" s="3197"/>
      <c r="S6" s="3198"/>
      <c r="T6" s="3199"/>
      <c r="U6" s="3200"/>
      <c r="V6" s="3182"/>
      <c r="W6" s="3182"/>
      <c r="X6" s="1815"/>
      <c r="Y6" s="3199"/>
      <c r="Z6" s="3200"/>
      <c r="AA6" s="3185"/>
      <c r="AB6" s="3185"/>
      <c r="AC6" s="3185"/>
    </row>
    <row r="7" spans="1:29" s="117" customFormat="1" ht="15.75" thickBot="1">
      <c r="A7" s="408" t="s">
        <v>2547</v>
      </c>
      <c r="B7" s="409"/>
      <c r="C7" s="410">
        <f>'数据-取费表'!B2</f>
        <v>43262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5" t="s">
        <v>2548</v>
      </c>
      <c r="Q7" s="3207"/>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5" t="s">
        <v>2551</v>
      </c>
      <c r="Q8" s="3206"/>
      <c r="R8" s="770" t="s">
        <v>17</v>
      </c>
      <c r="S8" s="771">
        <f t="shared" si="0"/>
        <v>0</v>
      </c>
      <c r="T8" s="770" t="s">
        <v>17</v>
      </c>
      <c r="U8" s="771">
        <f t="shared" si="1"/>
        <v>0</v>
      </c>
      <c r="V8" s="770" t="s">
        <v>17</v>
      </c>
      <c r="W8" s="771">
        <f t="shared" si="2"/>
        <v>0</v>
      </c>
      <c r="X8" s="772"/>
      <c r="Y8" s="3205" t="s">
        <v>2551</v>
      </c>
      <c r="Z8" s="3206"/>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6" t="s">
        <v>2554</v>
      </c>
      <c r="Q9" s="1797"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6"/>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6"/>
      <c r="Q11" s="1797"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76"/>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76"/>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76"/>
      <c r="Q14" s="1797">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8" t="s">
        <v>2559</v>
      </c>
      <c r="Q15" s="1812" t="str">
        <f t="shared" si="6"/>
        <v>产业集聚程度</v>
      </c>
      <c r="R15" s="774" t="s">
        <v>17</v>
      </c>
      <c r="S15" s="775">
        <f t="shared" si="0"/>
        <v>100</v>
      </c>
      <c r="T15" s="774" t="s">
        <v>17</v>
      </c>
      <c r="U15" s="775">
        <f t="shared" si="1"/>
        <v>100</v>
      </c>
      <c r="V15" s="774" t="s">
        <v>17</v>
      </c>
      <c r="W15" s="775">
        <f t="shared" si="2"/>
        <v>100</v>
      </c>
      <c r="X15" s="1815"/>
      <c r="Y15" s="3178" t="s">
        <v>2559</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79"/>
      <c r="Q16" s="1812"/>
      <c r="R16" s="774"/>
      <c r="S16" s="775"/>
      <c r="T16" s="774"/>
      <c r="U16" s="775"/>
      <c r="V16" s="774"/>
      <c r="W16" s="775"/>
      <c r="X16" s="1815"/>
      <c r="Y16" s="3179"/>
      <c r="Z16" s="1816"/>
      <c r="AA16" s="1813">
        <v>1</v>
      </c>
      <c r="AB16" s="1813">
        <v>1</v>
      </c>
      <c r="AC16" s="1813">
        <v>1</v>
      </c>
    </row>
    <row r="17" spans="1:29" ht="85.5">
      <c r="A17" s="428"/>
      <c r="B17" s="451" t="s">
        <v>2096</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9"/>
      <c r="Q17" s="1812" t="str">
        <f>B17</f>
        <v>交通便捷度</v>
      </c>
      <c r="R17" s="774" t="s">
        <v>17</v>
      </c>
      <c r="S17" s="775">
        <f>F17</f>
        <v>100</v>
      </c>
      <c r="T17" s="774" t="s">
        <v>17</v>
      </c>
      <c r="U17" s="775">
        <f>H17</f>
        <v>100</v>
      </c>
      <c r="V17" s="774" t="s">
        <v>17</v>
      </c>
      <c r="W17" s="775">
        <f>J17</f>
        <v>100</v>
      </c>
      <c r="X17" s="1815"/>
      <c r="Y17" s="3179"/>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42"/>
      <c r="P18" s="3179"/>
      <c r="Q18" s="1812"/>
      <c r="R18" s="774"/>
      <c r="S18" s="775"/>
      <c r="T18" s="774"/>
      <c r="U18" s="775"/>
      <c r="V18" s="774"/>
      <c r="W18" s="775"/>
      <c r="X18" s="1815"/>
      <c r="Y18" s="3179"/>
      <c r="Z18" s="1816"/>
      <c r="AA18" s="1813">
        <v>1</v>
      </c>
      <c r="AB18" s="1813">
        <v>1</v>
      </c>
      <c r="AC18" s="1813">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9"/>
      <c r="Q19" s="1812" t="str">
        <f>B19</f>
        <v>公共配套设施</v>
      </c>
      <c r="R19" s="774" t="s">
        <v>17</v>
      </c>
      <c r="S19" s="775">
        <f>F19</f>
        <v>100</v>
      </c>
      <c r="T19" s="774" t="s">
        <v>17</v>
      </c>
      <c r="U19" s="775">
        <f>H19</f>
        <v>100</v>
      </c>
      <c r="V19" s="774" t="s">
        <v>17</v>
      </c>
      <c r="W19" s="775">
        <f>J19</f>
        <v>100</v>
      </c>
      <c r="X19" s="1815"/>
      <c r="Y19" s="3179"/>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42"/>
      <c r="P20" s="3179"/>
      <c r="Q20" s="1812"/>
      <c r="R20" s="774"/>
      <c r="S20" s="775"/>
      <c r="T20" s="774"/>
      <c r="U20" s="775"/>
      <c r="V20" s="774"/>
      <c r="W20" s="775"/>
      <c r="X20" s="1815"/>
      <c r="Y20" s="3179"/>
      <c r="Z20" s="1816"/>
      <c r="AA20" s="1813">
        <v>1</v>
      </c>
      <c r="AB20" s="1813">
        <v>1</v>
      </c>
      <c r="AC20" s="1813">
        <v>1</v>
      </c>
    </row>
    <row r="21" spans="1:29" ht="28.5">
      <c r="A21" s="428"/>
      <c r="B21" s="1387"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9"/>
      <c r="Q21" s="1812" t="str">
        <f>B21</f>
        <v>基础设施水平</v>
      </c>
      <c r="R21" s="774" t="s">
        <v>17</v>
      </c>
      <c r="S21" s="775">
        <f>F21</f>
        <v>100</v>
      </c>
      <c r="T21" s="774" t="s">
        <v>17</v>
      </c>
      <c r="U21" s="775">
        <f>H21</f>
        <v>100</v>
      </c>
      <c r="V21" s="774" t="s">
        <v>17</v>
      </c>
      <c r="W21" s="775">
        <f>J21</f>
        <v>100</v>
      </c>
      <c r="X21" s="1815"/>
      <c r="Y21" s="3179"/>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9"/>
      <c r="G22" s="447"/>
      <c r="H22" s="448"/>
      <c r="I22" s="447"/>
      <c r="J22" s="448"/>
      <c r="K22" s="1386"/>
      <c r="L22" s="1143"/>
      <c r="M22" s="1134"/>
      <c r="N22" s="1134"/>
      <c r="O22" s="1142"/>
      <c r="P22" s="3179"/>
      <c r="Q22" s="1812"/>
      <c r="R22" s="774"/>
      <c r="S22" s="775"/>
      <c r="T22" s="774"/>
      <c r="U22" s="775"/>
      <c r="V22" s="774"/>
      <c r="W22" s="775"/>
      <c r="X22" s="1815"/>
      <c r="Y22" s="3179"/>
      <c r="Z22" s="1816"/>
      <c r="AA22" s="1813">
        <v>1</v>
      </c>
      <c r="AB22" s="1813">
        <v>1</v>
      </c>
      <c r="AC22" s="1813">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9"/>
      <c r="Q23" s="1812" t="str">
        <f>B23</f>
        <v>环境质量</v>
      </c>
      <c r="R23" s="774" t="s">
        <v>17</v>
      </c>
      <c r="S23" s="775">
        <f>F23</f>
        <v>100</v>
      </c>
      <c r="T23" s="774" t="s">
        <v>17</v>
      </c>
      <c r="U23" s="775">
        <f>H23</f>
        <v>100</v>
      </c>
      <c r="V23" s="774" t="s">
        <v>17</v>
      </c>
      <c r="W23" s="775">
        <f>J23</f>
        <v>100</v>
      </c>
      <c r="X23" s="1815"/>
      <c r="Y23" s="3179"/>
      <c r="Z23" s="1816" t="str">
        <f>Q23</f>
        <v>环境质量</v>
      </c>
      <c r="AA23" s="1813">
        <f t="shared" si="3"/>
        <v>1</v>
      </c>
      <c r="AB23" s="1813">
        <f t="shared" si="4"/>
        <v>1</v>
      </c>
      <c r="AC23" s="1813">
        <f t="shared" si="5"/>
        <v>1</v>
      </c>
    </row>
    <row r="24" spans="1:29" ht="15">
      <c r="A24" s="428"/>
      <c r="B24" s="1387"/>
      <c r="C24" s="447"/>
      <c r="D24" s="448"/>
      <c r="E24" s="2607"/>
      <c r="F24" s="449"/>
      <c r="G24" s="2606"/>
      <c r="H24" s="448"/>
      <c r="I24" s="2607"/>
      <c r="J24" s="448"/>
      <c r="K24" s="615"/>
      <c r="L24" s="1143"/>
      <c r="M24" s="1134"/>
      <c r="N24" s="1134"/>
      <c r="O24" s="1142"/>
      <c r="P24" s="3179"/>
      <c r="Q24" s="1812"/>
      <c r="R24" s="774"/>
      <c r="S24" s="775"/>
      <c r="T24" s="774"/>
      <c r="U24" s="775"/>
      <c r="V24" s="774"/>
      <c r="W24" s="775"/>
      <c r="X24" s="1815"/>
      <c r="Y24" s="3179"/>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9"/>
      <c r="Q25" s="1812">
        <f>B25</f>
        <v>111</v>
      </c>
      <c r="R25" s="774" t="s">
        <v>17</v>
      </c>
      <c r="S25" s="775">
        <f>F25</f>
        <v>100</v>
      </c>
      <c r="T25" s="774" t="s">
        <v>17</v>
      </c>
      <c r="U25" s="775">
        <f>H25</f>
        <v>100</v>
      </c>
      <c r="V25" s="774" t="s">
        <v>17</v>
      </c>
      <c r="W25" s="775">
        <f>J25</f>
        <v>100</v>
      </c>
      <c r="X25" s="1815"/>
      <c r="Y25" s="3179"/>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9"/>
      <c r="Q26" s="1812">
        <f t="shared" ref="Q26:Q40" si="11">B26</f>
        <v>111</v>
      </c>
      <c r="R26" s="774" t="s">
        <v>17</v>
      </c>
      <c r="S26" s="775">
        <f>F26</f>
        <v>100</v>
      </c>
      <c r="T26" s="774" t="s">
        <v>17</v>
      </c>
      <c r="U26" s="775">
        <f>H26</f>
        <v>100</v>
      </c>
      <c r="V26" s="774" t="s">
        <v>17</v>
      </c>
      <c r="W26" s="775">
        <f>J26</f>
        <v>100</v>
      </c>
      <c r="X26" s="1815"/>
      <c r="Y26" s="3179"/>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9"/>
      <c r="Q27" s="1797">
        <f t="shared" si="11"/>
        <v>111</v>
      </c>
      <c r="R27" s="770" t="s">
        <v>17</v>
      </c>
      <c r="S27" s="771">
        <f>F27</f>
        <v>100</v>
      </c>
      <c r="T27" s="770" t="s">
        <v>17</v>
      </c>
      <c r="U27" s="771">
        <f>H27</f>
        <v>100</v>
      </c>
      <c r="V27" s="770" t="s">
        <v>17</v>
      </c>
      <c r="W27" s="771">
        <f>J27</f>
        <v>100</v>
      </c>
      <c r="X27" s="772"/>
      <c r="Y27" s="3179"/>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9"/>
      <c r="Q28" s="1812">
        <f t="shared" si="11"/>
        <v>111</v>
      </c>
      <c r="R28" s="774" t="s">
        <v>17</v>
      </c>
      <c r="S28" s="775">
        <f t="shared" ref="S28:S40" si="12">F28</f>
        <v>100</v>
      </c>
      <c r="T28" s="774" t="s">
        <v>17</v>
      </c>
      <c r="U28" s="775">
        <f t="shared" ref="U28:U40" si="13">H28</f>
        <v>100</v>
      </c>
      <c r="V28" s="774" t="s">
        <v>17</v>
      </c>
      <c r="W28" s="775">
        <f t="shared" ref="W28:W40" si="14">J28</f>
        <v>100</v>
      </c>
      <c r="X28" s="1815"/>
      <c r="Y28" s="3179"/>
      <c r="Z28" s="1816">
        <f t="shared" ref="Z28:Z40" si="15">Q28</f>
        <v>111</v>
      </c>
      <c r="AA28" s="1813">
        <f t="shared" si="3"/>
        <v>1</v>
      </c>
      <c r="AB28" s="1813">
        <f t="shared" si="4"/>
        <v>1</v>
      </c>
      <c r="AC28" s="1813">
        <f t="shared" si="5"/>
        <v>1</v>
      </c>
    </row>
    <row r="29" spans="1:29" ht="1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80" t="s">
        <v>2564</v>
      </c>
      <c r="Q29" s="1812" t="str">
        <f t="shared" si="11"/>
        <v>建筑类型</v>
      </c>
      <c r="R29" s="774" t="s">
        <v>17</v>
      </c>
      <c r="S29" s="775">
        <f t="shared" si="12"/>
        <v>100</v>
      </c>
      <c r="T29" s="774" t="s">
        <v>17</v>
      </c>
      <c r="U29" s="775">
        <f t="shared" si="13"/>
        <v>100</v>
      </c>
      <c r="V29" s="774" t="s">
        <v>17</v>
      </c>
      <c r="W29" s="775">
        <f t="shared" si="14"/>
        <v>100</v>
      </c>
      <c r="X29" s="1815"/>
      <c r="Y29" s="3181" t="s">
        <v>2564</v>
      </c>
      <c r="Z29" s="1816" t="str">
        <f t="shared" si="15"/>
        <v>建筑类型</v>
      </c>
      <c r="AA29" s="1813">
        <f t="shared" si="3"/>
        <v>1</v>
      </c>
      <c r="AB29" s="1813">
        <f t="shared" si="4"/>
        <v>1</v>
      </c>
      <c r="AC29" s="181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1"/>
      <c r="Q30" s="776" t="str">
        <f t="shared" si="11"/>
        <v>项目建筑规模</v>
      </c>
      <c r="R30" s="777" t="s">
        <v>17</v>
      </c>
      <c r="S30" s="778" t="e">
        <f t="shared" si="12"/>
        <v>#N/A</v>
      </c>
      <c r="T30" s="777" t="s">
        <v>17</v>
      </c>
      <c r="U30" s="778" t="e">
        <f t="shared" si="13"/>
        <v>#N/A</v>
      </c>
      <c r="V30" s="777" t="s">
        <v>17</v>
      </c>
      <c r="W30" s="778" t="e">
        <f t="shared" si="14"/>
        <v>#N/A</v>
      </c>
      <c r="X30" s="779"/>
      <c r="Y30" s="3181"/>
      <c r="Z30" s="780" t="str">
        <f t="shared" si="15"/>
        <v>项目建筑规模</v>
      </c>
      <c r="AA30" s="1813" t="e">
        <f t="shared" si="3"/>
        <v>#N/A</v>
      </c>
      <c r="AB30" s="1813" t="e">
        <f t="shared" si="4"/>
        <v>#N/A</v>
      </c>
      <c r="AC30" s="181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1"/>
      <c r="Q31" s="1812" t="str">
        <f t="shared" si="11"/>
        <v>建筑结构</v>
      </c>
      <c r="R31" s="774" t="s">
        <v>17</v>
      </c>
      <c r="S31" s="775">
        <f t="shared" si="12"/>
        <v>100</v>
      </c>
      <c r="T31" s="774" t="s">
        <v>17</v>
      </c>
      <c r="U31" s="775">
        <f t="shared" si="13"/>
        <v>100</v>
      </c>
      <c r="V31" s="774" t="s">
        <v>17</v>
      </c>
      <c r="W31" s="775">
        <f t="shared" si="14"/>
        <v>100</v>
      </c>
      <c r="X31" s="1815"/>
      <c r="Y31" s="3181"/>
      <c r="Z31" s="1816" t="str">
        <f t="shared" si="15"/>
        <v>建筑结构</v>
      </c>
      <c r="AA31" s="1813">
        <f t="shared" si="3"/>
        <v>1</v>
      </c>
      <c r="AB31" s="1813">
        <f t="shared" si="4"/>
        <v>1</v>
      </c>
      <c r="AC31" s="181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1"/>
      <c r="Q32" s="1812" t="str">
        <f t="shared" si="11"/>
        <v>公共部分装修</v>
      </c>
      <c r="R32" s="774" t="s">
        <v>17</v>
      </c>
      <c r="S32" s="775">
        <f t="shared" si="12"/>
        <v>100</v>
      </c>
      <c r="T32" s="774" t="s">
        <v>17</v>
      </c>
      <c r="U32" s="775">
        <f t="shared" si="13"/>
        <v>100</v>
      </c>
      <c r="V32" s="774" t="s">
        <v>17</v>
      </c>
      <c r="W32" s="775">
        <f t="shared" si="14"/>
        <v>100</v>
      </c>
      <c r="X32" s="1815"/>
      <c r="Y32" s="3181"/>
      <c r="Z32" s="1816" t="str">
        <f t="shared" si="15"/>
        <v>公共部分装修</v>
      </c>
      <c r="AA32" s="1813">
        <f t="shared" si="3"/>
        <v>1</v>
      </c>
      <c r="AB32" s="1813">
        <f t="shared" si="4"/>
        <v>1</v>
      </c>
      <c r="AC32" s="181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1"/>
      <c r="Q33" s="1812" t="str">
        <f t="shared" si="11"/>
        <v>成新度</v>
      </c>
      <c r="R33" s="774" t="s">
        <v>17</v>
      </c>
      <c r="S33" s="775" t="e">
        <f t="shared" si="12"/>
        <v>#N/A</v>
      </c>
      <c r="T33" s="774" t="s">
        <v>17</v>
      </c>
      <c r="U33" s="775" t="e">
        <f t="shared" si="13"/>
        <v>#N/A</v>
      </c>
      <c r="V33" s="774" t="s">
        <v>17</v>
      </c>
      <c r="W33" s="775" t="e">
        <f t="shared" si="14"/>
        <v>#N/A</v>
      </c>
      <c r="X33" s="1815"/>
      <c r="Y33" s="3181"/>
      <c r="Z33" s="1816" t="str">
        <f t="shared" si="15"/>
        <v>成新度</v>
      </c>
      <c r="AA33" s="1813" t="e">
        <f t="shared" si="3"/>
        <v>#N/A</v>
      </c>
      <c r="AB33" s="1813" t="e">
        <f t="shared" si="4"/>
        <v>#N/A</v>
      </c>
      <c r="AC33" s="181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1"/>
      <c r="Q34" s="1797" t="str">
        <f t="shared" si="11"/>
        <v>物业管理</v>
      </c>
      <c r="R34" s="770" t="s">
        <v>17</v>
      </c>
      <c r="S34" s="771">
        <f t="shared" si="12"/>
        <v>100</v>
      </c>
      <c r="T34" s="770" t="s">
        <v>17</v>
      </c>
      <c r="U34" s="771">
        <f t="shared" si="13"/>
        <v>100</v>
      </c>
      <c r="V34" s="770" t="s">
        <v>17</v>
      </c>
      <c r="W34" s="771">
        <f t="shared" si="14"/>
        <v>100</v>
      </c>
      <c r="X34" s="772"/>
      <c r="Y34" s="3181"/>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1" t="s">
        <v>2564</v>
      </c>
      <c r="Q35" s="1812" t="str">
        <f t="shared" si="11"/>
        <v>市政基础设施</v>
      </c>
      <c r="R35" s="774" t="s">
        <v>17</v>
      </c>
      <c r="S35" s="775">
        <f t="shared" si="12"/>
        <v>100</v>
      </c>
      <c r="T35" s="774" t="s">
        <v>17</v>
      </c>
      <c r="U35" s="775">
        <f t="shared" si="13"/>
        <v>100</v>
      </c>
      <c r="V35" s="774" t="s">
        <v>17</v>
      </c>
      <c r="W35" s="775">
        <f t="shared" si="14"/>
        <v>100</v>
      </c>
      <c r="X35" s="1815"/>
      <c r="Y35" s="3181" t="s">
        <v>2564</v>
      </c>
      <c r="Z35" s="1816" t="str">
        <f t="shared" si="15"/>
        <v>市政基础设施</v>
      </c>
      <c r="AA35" s="1813">
        <f t="shared" si="3"/>
        <v>1</v>
      </c>
      <c r="AB35" s="1813">
        <f t="shared" si="4"/>
        <v>1</v>
      </c>
      <c r="AC35" s="181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1"/>
      <c r="Q36" s="1812" t="str">
        <f t="shared" si="11"/>
        <v>内部装修</v>
      </c>
      <c r="R36" s="774" t="s">
        <v>17</v>
      </c>
      <c r="S36" s="775">
        <f t="shared" si="12"/>
        <v>100</v>
      </c>
      <c r="T36" s="774" t="s">
        <v>17</v>
      </c>
      <c r="U36" s="775">
        <f t="shared" si="13"/>
        <v>100</v>
      </c>
      <c r="V36" s="774" t="s">
        <v>17</v>
      </c>
      <c r="W36" s="775">
        <f t="shared" si="14"/>
        <v>100</v>
      </c>
      <c r="X36" s="1815"/>
      <c r="Y36" s="3181"/>
      <c r="Z36" s="1816" t="str">
        <f t="shared" si="15"/>
        <v>内部装修</v>
      </c>
      <c r="AA36" s="1813">
        <f t="shared" si="3"/>
        <v>1</v>
      </c>
      <c r="AB36" s="1813">
        <f t="shared" si="4"/>
        <v>1</v>
      </c>
      <c r="AC36" s="181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1"/>
      <c r="Q37" s="1812" t="str">
        <f t="shared" si="11"/>
        <v>内部装修状况</v>
      </c>
      <c r="R37" s="774" t="s">
        <v>17</v>
      </c>
      <c r="S37" s="775">
        <f t="shared" si="12"/>
        <v>100</v>
      </c>
      <c r="T37" s="774" t="s">
        <v>17</v>
      </c>
      <c r="U37" s="775">
        <f t="shared" si="13"/>
        <v>100</v>
      </c>
      <c r="V37" s="774" t="s">
        <v>17</v>
      </c>
      <c r="W37" s="775">
        <f t="shared" si="14"/>
        <v>100</v>
      </c>
      <c r="X37" s="1815"/>
      <c r="Y37" s="3181"/>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1"/>
      <c r="Q38" s="776">
        <f t="shared" si="11"/>
        <v>111</v>
      </c>
      <c r="R38" s="777" t="s">
        <v>17</v>
      </c>
      <c r="S38" s="778">
        <f t="shared" si="12"/>
        <v>100</v>
      </c>
      <c r="T38" s="777" t="s">
        <v>17</v>
      </c>
      <c r="U38" s="778">
        <f t="shared" si="13"/>
        <v>100</v>
      </c>
      <c r="V38" s="777" t="s">
        <v>17</v>
      </c>
      <c r="W38" s="778">
        <f t="shared" si="14"/>
        <v>100</v>
      </c>
      <c r="X38" s="779"/>
      <c r="Y38" s="3181"/>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1"/>
      <c r="Q39" s="1812">
        <f t="shared" si="11"/>
        <v>111</v>
      </c>
      <c r="R39" s="774" t="s">
        <v>17</v>
      </c>
      <c r="S39" s="775">
        <f t="shared" si="12"/>
        <v>100</v>
      </c>
      <c r="T39" s="774" t="s">
        <v>17</v>
      </c>
      <c r="U39" s="775">
        <f t="shared" si="13"/>
        <v>100</v>
      </c>
      <c r="V39" s="774" t="s">
        <v>17</v>
      </c>
      <c r="W39" s="775">
        <f t="shared" si="14"/>
        <v>100</v>
      </c>
      <c r="X39" s="1815"/>
      <c r="Y39" s="3181"/>
      <c r="Z39" s="1816">
        <f t="shared" si="15"/>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8"/>
      <c r="Q40" s="1812">
        <f t="shared" si="11"/>
        <v>111</v>
      </c>
      <c r="R40" s="774" t="s">
        <v>17</v>
      </c>
      <c r="S40" s="775">
        <f t="shared" si="12"/>
        <v>100</v>
      </c>
      <c r="T40" s="774" t="s">
        <v>17</v>
      </c>
      <c r="U40" s="775">
        <f t="shared" si="13"/>
        <v>100</v>
      </c>
      <c r="V40" s="774" t="s">
        <v>17</v>
      </c>
      <c r="W40" s="775">
        <f t="shared" si="14"/>
        <v>100</v>
      </c>
      <c r="X40" s="1815"/>
      <c r="Y40" s="3248"/>
      <c r="Z40" s="1816">
        <f t="shared" si="15"/>
        <v>111</v>
      </c>
      <c r="AA40" s="1813">
        <f t="shared" si="3"/>
        <v>1</v>
      </c>
      <c r="AB40" s="1813">
        <f t="shared" si="4"/>
        <v>1</v>
      </c>
      <c r="AC40" s="1813">
        <f t="shared" si="5"/>
        <v>1</v>
      </c>
    </row>
    <row r="41" spans="1:29" ht="15">
      <c r="A41" s="479" t="s">
        <v>2576</v>
      </c>
      <c r="B41" s="480"/>
      <c r="C41" s="1410" t="s">
        <v>1</v>
      </c>
      <c r="D41" s="1411"/>
      <c r="E41" s="1412"/>
      <c r="F41" s="1413"/>
      <c r="G41" s="1414"/>
      <c r="H41" s="1415"/>
      <c r="I41" s="1412"/>
      <c r="J41" s="1415"/>
      <c r="K41" s="783"/>
      <c r="L41" s="1146"/>
      <c r="M41" s="1147"/>
      <c r="N41" s="1134"/>
      <c r="O41" s="1147"/>
      <c r="P41" s="3176" t="str">
        <f>A41</f>
        <v>成交单价（元/平方米）</v>
      </c>
      <c r="Q41" s="3176"/>
      <c r="R41" s="3241">
        <f>E41</f>
        <v>0</v>
      </c>
      <c r="S41" s="3241"/>
      <c r="T41" s="3241">
        <f>G41</f>
        <v>0</v>
      </c>
      <c r="U41" s="3241"/>
      <c r="V41" s="3241">
        <f>I41</f>
        <v>0</v>
      </c>
      <c r="W41" s="3241"/>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176" t="str">
        <f>A42</f>
        <v>比较价值（元/平方米）</v>
      </c>
      <c r="Q42" s="3176"/>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170" t="str">
        <f>A43</f>
        <v>估价对象XX用房的比较价值（楼面单价，元/平方米）</v>
      </c>
      <c r="Q43" s="3171"/>
      <c r="R43" s="3242" t="e">
        <f>IF(F1="售价",ROUND(AVERAGE(R42:V42),0),ROUND(AVERAGE(R42:V42),1))</f>
        <v>#DIV/0!</v>
      </c>
      <c r="S43" s="3242"/>
      <c r="T43" s="3242"/>
      <c r="U43" s="3242"/>
      <c r="V43" s="3242"/>
      <c r="W43" s="324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6" t="str">
        <f>YEAR(C7)&amp;"-"&amp;MONTH(C7)</f>
        <v>2018-6</v>
      </c>
      <c r="D52" s="1577">
        <f>EDATE(C52,-1)</f>
        <v>43221</v>
      </c>
      <c r="E52" s="1577">
        <f t="shared" ref="E52:O52" si="16">EDATE(D52,-1)</f>
        <v>43191</v>
      </c>
      <c r="F52" s="1577">
        <f t="shared" si="16"/>
        <v>43160</v>
      </c>
      <c r="G52" s="1577">
        <f t="shared" si="16"/>
        <v>43132</v>
      </c>
      <c r="H52" s="1577">
        <f t="shared" si="16"/>
        <v>43101</v>
      </c>
      <c r="I52" s="1577">
        <f t="shared" si="16"/>
        <v>43070</v>
      </c>
      <c r="J52" s="1577">
        <f t="shared" si="16"/>
        <v>43040</v>
      </c>
      <c r="K52" s="1577">
        <f t="shared" si="16"/>
        <v>43009</v>
      </c>
      <c r="L52" s="1577">
        <f t="shared" si="16"/>
        <v>42979</v>
      </c>
      <c r="M52" s="1577">
        <f t="shared" si="16"/>
        <v>42948</v>
      </c>
      <c r="N52" s="1577">
        <f t="shared" si="16"/>
        <v>42917</v>
      </c>
      <c r="O52" s="1577">
        <f t="shared" si="16"/>
        <v>42887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武汉伟鹏房地产开发建筑有限公司：</v>
      </c>
    </row>
    <row r="4" spans="1:1" ht="54">
      <c r="A4" s="1950" t="str">
        <f>"受贵公司委托，我公司对"&amp;项目基本情况!S1&amp;"进行了预评估。"</f>
        <v>受贵公司委托，我公司对湖北省武汉市江夏区纸坊街红旗村“江南新天地”（又名“鹏湖湾”）项目出让国有建设用地使用权及在建建筑物房地产抵押价值进行了预评估。</v>
      </c>
    </row>
    <row r="5" spans="1:1" ht="18.75">
      <c r="A5" s="1951" t="s">
        <v>1612</v>
      </c>
    </row>
    <row r="6" spans="1:1" ht="18.75">
      <c r="A6" s="1952" t="s">
        <v>1613</v>
      </c>
    </row>
    <row r="7" spans="1:1" ht="10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江夏区纸坊街红旗村“江南新天地”（又名“鹏湖湾”）项目出让国有建设用地使用权及在建建筑物房地产，为武汉伟鹏房地产开发建筑有限公司所有。根据《国有土地使用证》[夏国用（2007）第268号]、《武汉市江夏区鹏湖湾三期房产面积预测技术报告书》[编号：2016099、2017018]、《委托估价函》，估价对象（分摊）出让国有建设用地使用权面积为13519.93平方米，建筑面积为43189.02平方米。</v>
      </c>
    </row>
    <row r="8" spans="1:1" ht="57.75">
      <c r="A8" s="1953" t="s">
        <v>1614</v>
      </c>
    </row>
    <row r="9" spans="1:1" ht="18.75">
      <c r="A9" s="1952" t="s">
        <v>1615</v>
      </c>
    </row>
    <row r="10" spans="1:1" ht="10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江夏区纸坊街红旗村“江南新天地”（又名“鹏湖湾”）项目出让国有建设用地使用权及在建建筑物房地产,属武汉伟鹏房地产开发建筑有限公司开发建设的居住项目，该项目尚在开发建设中。根据《国有土地使用证》[夏国用（2007）第268号]、《武汉市江夏区鹏湖湾三期房产面积预测技术报告书》[编号：2016099、2017018]、《委托估价函》，估价对象（分摊）出让国有建设用地使用权面积为13519.93平方米，规划建筑面积为43189.02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2018年6月11日（评估专业人员实地查勘之日）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11日，估价对象规划用途为住宅，土地取得方式为出让，出让国有建设用地使用权剩余土地使用年限为住宅58.89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住宅58.89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24"/>
      <c r="F1" s="2586"/>
      <c r="G1" s="1625" t="s">
        <v>2642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2328</v>
      </c>
      <c r="B2" s="1421" t="e">
        <f ca="1">IF(C2="——",IF(B37="元/平方米",ROUND(C39*D3/10000,0),ROUND(F3*C39/10000,0)),IF(B37="元/平方米",ROUND(C39*D3/10000,0),ROUND(F3*C39/10000,0))-D2)</f>
        <v>#DIV/0!</v>
      </c>
      <c r="C2" s="2588"/>
      <c r="D2" s="1127" t="e">
        <f ca="1">SUMIF(INDIRECT("'"&amp;F2&amp;"'"&amp;"!A:A"),"承租人权益价值",INDIRECT("'"&amp;F2&amp;"'"&amp;"!c:c"))</f>
        <v>#REF!</v>
      </c>
      <c r="E2" s="2589" t="s">
        <v>2329</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73" t="s">
        <v>2645</v>
      </c>
      <c r="D4" s="3186"/>
      <c r="E4" s="3187" t="s">
        <v>2646</v>
      </c>
      <c r="F4" s="3188"/>
      <c r="G4" s="3173" t="s">
        <v>2647</v>
      </c>
      <c r="H4" s="3186"/>
      <c r="I4" s="3173" t="s">
        <v>2648</v>
      </c>
      <c r="J4" s="3186"/>
      <c r="K4" s="610" t="s">
        <v>2649</v>
      </c>
      <c r="L4" s="1133"/>
      <c r="M4" s="1134"/>
      <c r="N4" s="1134"/>
      <c r="O4" s="1134"/>
      <c r="P4" s="3189" t="s">
        <v>2650</v>
      </c>
      <c r="Q4" s="3190"/>
      <c r="R4" s="3195" t="s">
        <v>2646</v>
      </c>
      <c r="S4" s="3196"/>
      <c r="T4" s="3195" t="s">
        <v>2647</v>
      </c>
      <c r="U4" s="3196"/>
      <c r="V4" s="3182" t="s">
        <v>2648</v>
      </c>
      <c r="W4" s="3182"/>
      <c r="X4" s="1815"/>
      <c r="Y4" s="3195" t="s">
        <v>2650</v>
      </c>
      <c r="Z4" s="3196"/>
      <c r="AA4" s="3183" t="s">
        <v>2646</v>
      </c>
      <c r="AB4" s="3184" t="s">
        <v>2647</v>
      </c>
      <c r="AC4" s="3183" t="s">
        <v>2648</v>
      </c>
    </row>
    <row r="5" spans="1:29" ht="15">
      <c r="A5" s="404"/>
      <c r="B5" s="405"/>
      <c r="C5" s="3208" t="s">
        <v>2541</v>
      </c>
      <c r="D5" s="3204"/>
      <c r="E5" s="3250" t="s">
        <v>2542</v>
      </c>
      <c r="F5" s="3213"/>
      <c r="G5" s="3208" t="s">
        <v>2543</v>
      </c>
      <c r="H5" s="3204"/>
      <c r="I5" s="3208" t="s">
        <v>2544</v>
      </c>
      <c r="J5" s="3204"/>
      <c r="K5" s="610"/>
      <c r="L5" s="1133"/>
      <c r="M5" s="1134"/>
      <c r="N5" s="1134"/>
      <c r="O5" s="1134"/>
      <c r="P5" s="3191"/>
      <c r="Q5" s="3192"/>
      <c r="R5" s="3197"/>
      <c r="S5" s="3198"/>
      <c r="T5" s="3197"/>
      <c r="U5" s="3198"/>
      <c r="V5" s="3182"/>
      <c r="W5" s="3182"/>
      <c r="X5" s="1815"/>
      <c r="Y5" s="3197"/>
      <c r="Z5" s="3198"/>
      <c r="AA5" s="3184"/>
      <c r="AB5" s="3184"/>
      <c r="AC5" s="3184"/>
    </row>
    <row r="6" spans="1:29" ht="15.75" thickBot="1">
      <c r="A6" s="406"/>
      <c r="B6" s="407"/>
      <c r="C6" s="3209" t="s">
        <v>2545</v>
      </c>
      <c r="D6" s="3202"/>
      <c r="E6" s="3249" t="s">
        <v>2545</v>
      </c>
      <c r="F6" s="3211"/>
      <c r="G6" s="3209" t="s">
        <v>2545</v>
      </c>
      <c r="H6" s="3202"/>
      <c r="I6" s="3209" t="s">
        <v>2545</v>
      </c>
      <c r="J6" s="3202"/>
      <c r="K6" s="610" t="s">
        <v>2546</v>
      </c>
      <c r="L6" s="1133"/>
      <c r="M6" s="1134"/>
      <c r="N6" s="1134"/>
      <c r="O6" s="1134"/>
      <c r="P6" s="3193"/>
      <c r="Q6" s="3194"/>
      <c r="R6" s="3197"/>
      <c r="S6" s="3198"/>
      <c r="T6" s="3199"/>
      <c r="U6" s="3200"/>
      <c r="V6" s="3182"/>
      <c r="W6" s="3182"/>
      <c r="X6" s="1815"/>
      <c r="Y6" s="3199"/>
      <c r="Z6" s="3200"/>
      <c r="AA6" s="3185"/>
      <c r="AB6" s="3185"/>
      <c r="AC6" s="3185"/>
    </row>
    <row r="7" spans="1:29" s="117" customFormat="1" ht="15.75" thickBot="1">
      <c r="A7" s="408" t="s">
        <v>2547</v>
      </c>
      <c r="B7" s="409"/>
      <c r="C7" s="410">
        <f>'数据-取费表'!B2</f>
        <v>43262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5" t="s">
        <v>2548</v>
      </c>
      <c r="Q7" s="3207"/>
      <c r="R7" s="770" t="s">
        <v>17</v>
      </c>
      <c r="S7" s="771">
        <f t="shared" ref="S7:S14" si="0">F7</f>
        <v>0</v>
      </c>
      <c r="T7" s="770" t="s">
        <v>17</v>
      </c>
      <c r="U7" s="771">
        <f t="shared" ref="U7:U14" si="1">H7</f>
        <v>0</v>
      </c>
      <c r="V7" s="770" t="s">
        <v>17</v>
      </c>
      <c r="W7" s="771">
        <f t="shared" ref="W7:W14" si="2">J7</f>
        <v>0</v>
      </c>
      <c r="X7" s="772"/>
      <c r="Y7" s="3205" t="s">
        <v>2548</v>
      </c>
      <c r="Z7" s="3206"/>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5" t="s">
        <v>2551</v>
      </c>
      <c r="Q8" s="3206"/>
      <c r="R8" s="770" t="s">
        <v>17</v>
      </c>
      <c r="S8" s="771">
        <f t="shared" si="0"/>
        <v>0</v>
      </c>
      <c r="T8" s="770" t="s">
        <v>17</v>
      </c>
      <c r="U8" s="771">
        <f t="shared" si="1"/>
        <v>0</v>
      </c>
      <c r="V8" s="770" t="s">
        <v>17</v>
      </c>
      <c r="W8" s="771">
        <f t="shared" si="2"/>
        <v>0</v>
      </c>
      <c r="X8" s="772"/>
      <c r="Y8" s="3205" t="s">
        <v>2551</v>
      </c>
      <c r="Z8" s="3206"/>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6" t="s">
        <v>2554</v>
      </c>
      <c r="Q9" s="1797" t="str">
        <f t="shared" ref="Q9:Q14" si="6">B9</f>
        <v>用途</v>
      </c>
      <c r="R9" s="770" t="s">
        <v>17</v>
      </c>
      <c r="S9" s="771">
        <f t="shared" si="0"/>
        <v>100</v>
      </c>
      <c r="T9" s="770" t="s">
        <v>17</v>
      </c>
      <c r="U9" s="771">
        <f t="shared" si="1"/>
        <v>100</v>
      </c>
      <c r="V9" s="770" t="s">
        <v>17</v>
      </c>
      <c r="W9" s="771">
        <f t="shared" si="2"/>
        <v>100</v>
      </c>
      <c r="X9" s="772"/>
      <c r="Y9" s="3024"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6"/>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6"/>
      <c r="Q11" s="1797">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6"/>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6"/>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8" t="s">
        <v>2559</v>
      </c>
      <c r="Q14" s="1812" t="str">
        <f t="shared" si="6"/>
        <v>交通便捷度</v>
      </c>
      <c r="R14" s="774" t="s">
        <v>17</v>
      </c>
      <c r="S14" s="775">
        <f t="shared" si="0"/>
        <v>100</v>
      </c>
      <c r="T14" s="774" t="s">
        <v>17</v>
      </c>
      <c r="U14" s="775">
        <f t="shared" si="1"/>
        <v>100</v>
      </c>
      <c r="V14" s="774" t="s">
        <v>17</v>
      </c>
      <c r="W14" s="775">
        <f t="shared" si="2"/>
        <v>100</v>
      </c>
      <c r="X14" s="1815"/>
      <c r="Y14" s="3178" t="s">
        <v>2559</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79"/>
      <c r="Q15" s="1812"/>
      <c r="R15" s="774"/>
      <c r="S15" s="775"/>
      <c r="T15" s="774"/>
      <c r="U15" s="775"/>
      <c r="V15" s="774"/>
      <c r="W15" s="775"/>
      <c r="X15" s="1815"/>
      <c r="Y15" s="3179"/>
      <c r="Z15" s="1816"/>
      <c r="AA15" s="1813">
        <v>1</v>
      </c>
      <c r="AB15" s="1813">
        <v>1</v>
      </c>
      <c r="AC15" s="1813">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9"/>
      <c r="Q16" s="1812" t="str">
        <f>B16</f>
        <v>公共配套设施</v>
      </c>
      <c r="R16" s="774" t="s">
        <v>17</v>
      </c>
      <c r="S16" s="775">
        <f>F16</f>
        <v>100</v>
      </c>
      <c r="T16" s="774" t="s">
        <v>17</v>
      </c>
      <c r="U16" s="775">
        <f>H16</f>
        <v>100</v>
      </c>
      <c r="V16" s="774" t="s">
        <v>17</v>
      </c>
      <c r="W16" s="775">
        <f>J16</f>
        <v>100</v>
      </c>
      <c r="X16" s="1815"/>
      <c r="Y16" s="3179"/>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3"/>
      <c r="M17" s="1134"/>
      <c r="N17" s="1134"/>
      <c r="O17" s="1134"/>
      <c r="P17" s="3179"/>
      <c r="Q17" s="1812"/>
      <c r="R17" s="774"/>
      <c r="S17" s="775"/>
      <c r="T17" s="774"/>
      <c r="U17" s="775"/>
      <c r="V17" s="774"/>
      <c r="W17" s="775"/>
      <c r="X17" s="1815"/>
      <c r="Y17" s="3179"/>
      <c r="Z17" s="1816"/>
      <c r="AA17" s="1813">
        <v>1</v>
      </c>
      <c r="AB17" s="1813">
        <v>1</v>
      </c>
      <c r="AC17" s="1813">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9"/>
      <c r="Q18" s="1812" t="str">
        <f>B18</f>
        <v>基础设施水平</v>
      </c>
      <c r="R18" s="774" t="s">
        <v>17</v>
      </c>
      <c r="S18" s="775">
        <f>F18</f>
        <v>100</v>
      </c>
      <c r="T18" s="774" t="s">
        <v>17</v>
      </c>
      <c r="U18" s="775">
        <f>H18</f>
        <v>100</v>
      </c>
      <c r="V18" s="774" t="s">
        <v>17</v>
      </c>
      <c r="W18" s="775">
        <f>J18</f>
        <v>100</v>
      </c>
      <c r="X18" s="1815"/>
      <c r="Y18" s="3179"/>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6"/>
      <c r="L19" s="1143"/>
      <c r="M19" s="1134"/>
      <c r="N19" s="1134"/>
      <c r="O19" s="1134"/>
      <c r="P19" s="3179"/>
      <c r="Q19" s="1812"/>
      <c r="R19" s="774"/>
      <c r="S19" s="775"/>
      <c r="T19" s="774"/>
      <c r="U19" s="775"/>
      <c r="V19" s="774"/>
      <c r="W19" s="775"/>
      <c r="X19" s="1815"/>
      <c r="Y19" s="3179"/>
      <c r="Z19" s="1816"/>
      <c r="AA19" s="1813">
        <v>1</v>
      </c>
      <c r="AB19" s="1813">
        <v>1</v>
      </c>
      <c r="AC19" s="1813">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9"/>
      <c r="Q20" s="1812" t="str">
        <f>B20</f>
        <v>自然及人文环境</v>
      </c>
      <c r="R20" s="774" t="s">
        <v>17</v>
      </c>
      <c r="S20" s="775">
        <f>F20</f>
        <v>100</v>
      </c>
      <c r="T20" s="774" t="s">
        <v>17</v>
      </c>
      <c r="U20" s="775">
        <f>H20</f>
        <v>100</v>
      </c>
      <c r="V20" s="774" t="s">
        <v>17</v>
      </c>
      <c r="W20" s="775">
        <f>J20</f>
        <v>100</v>
      </c>
      <c r="X20" s="1815"/>
      <c r="Y20" s="3179"/>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79"/>
      <c r="Q21" s="1812"/>
      <c r="R21" s="774"/>
      <c r="S21" s="775"/>
      <c r="T21" s="774"/>
      <c r="U21" s="775"/>
      <c r="V21" s="774"/>
      <c r="W21" s="775"/>
      <c r="X21" s="1815"/>
      <c r="Y21" s="3179"/>
      <c r="Z21" s="1816"/>
      <c r="AA21" s="1813">
        <v>1</v>
      </c>
      <c r="AB21" s="1813">
        <v>1</v>
      </c>
      <c r="AC21" s="181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9"/>
      <c r="Q22" s="1812" t="str">
        <f>B22</f>
        <v>楼层</v>
      </c>
      <c r="R22" s="774" t="s">
        <v>17</v>
      </c>
      <c r="S22" s="775">
        <f>F22</f>
        <v>100</v>
      </c>
      <c r="T22" s="774" t="s">
        <v>17</v>
      </c>
      <c r="U22" s="775">
        <f>H22</f>
        <v>100</v>
      </c>
      <c r="V22" s="774" t="s">
        <v>17</v>
      </c>
      <c r="W22" s="775">
        <f>J22</f>
        <v>100</v>
      </c>
      <c r="X22" s="1815"/>
      <c r="Y22" s="3179"/>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9"/>
      <c r="Q23" s="1812">
        <f>B23</f>
        <v>111</v>
      </c>
      <c r="R23" s="774" t="s">
        <v>17</v>
      </c>
      <c r="S23" s="775">
        <f>F23</f>
        <v>100</v>
      </c>
      <c r="T23" s="774" t="s">
        <v>17</v>
      </c>
      <c r="U23" s="775">
        <f>H23</f>
        <v>100</v>
      </c>
      <c r="V23" s="774" t="s">
        <v>17</v>
      </c>
      <c r="W23" s="775">
        <f>J23</f>
        <v>100</v>
      </c>
      <c r="X23" s="1815"/>
      <c r="Y23" s="3179"/>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9"/>
      <c r="Q24" s="1812">
        <f t="shared" ref="Q24:Q36" si="11">B24</f>
        <v>111</v>
      </c>
      <c r="R24" s="774" t="s">
        <v>17</v>
      </c>
      <c r="S24" s="775">
        <f>F24</f>
        <v>100</v>
      </c>
      <c r="T24" s="774" t="s">
        <v>17</v>
      </c>
      <c r="U24" s="775">
        <f>H24</f>
        <v>100</v>
      </c>
      <c r="V24" s="774" t="s">
        <v>17</v>
      </c>
      <c r="W24" s="775">
        <f>J24</f>
        <v>100</v>
      </c>
      <c r="X24" s="1815"/>
      <c r="Y24" s="3179"/>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9"/>
      <c r="Q25" s="1797">
        <f t="shared" si="11"/>
        <v>111</v>
      </c>
      <c r="R25" s="770" t="s">
        <v>17</v>
      </c>
      <c r="S25" s="771">
        <f>F25</f>
        <v>100</v>
      </c>
      <c r="T25" s="770" t="s">
        <v>17</v>
      </c>
      <c r="U25" s="771">
        <f>H25</f>
        <v>100</v>
      </c>
      <c r="V25" s="770" t="s">
        <v>17</v>
      </c>
      <c r="W25" s="771">
        <f>J25</f>
        <v>100</v>
      </c>
      <c r="X25" s="772"/>
      <c r="Y25" s="3179"/>
      <c r="Z25" s="55">
        <f>Q25</f>
        <v>111</v>
      </c>
      <c r="AA25" s="1813">
        <f>D25/F25</f>
        <v>1</v>
      </c>
      <c r="AB25" s="1813">
        <f>D25/H25</f>
        <v>1</v>
      </c>
      <c r="AC25" s="1813">
        <f>D25/J25</f>
        <v>1</v>
      </c>
    </row>
    <row r="26" spans="1:29" ht="1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0" t="s">
        <v>2564</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1" t="s">
        <v>2564</v>
      </c>
      <c r="Z26" s="1816" t="str">
        <f t="shared" ref="Z26:Z36" si="15">Q26</f>
        <v>配套类型</v>
      </c>
      <c r="AA26" s="1813">
        <f t="shared" si="3"/>
        <v>1</v>
      </c>
      <c r="AB26" s="1813">
        <f t="shared" si="4"/>
        <v>1</v>
      </c>
      <c r="AC26" s="181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1"/>
      <c r="Q27" s="776" t="str">
        <f t="shared" si="11"/>
        <v>项目停车位配比</v>
      </c>
      <c r="R27" s="777" t="s">
        <v>17</v>
      </c>
      <c r="S27" s="778">
        <f t="shared" si="12"/>
        <v>100</v>
      </c>
      <c r="T27" s="777" t="s">
        <v>17</v>
      </c>
      <c r="U27" s="778">
        <f t="shared" si="13"/>
        <v>100</v>
      </c>
      <c r="V27" s="777" t="s">
        <v>17</v>
      </c>
      <c r="W27" s="778">
        <f t="shared" si="14"/>
        <v>100</v>
      </c>
      <c r="X27" s="779"/>
      <c r="Y27" s="3181"/>
      <c r="Z27" s="780" t="str">
        <f t="shared" si="15"/>
        <v>项目停车位配比</v>
      </c>
      <c r="AA27" s="1813">
        <f t="shared" si="3"/>
        <v>1</v>
      </c>
      <c r="AB27" s="1813">
        <f t="shared" si="4"/>
        <v>1</v>
      </c>
      <c r="AC27" s="181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1"/>
      <c r="Q28" s="1812" t="str">
        <f t="shared" si="11"/>
        <v>公共部分装修</v>
      </c>
      <c r="R28" s="774" t="s">
        <v>17</v>
      </c>
      <c r="S28" s="775">
        <f t="shared" si="12"/>
        <v>100</v>
      </c>
      <c r="T28" s="774" t="s">
        <v>17</v>
      </c>
      <c r="U28" s="775">
        <f t="shared" si="13"/>
        <v>100</v>
      </c>
      <c r="V28" s="774" t="s">
        <v>17</v>
      </c>
      <c r="W28" s="775">
        <f t="shared" si="14"/>
        <v>100</v>
      </c>
      <c r="X28" s="1815"/>
      <c r="Y28" s="3181"/>
      <c r="Z28" s="1816" t="str">
        <f t="shared" si="15"/>
        <v>公共部分装修</v>
      </c>
      <c r="AA28" s="1813">
        <f t="shared" si="3"/>
        <v>1</v>
      </c>
      <c r="AB28" s="1813">
        <f t="shared" si="4"/>
        <v>1</v>
      </c>
      <c r="AC28" s="181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1"/>
      <c r="Q29" s="1812" t="str">
        <f t="shared" si="11"/>
        <v>成新率</v>
      </c>
      <c r="R29" s="774" t="s">
        <v>17</v>
      </c>
      <c r="S29" s="775" t="e">
        <f t="shared" si="12"/>
        <v>#N/A</v>
      </c>
      <c r="T29" s="774" t="s">
        <v>17</v>
      </c>
      <c r="U29" s="775" t="e">
        <f t="shared" si="13"/>
        <v>#N/A</v>
      </c>
      <c r="V29" s="774" t="s">
        <v>17</v>
      </c>
      <c r="W29" s="775" t="e">
        <f t="shared" si="14"/>
        <v>#N/A</v>
      </c>
      <c r="X29" s="1815"/>
      <c r="Y29" s="3181"/>
      <c r="Z29" s="1816" t="str">
        <f t="shared" si="15"/>
        <v>成新率</v>
      </c>
      <c r="AA29" s="1813" t="e">
        <f t="shared" si="3"/>
        <v>#N/A</v>
      </c>
      <c r="AB29" s="1813" t="e">
        <f t="shared" si="4"/>
        <v>#N/A</v>
      </c>
      <c r="AC29" s="181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1"/>
      <c r="Q30" s="1812" t="str">
        <f t="shared" si="11"/>
        <v>物业等级</v>
      </c>
      <c r="R30" s="774" t="s">
        <v>17</v>
      </c>
      <c r="S30" s="775">
        <f t="shared" si="12"/>
        <v>100</v>
      </c>
      <c r="T30" s="774" t="s">
        <v>17</v>
      </c>
      <c r="U30" s="775">
        <f t="shared" si="13"/>
        <v>100</v>
      </c>
      <c r="V30" s="774" t="s">
        <v>17</v>
      </c>
      <c r="W30" s="775">
        <f t="shared" si="14"/>
        <v>100</v>
      </c>
      <c r="X30" s="1815"/>
      <c r="Y30" s="3181"/>
      <c r="Z30" s="1816" t="str">
        <f t="shared" si="15"/>
        <v>物业等级</v>
      </c>
      <c r="AA30" s="1813">
        <f t="shared" si="3"/>
        <v>1</v>
      </c>
      <c r="AB30" s="1813">
        <f t="shared" si="4"/>
        <v>1</v>
      </c>
      <c r="AC30" s="181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1"/>
      <c r="Q31" s="1797" t="str">
        <f t="shared" si="11"/>
        <v>停车位面积</v>
      </c>
      <c r="R31" s="770" t="s">
        <v>17</v>
      </c>
      <c r="S31" s="771" t="e">
        <f t="shared" si="12"/>
        <v>#N/A</v>
      </c>
      <c r="T31" s="770" t="s">
        <v>17</v>
      </c>
      <c r="U31" s="771" t="e">
        <f t="shared" si="13"/>
        <v>#N/A</v>
      </c>
      <c r="V31" s="770" t="s">
        <v>17</v>
      </c>
      <c r="W31" s="771" t="e">
        <f t="shared" si="14"/>
        <v>#N/A</v>
      </c>
      <c r="X31" s="772"/>
      <c r="Y31" s="3181"/>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1" t="s">
        <v>2564</v>
      </c>
      <c r="Q32" s="1812" t="str">
        <f t="shared" si="11"/>
        <v>车位类型</v>
      </c>
      <c r="R32" s="774" t="s">
        <v>17</v>
      </c>
      <c r="S32" s="775">
        <f t="shared" si="12"/>
        <v>100</v>
      </c>
      <c r="T32" s="774" t="s">
        <v>17</v>
      </c>
      <c r="U32" s="775">
        <f t="shared" si="13"/>
        <v>100</v>
      </c>
      <c r="V32" s="774" t="s">
        <v>17</v>
      </c>
      <c r="W32" s="775">
        <f t="shared" si="14"/>
        <v>100</v>
      </c>
      <c r="X32" s="1815"/>
      <c r="Y32" s="3181" t="s">
        <v>2564</v>
      </c>
      <c r="Z32" s="1816" t="str">
        <f t="shared" si="15"/>
        <v>车位类型</v>
      </c>
      <c r="AA32" s="1813">
        <f t="shared" si="3"/>
        <v>1</v>
      </c>
      <c r="AB32" s="1813">
        <f t="shared" si="4"/>
        <v>1</v>
      </c>
      <c r="AC32" s="181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1"/>
      <c r="Q33" s="1812" t="str">
        <f t="shared" si="11"/>
        <v>是否直接入户</v>
      </c>
      <c r="R33" s="774" t="s">
        <v>17</v>
      </c>
      <c r="S33" s="775">
        <f t="shared" si="12"/>
        <v>100</v>
      </c>
      <c r="T33" s="774" t="s">
        <v>17</v>
      </c>
      <c r="U33" s="775">
        <f t="shared" si="13"/>
        <v>100</v>
      </c>
      <c r="V33" s="774" t="s">
        <v>17</v>
      </c>
      <c r="W33" s="775">
        <f t="shared" si="14"/>
        <v>100</v>
      </c>
      <c r="X33" s="1815"/>
      <c r="Y33" s="3181"/>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1"/>
      <c r="Q34" s="1812">
        <f t="shared" si="11"/>
        <v>111</v>
      </c>
      <c r="R34" s="774" t="s">
        <v>17</v>
      </c>
      <c r="S34" s="775">
        <f t="shared" si="12"/>
        <v>100</v>
      </c>
      <c r="T34" s="774" t="s">
        <v>17</v>
      </c>
      <c r="U34" s="775">
        <f t="shared" si="13"/>
        <v>100</v>
      </c>
      <c r="V34" s="774" t="s">
        <v>17</v>
      </c>
      <c r="W34" s="775">
        <f t="shared" si="14"/>
        <v>100</v>
      </c>
      <c r="X34" s="1815"/>
      <c r="Y34" s="3181"/>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1"/>
      <c r="Q35" s="776">
        <f t="shared" si="11"/>
        <v>111</v>
      </c>
      <c r="R35" s="777" t="s">
        <v>17</v>
      </c>
      <c r="S35" s="778">
        <f t="shared" si="12"/>
        <v>100</v>
      </c>
      <c r="T35" s="777" t="s">
        <v>17</v>
      </c>
      <c r="U35" s="778">
        <f t="shared" si="13"/>
        <v>100</v>
      </c>
      <c r="V35" s="777" t="s">
        <v>17</v>
      </c>
      <c r="W35" s="778">
        <f t="shared" si="14"/>
        <v>100</v>
      </c>
      <c r="X35" s="779"/>
      <c r="Y35" s="3181"/>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1"/>
      <c r="Q36" s="1812">
        <f t="shared" si="11"/>
        <v>111</v>
      </c>
      <c r="R36" s="774" t="s">
        <v>17</v>
      </c>
      <c r="S36" s="775">
        <f t="shared" si="12"/>
        <v>100</v>
      </c>
      <c r="T36" s="774" t="s">
        <v>17</v>
      </c>
      <c r="U36" s="775">
        <f t="shared" si="13"/>
        <v>100</v>
      </c>
      <c r="V36" s="774" t="s">
        <v>17</v>
      </c>
      <c r="W36" s="775">
        <f t="shared" si="14"/>
        <v>100</v>
      </c>
      <c r="X36" s="1815"/>
      <c r="Y36" s="3181"/>
      <c r="Z36" s="1816">
        <f t="shared" si="15"/>
        <v>111</v>
      </c>
      <c r="AA36" s="1813">
        <f t="shared" si="3"/>
        <v>1</v>
      </c>
      <c r="AB36" s="1813">
        <f t="shared" si="4"/>
        <v>1</v>
      </c>
      <c r="AC36" s="1813">
        <f t="shared" si="5"/>
        <v>1</v>
      </c>
    </row>
    <row r="37" spans="1:29" ht="15">
      <c r="A37" s="479" t="s">
        <v>2719</v>
      </c>
      <c r="B37" s="2697" t="s">
        <v>2720</v>
      </c>
      <c r="C37" s="1410" t="s">
        <v>1</v>
      </c>
      <c r="D37" s="1411"/>
      <c r="E37" s="1412"/>
      <c r="F37" s="1413"/>
      <c r="G37" s="1414"/>
      <c r="H37" s="1415"/>
      <c r="I37" s="1412"/>
      <c r="J37" s="1415"/>
      <c r="K37" s="619"/>
      <c r="L37" s="1146"/>
      <c r="M37" s="1147"/>
      <c r="N37" s="1134"/>
      <c r="O37" s="1147"/>
      <c r="P37" s="3176" t="str">
        <f>A37</f>
        <v>成交单价</v>
      </c>
      <c r="Q37" s="3176"/>
      <c r="R37" s="3241">
        <f>E37</f>
        <v>0</v>
      </c>
      <c r="S37" s="3241"/>
      <c r="T37" s="3241">
        <f>G37</f>
        <v>0</v>
      </c>
      <c r="U37" s="3241"/>
      <c r="V37" s="3241">
        <f>I37</f>
        <v>0</v>
      </c>
      <c r="W37" s="3241"/>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6" t="str">
        <f>A38</f>
        <v>比较价值（元/平方米）</v>
      </c>
      <c r="Q38" s="3176"/>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170" t="str">
        <f>A39</f>
        <v>估价对象XX用房的比较价值（楼面单价，元/平方米）</v>
      </c>
      <c r="Q39" s="3171"/>
      <c r="R39" s="3242" t="e">
        <f>IF(F1="售价",ROUND(AVERAGE(R38:V38),0),ROUND(AVERAGE(R38:V38),1))</f>
        <v>#DIV/0!</v>
      </c>
      <c r="S39" s="3242"/>
      <c r="T39" s="3242"/>
      <c r="U39" s="3242"/>
      <c r="V39" s="3242"/>
      <c r="W39" s="324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6" t="str">
        <f>YEAR(C7)&amp;"-"&amp;MONTH(C7)</f>
        <v>2018-6</v>
      </c>
      <c r="D48" s="1577">
        <f>EDATE(C48,-1)</f>
        <v>43221</v>
      </c>
      <c r="E48" s="1577">
        <f t="shared" ref="E48:O48" si="16">EDATE(D48,-1)</f>
        <v>43191</v>
      </c>
      <c r="F48" s="1577">
        <f t="shared" si="16"/>
        <v>43160</v>
      </c>
      <c r="G48" s="1577">
        <f t="shared" si="16"/>
        <v>43132</v>
      </c>
      <c r="H48" s="1577">
        <f t="shared" si="16"/>
        <v>43101</v>
      </c>
      <c r="I48" s="1577">
        <f t="shared" si="16"/>
        <v>43070</v>
      </c>
      <c r="J48" s="1577">
        <f t="shared" si="16"/>
        <v>43040</v>
      </c>
      <c r="K48" s="1577">
        <f t="shared" si="16"/>
        <v>43009</v>
      </c>
      <c r="L48" s="1577">
        <f t="shared" si="16"/>
        <v>42979</v>
      </c>
      <c r="M48" s="1577">
        <f t="shared" si="16"/>
        <v>42948</v>
      </c>
      <c r="N48" s="1577">
        <f t="shared" si="16"/>
        <v>42917</v>
      </c>
      <c r="O48" s="1577">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1" t="e">
        <f ca="1">IF(C2="——",ROUND(C37*D3/10000,0),ROUND(C37*D3/10000,0)-D2)</f>
        <v>#DIV/0!</v>
      </c>
      <c r="C2" s="2588"/>
      <c r="D2" s="1127" t="e">
        <f ca="1">SUMIF(INDIRECT("'"&amp;F2&amp;"'"&amp;"!A:A"),"承租人权益价值",INDIRECT("'"&amp;F2&amp;"'"&amp;"!c:c"))</f>
        <v>#REF!</v>
      </c>
      <c r="E2" s="2589" t="s">
        <v>2329</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73" t="s">
        <v>2645</v>
      </c>
      <c r="D4" s="3186"/>
      <c r="E4" s="3187" t="s">
        <v>2646</v>
      </c>
      <c r="F4" s="3188"/>
      <c r="G4" s="3173" t="s">
        <v>2647</v>
      </c>
      <c r="H4" s="3186"/>
      <c r="I4" s="3173" t="s">
        <v>2648</v>
      </c>
      <c r="J4" s="3186"/>
      <c r="K4" s="610" t="s">
        <v>2649</v>
      </c>
      <c r="L4" s="1133"/>
      <c r="M4" s="1134"/>
      <c r="N4" s="1134"/>
      <c r="O4" s="1134"/>
      <c r="P4" s="3189" t="s">
        <v>2650</v>
      </c>
      <c r="Q4" s="3190"/>
      <c r="R4" s="3195" t="s">
        <v>2646</v>
      </c>
      <c r="S4" s="3196"/>
      <c r="T4" s="3195" t="s">
        <v>2647</v>
      </c>
      <c r="U4" s="3196"/>
      <c r="V4" s="3182" t="s">
        <v>2648</v>
      </c>
      <c r="W4" s="3182"/>
      <c r="X4" s="1815"/>
      <c r="Y4" s="3195" t="s">
        <v>2650</v>
      </c>
      <c r="Z4" s="3196"/>
      <c r="AA4" s="3183" t="s">
        <v>2646</v>
      </c>
      <c r="AB4" s="3184" t="s">
        <v>2647</v>
      </c>
      <c r="AC4" s="3183" t="s">
        <v>2648</v>
      </c>
    </row>
    <row r="5" spans="1:29" ht="15">
      <c r="A5" s="404"/>
      <c r="B5" s="405"/>
      <c r="C5" s="3208" t="s">
        <v>2541</v>
      </c>
      <c r="D5" s="3204"/>
      <c r="E5" s="3250" t="s">
        <v>2542</v>
      </c>
      <c r="F5" s="3213"/>
      <c r="G5" s="3208" t="s">
        <v>2543</v>
      </c>
      <c r="H5" s="3204"/>
      <c r="I5" s="3208" t="s">
        <v>2544</v>
      </c>
      <c r="J5" s="3204"/>
      <c r="K5" s="610"/>
      <c r="L5" s="1133"/>
      <c r="M5" s="1134"/>
      <c r="N5" s="1134"/>
      <c r="O5" s="1134"/>
      <c r="P5" s="3191"/>
      <c r="Q5" s="3192"/>
      <c r="R5" s="3197"/>
      <c r="S5" s="3198"/>
      <c r="T5" s="3197"/>
      <c r="U5" s="3198"/>
      <c r="V5" s="3182"/>
      <c r="W5" s="3182"/>
      <c r="X5" s="1815"/>
      <c r="Y5" s="3197"/>
      <c r="Z5" s="3198"/>
      <c r="AA5" s="3184"/>
      <c r="AB5" s="3184"/>
      <c r="AC5" s="3184"/>
    </row>
    <row r="6" spans="1:29" ht="15.75" thickBot="1">
      <c r="A6" s="406"/>
      <c r="B6" s="407"/>
      <c r="C6" s="3209" t="s">
        <v>2545</v>
      </c>
      <c r="D6" s="3202"/>
      <c r="E6" s="3249" t="s">
        <v>2545</v>
      </c>
      <c r="F6" s="3211"/>
      <c r="G6" s="3209" t="s">
        <v>2545</v>
      </c>
      <c r="H6" s="3202"/>
      <c r="I6" s="3209" t="s">
        <v>2545</v>
      </c>
      <c r="J6" s="3202"/>
      <c r="K6" s="610" t="s">
        <v>2546</v>
      </c>
      <c r="L6" s="1133"/>
      <c r="M6" s="1134"/>
      <c r="N6" s="1134"/>
      <c r="O6" s="1134"/>
      <c r="P6" s="3193"/>
      <c r="Q6" s="3194"/>
      <c r="R6" s="3197"/>
      <c r="S6" s="3198"/>
      <c r="T6" s="3199"/>
      <c r="U6" s="3200"/>
      <c r="V6" s="3182"/>
      <c r="W6" s="3182"/>
      <c r="X6" s="1815"/>
      <c r="Y6" s="3199"/>
      <c r="Z6" s="3200"/>
      <c r="AA6" s="3185"/>
      <c r="AB6" s="3185"/>
      <c r="AC6" s="3185"/>
    </row>
    <row r="7" spans="1:29" s="117" customFormat="1" ht="15.75" thickBot="1">
      <c r="A7" s="408" t="s">
        <v>2547</v>
      </c>
      <c r="B7" s="409"/>
      <c r="C7" s="410">
        <f>'数据-取费表'!B2</f>
        <v>43262</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05" t="s">
        <v>2548</v>
      </c>
      <c r="Q7" s="3207"/>
      <c r="R7" s="770" t="s">
        <v>17</v>
      </c>
      <c r="S7" s="771">
        <f t="shared" ref="S7:S14" si="0">F7</f>
        <v>0</v>
      </c>
      <c r="T7" s="770" t="s">
        <v>17</v>
      </c>
      <c r="U7" s="771">
        <f t="shared" ref="U7:U14" si="1">H7</f>
        <v>0</v>
      </c>
      <c r="V7" s="770" t="s">
        <v>17</v>
      </c>
      <c r="W7" s="771">
        <f t="shared" ref="W7:W14" si="2">J7</f>
        <v>0</v>
      </c>
      <c r="X7" s="772"/>
      <c r="Y7" s="3205" t="s">
        <v>2548</v>
      </c>
      <c r="Z7" s="3206"/>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5" t="s">
        <v>2551</v>
      </c>
      <c r="Q8" s="3206"/>
      <c r="R8" s="770" t="s">
        <v>17</v>
      </c>
      <c r="S8" s="771">
        <f t="shared" si="0"/>
        <v>0</v>
      </c>
      <c r="T8" s="770" t="s">
        <v>17</v>
      </c>
      <c r="U8" s="771">
        <f t="shared" si="1"/>
        <v>0</v>
      </c>
      <c r="V8" s="770" t="s">
        <v>17</v>
      </c>
      <c r="W8" s="771">
        <f t="shared" si="2"/>
        <v>0</v>
      </c>
      <c r="X8" s="772"/>
      <c r="Y8" s="3205" t="s">
        <v>2551</v>
      </c>
      <c r="Z8" s="3206"/>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6" t="s">
        <v>2554</v>
      </c>
      <c r="Q9" s="1797" t="str">
        <f t="shared" ref="Q9:Q14" si="6">B9</f>
        <v>用途</v>
      </c>
      <c r="R9" s="770" t="s">
        <v>17</v>
      </c>
      <c r="S9" s="771">
        <f t="shared" si="0"/>
        <v>100</v>
      </c>
      <c r="T9" s="770" t="s">
        <v>17</v>
      </c>
      <c r="U9" s="771">
        <f t="shared" si="1"/>
        <v>100</v>
      </c>
      <c r="V9" s="770" t="s">
        <v>17</v>
      </c>
      <c r="W9" s="771">
        <f t="shared" si="2"/>
        <v>100</v>
      </c>
      <c r="X9" s="772"/>
      <c r="Y9" s="3024"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6"/>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6"/>
      <c r="Q11" s="1797">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6"/>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76"/>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8" t="s">
        <v>2559</v>
      </c>
      <c r="Q14" s="1812" t="str">
        <f t="shared" si="6"/>
        <v>交通便捷度</v>
      </c>
      <c r="R14" s="774" t="s">
        <v>17</v>
      </c>
      <c r="S14" s="775">
        <f t="shared" si="0"/>
        <v>100</v>
      </c>
      <c r="T14" s="774" t="s">
        <v>17</v>
      </c>
      <c r="U14" s="775">
        <f t="shared" si="1"/>
        <v>100</v>
      </c>
      <c r="V14" s="774" t="s">
        <v>17</v>
      </c>
      <c r="W14" s="775">
        <f t="shared" si="2"/>
        <v>100</v>
      </c>
      <c r="X14" s="1815"/>
      <c r="Y14" s="3178" t="s">
        <v>2559</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79"/>
      <c r="Q15" s="1812"/>
      <c r="R15" s="774"/>
      <c r="S15" s="775"/>
      <c r="T15" s="774"/>
      <c r="U15" s="775"/>
      <c r="V15" s="774"/>
      <c r="W15" s="775"/>
      <c r="X15" s="1815"/>
      <c r="Y15" s="3179"/>
      <c r="Z15" s="1816"/>
      <c r="AA15" s="1813">
        <v>1</v>
      </c>
      <c r="AB15" s="1813">
        <v>1</v>
      </c>
      <c r="AC15" s="1813">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9"/>
      <c r="Q16" s="1812" t="str">
        <f>B16</f>
        <v>公共配套设施</v>
      </c>
      <c r="R16" s="774" t="s">
        <v>17</v>
      </c>
      <c r="S16" s="775">
        <f>F16</f>
        <v>100</v>
      </c>
      <c r="T16" s="774" t="s">
        <v>17</v>
      </c>
      <c r="U16" s="775">
        <f>H16</f>
        <v>100</v>
      </c>
      <c r="V16" s="774" t="s">
        <v>17</v>
      </c>
      <c r="W16" s="775">
        <f>J16</f>
        <v>100</v>
      </c>
      <c r="X16" s="1815"/>
      <c r="Y16" s="3179"/>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3"/>
      <c r="M17" s="1134"/>
      <c r="N17" s="1134"/>
      <c r="O17" s="1142"/>
      <c r="P17" s="3179"/>
      <c r="Q17" s="1812"/>
      <c r="R17" s="774"/>
      <c r="S17" s="775"/>
      <c r="T17" s="774"/>
      <c r="U17" s="775"/>
      <c r="V17" s="774"/>
      <c r="W17" s="775"/>
      <c r="X17" s="1815"/>
      <c r="Y17" s="3179"/>
      <c r="Z17" s="1816"/>
      <c r="AA17" s="1813">
        <v>1</v>
      </c>
      <c r="AB17" s="1813">
        <v>1</v>
      </c>
      <c r="AC17" s="1813">
        <v>1</v>
      </c>
    </row>
    <row r="18" spans="1:29" ht="28.5">
      <c r="A18" s="428"/>
      <c r="B18" s="1387"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9"/>
      <c r="Q18" s="1812" t="str">
        <f>B18</f>
        <v>基础设施水平</v>
      </c>
      <c r="R18" s="774" t="s">
        <v>17</v>
      </c>
      <c r="S18" s="775">
        <f>F18</f>
        <v>100</v>
      </c>
      <c r="T18" s="774" t="s">
        <v>17</v>
      </c>
      <c r="U18" s="775">
        <f>H18</f>
        <v>100</v>
      </c>
      <c r="V18" s="774" t="s">
        <v>17</v>
      </c>
      <c r="W18" s="775">
        <f>J18</f>
        <v>100</v>
      </c>
      <c r="X18" s="1815"/>
      <c r="Y18" s="3179"/>
      <c r="Z18" s="1816" t="str">
        <f>Q18</f>
        <v>基础设施水平</v>
      </c>
      <c r="AA18" s="1813">
        <f t="shared" ref="AA18" si="8">D18/F18</f>
        <v>1</v>
      </c>
      <c r="AB18" s="1813">
        <f t="shared" ref="AB18" si="9">D18/H18</f>
        <v>1</v>
      </c>
      <c r="AC18" s="1813">
        <f t="shared" ref="AC18" si="10">D18/J18</f>
        <v>1</v>
      </c>
    </row>
    <row r="19" spans="1:29" ht="15">
      <c r="A19" s="428"/>
      <c r="B19" s="1387"/>
      <c r="C19" s="2610"/>
      <c r="D19" s="450"/>
      <c r="E19" s="2610"/>
      <c r="F19" s="453"/>
      <c r="G19" s="2610"/>
      <c r="H19" s="448"/>
      <c r="I19" s="447"/>
      <c r="J19" s="448"/>
      <c r="K19" s="1386"/>
      <c r="L19" s="1143"/>
      <c r="M19" s="1134"/>
      <c r="N19" s="1134"/>
      <c r="O19" s="1142"/>
      <c r="P19" s="3179"/>
      <c r="Q19" s="1812"/>
      <c r="R19" s="774"/>
      <c r="S19" s="775"/>
      <c r="T19" s="774"/>
      <c r="U19" s="775"/>
      <c r="V19" s="774"/>
      <c r="W19" s="775"/>
      <c r="X19" s="1815"/>
      <c r="Y19" s="3179"/>
      <c r="Z19" s="1816"/>
      <c r="AA19" s="1813">
        <v>1</v>
      </c>
      <c r="AB19" s="1813">
        <v>1</v>
      </c>
      <c r="AC19" s="1813">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9"/>
      <c r="Q20" s="1812" t="str">
        <f>B20</f>
        <v>自然及人文环境</v>
      </c>
      <c r="R20" s="774" t="s">
        <v>17</v>
      </c>
      <c r="S20" s="775">
        <f>F20</f>
        <v>100</v>
      </c>
      <c r="T20" s="774" t="s">
        <v>17</v>
      </c>
      <c r="U20" s="775">
        <f>H20</f>
        <v>100</v>
      </c>
      <c r="V20" s="774" t="s">
        <v>17</v>
      </c>
      <c r="W20" s="775">
        <f>J20</f>
        <v>100</v>
      </c>
      <c r="X20" s="1815"/>
      <c r="Y20" s="3179"/>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79"/>
      <c r="Q21" s="1812"/>
      <c r="R21" s="774"/>
      <c r="S21" s="775"/>
      <c r="T21" s="774"/>
      <c r="U21" s="775"/>
      <c r="V21" s="774"/>
      <c r="W21" s="775"/>
      <c r="X21" s="1815"/>
      <c r="Y21" s="3179"/>
      <c r="Z21" s="1816"/>
      <c r="AA21" s="1813">
        <v>1</v>
      </c>
      <c r="AB21" s="1813">
        <v>1</v>
      </c>
      <c r="AC21" s="181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9"/>
      <c r="Q22" s="1812" t="str">
        <f>B22</f>
        <v>楼层</v>
      </c>
      <c r="R22" s="774" t="s">
        <v>17</v>
      </c>
      <c r="S22" s="775">
        <f>F22</f>
        <v>100</v>
      </c>
      <c r="T22" s="774" t="s">
        <v>17</v>
      </c>
      <c r="U22" s="775">
        <f>H22</f>
        <v>100</v>
      </c>
      <c r="V22" s="774" t="s">
        <v>17</v>
      </c>
      <c r="W22" s="775">
        <f>J22</f>
        <v>100</v>
      </c>
      <c r="X22" s="1815"/>
      <c r="Y22" s="3179"/>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9"/>
      <c r="Q23" s="1812">
        <f>B23</f>
        <v>111</v>
      </c>
      <c r="R23" s="774" t="s">
        <v>17</v>
      </c>
      <c r="S23" s="775">
        <f>F23</f>
        <v>100</v>
      </c>
      <c r="T23" s="774" t="s">
        <v>17</v>
      </c>
      <c r="U23" s="775">
        <f>H23</f>
        <v>100</v>
      </c>
      <c r="V23" s="774" t="s">
        <v>17</v>
      </c>
      <c r="W23" s="775">
        <f>J23</f>
        <v>100</v>
      </c>
      <c r="X23" s="1815"/>
      <c r="Y23" s="3179"/>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9"/>
      <c r="Q24" s="1812">
        <f t="shared" ref="Q24:Q34" si="11">B24</f>
        <v>111</v>
      </c>
      <c r="R24" s="774" t="s">
        <v>17</v>
      </c>
      <c r="S24" s="775">
        <f>F24</f>
        <v>100</v>
      </c>
      <c r="T24" s="774" t="s">
        <v>17</v>
      </c>
      <c r="U24" s="775">
        <f>H24</f>
        <v>100</v>
      </c>
      <c r="V24" s="774" t="s">
        <v>17</v>
      </c>
      <c r="W24" s="775">
        <f>J24</f>
        <v>100</v>
      </c>
      <c r="X24" s="1815"/>
      <c r="Y24" s="3179"/>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79"/>
      <c r="Q25" s="1797">
        <f t="shared" si="11"/>
        <v>111</v>
      </c>
      <c r="R25" s="770" t="s">
        <v>17</v>
      </c>
      <c r="S25" s="771">
        <f>F25</f>
        <v>100</v>
      </c>
      <c r="T25" s="770" t="s">
        <v>17</v>
      </c>
      <c r="U25" s="771">
        <f>H25</f>
        <v>100</v>
      </c>
      <c r="V25" s="770" t="s">
        <v>17</v>
      </c>
      <c r="W25" s="771">
        <f>J25</f>
        <v>100</v>
      </c>
      <c r="X25" s="772"/>
      <c r="Y25" s="3179"/>
      <c r="Z25" s="55">
        <f>Q25</f>
        <v>111</v>
      </c>
      <c r="AA25" s="1813">
        <f>D25/F25</f>
        <v>1</v>
      </c>
      <c r="AB25" s="1813">
        <f>D25/H25</f>
        <v>1</v>
      </c>
      <c r="AC25" s="1813">
        <f>D25/J25</f>
        <v>1</v>
      </c>
    </row>
    <row r="26" spans="1:29" ht="1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80" t="s">
        <v>2564</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1" t="s">
        <v>2564</v>
      </c>
      <c r="Z26" s="1816" t="str">
        <f t="shared" ref="Z26:Z34" si="15">Q26</f>
        <v>公共部分装修</v>
      </c>
      <c r="AA26" s="1813">
        <f t="shared" si="3"/>
        <v>1</v>
      </c>
      <c r="AB26" s="1813">
        <f t="shared" si="4"/>
        <v>1</v>
      </c>
      <c r="AC26" s="181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1"/>
      <c r="Q27" s="776" t="str">
        <f t="shared" si="11"/>
        <v>成新率</v>
      </c>
      <c r="R27" s="777" t="s">
        <v>17</v>
      </c>
      <c r="S27" s="778" t="e">
        <f t="shared" si="12"/>
        <v>#N/A</v>
      </c>
      <c r="T27" s="777" t="s">
        <v>17</v>
      </c>
      <c r="U27" s="778" t="e">
        <f t="shared" si="13"/>
        <v>#N/A</v>
      </c>
      <c r="V27" s="777" t="s">
        <v>17</v>
      </c>
      <c r="W27" s="778" t="e">
        <f t="shared" si="14"/>
        <v>#N/A</v>
      </c>
      <c r="X27" s="779"/>
      <c r="Y27" s="3181"/>
      <c r="Z27" s="780" t="str">
        <f t="shared" si="15"/>
        <v>成新率</v>
      </c>
      <c r="AA27" s="1813" t="e">
        <f t="shared" si="3"/>
        <v>#N/A</v>
      </c>
      <c r="AB27" s="1813" t="e">
        <f t="shared" si="4"/>
        <v>#N/A</v>
      </c>
      <c r="AC27" s="181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1"/>
      <c r="Q28" s="1812" t="str">
        <f t="shared" si="11"/>
        <v>物业等级</v>
      </c>
      <c r="R28" s="774" t="s">
        <v>17</v>
      </c>
      <c r="S28" s="775">
        <f t="shared" si="12"/>
        <v>100</v>
      </c>
      <c r="T28" s="774" t="s">
        <v>17</v>
      </c>
      <c r="U28" s="775">
        <f t="shared" si="13"/>
        <v>100</v>
      </c>
      <c r="V28" s="774" t="s">
        <v>17</v>
      </c>
      <c r="W28" s="775">
        <f t="shared" si="14"/>
        <v>100</v>
      </c>
      <c r="X28" s="1815"/>
      <c r="Y28" s="3181"/>
      <c r="Z28" s="1816" t="str">
        <f t="shared" si="15"/>
        <v>物业等级</v>
      </c>
      <c r="AA28" s="1813">
        <f t="shared" si="3"/>
        <v>1</v>
      </c>
      <c r="AB28" s="1813">
        <f t="shared" si="4"/>
        <v>1</v>
      </c>
      <c r="AC28" s="181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1"/>
      <c r="Q29" s="1812" t="str">
        <f t="shared" si="11"/>
        <v>有无电梯</v>
      </c>
      <c r="R29" s="774" t="s">
        <v>17</v>
      </c>
      <c r="S29" s="775">
        <f t="shared" si="12"/>
        <v>100</v>
      </c>
      <c r="T29" s="774" t="s">
        <v>17</v>
      </c>
      <c r="U29" s="775">
        <f t="shared" si="13"/>
        <v>100</v>
      </c>
      <c r="V29" s="774" t="s">
        <v>17</v>
      </c>
      <c r="W29" s="775">
        <f t="shared" si="14"/>
        <v>100</v>
      </c>
      <c r="X29" s="1815"/>
      <c r="Y29" s="3181"/>
      <c r="Z29" s="1816" t="str">
        <f t="shared" si="15"/>
        <v>有无电梯</v>
      </c>
      <c r="AA29" s="1813">
        <f t="shared" si="3"/>
        <v>1</v>
      </c>
      <c r="AB29" s="1813">
        <f t="shared" si="4"/>
        <v>1</v>
      </c>
      <c r="AC29" s="181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1"/>
      <c r="Q30" s="1812" t="str">
        <f t="shared" si="11"/>
        <v>建筑面积</v>
      </c>
      <c r="R30" s="774" t="s">
        <v>17</v>
      </c>
      <c r="S30" s="775" t="e">
        <f t="shared" si="12"/>
        <v>#N/A</v>
      </c>
      <c r="T30" s="774" t="s">
        <v>17</v>
      </c>
      <c r="U30" s="775" t="e">
        <f t="shared" si="13"/>
        <v>#N/A</v>
      </c>
      <c r="V30" s="774" t="s">
        <v>17</v>
      </c>
      <c r="W30" s="775" t="e">
        <f t="shared" si="14"/>
        <v>#N/A</v>
      </c>
      <c r="X30" s="1815"/>
      <c r="Y30" s="3181"/>
      <c r="Z30" s="1816" t="str">
        <f t="shared" si="15"/>
        <v>建筑面积</v>
      </c>
      <c r="AA30" s="1813" t="e">
        <f t="shared" si="3"/>
        <v>#N/A</v>
      </c>
      <c r="AB30" s="1813" t="e">
        <f t="shared" si="4"/>
        <v>#N/A</v>
      </c>
      <c r="AC30" s="181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1"/>
      <c r="Q31" s="1797" t="str">
        <f t="shared" si="11"/>
        <v>是否封闭</v>
      </c>
      <c r="R31" s="770" t="s">
        <v>17</v>
      </c>
      <c r="S31" s="771">
        <f t="shared" si="12"/>
        <v>100</v>
      </c>
      <c r="T31" s="770" t="s">
        <v>17</v>
      </c>
      <c r="U31" s="771">
        <f t="shared" si="13"/>
        <v>100</v>
      </c>
      <c r="V31" s="770" t="s">
        <v>17</v>
      </c>
      <c r="W31" s="771">
        <f t="shared" si="14"/>
        <v>100</v>
      </c>
      <c r="X31" s="772"/>
      <c r="Y31" s="318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1" t="s">
        <v>2564</v>
      </c>
      <c r="Q32" s="1812">
        <f t="shared" si="11"/>
        <v>111</v>
      </c>
      <c r="R32" s="774" t="s">
        <v>17</v>
      </c>
      <c r="S32" s="775">
        <f t="shared" si="12"/>
        <v>100</v>
      </c>
      <c r="T32" s="774" t="s">
        <v>17</v>
      </c>
      <c r="U32" s="775">
        <f t="shared" si="13"/>
        <v>100</v>
      </c>
      <c r="V32" s="774" t="s">
        <v>17</v>
      </c>
      <c r="W32" s="775">
        <f t="shared" si="14"/>
        <v>100</v>
      </c>
      <c r="X32" s="1815"/>
      <c r="Y32" s="3181" t="s">
        <v>2564</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1"/>
      <c r="Q33" s="1812">
        <f t="shared" si="11"/>
        <v>111</v>
      </c>
      <c r="R33" s="774" t="s">
        <v>17</v>
      </c>
      <c r="S33" s="775">
        <f t="shared" si="12"/>
        <v>100</v>
      </c>
      <c r="T33" s="774" t="s">
        <v>17</v>
      </c>
      <c r="U33" s="775">
        <f t="shared" si="13"/>
        <v>100</v>
      </c>
      <c r="V33" s="774" t="s">
        <v>17</v>
      </c>
      <c r="W33" s="775">
        <f t="shared" si="14"/>
        <v>100</v>
      </c>
      <c r="X33" s="1815"/>
      <c r="Y33" s="3181"/>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81"/>
      <c r="Q34" s="1812">
        <f t="shared" si="11"/>
        <v>111</v>
      </c>
      <c r="R34" s="774" t="s">
        <v>17</v>
      </c>
      <c r="S34" s="775">
        <f t="shared" si="12"/>
        <v>100</v>
      </c>
      <c r="T34" s="774" t="s">
        <v>17</v>
      </c>
      <c r="U34" s="775">
        <f t="shared" si="13"/>
        <v>100</v>
      </c>
      <c r="V34" s="774" t="s">
        <v>17</v>
      </c>
      <c r="W34" s="775">
        <f t="shared" si="14"/>
        <v>100</v>
      </c>
      <c r="X34" s="1815"/>
      <c r="Y34" s="3181"/>
      <c r="Z34" s="1816">
        <f t="shared" si="15"/>
        <v>111</v>
      </c>
      <c r="AA34" s="1813">
        <f t="shared" si="3"/>
        <v>1</v>
      </c>
      <c r="AB34" s="1813">
        <f t="shared" si="4"/>
        <v>1</v>
      </c>
      <c r="AC34" s="1813">
        <f t="shared" si="5"/>
        <v>1</v>
      </c>
    </row>
    <row r="35" spans="1:29" ht="15">
      <c r="A35" s="479" t="s">
        <v>2576</v>
      </c>
      <c r="B35" s="480"/>
      <c r="C35" s="1410" t="s">
        <v>1</v>
      </c>
      <c r="D35" s="1411"/>
      <c r="E35" s="1412"/>
      <c r="F35" s="1413"/>
      <c r="G35" s="1414"/>
      <c r="H35" s="1415"/>
      <c r="I35" s="1412"/>
      <c r="J35" s="1415"/>
      <c r="K35" s="783"/>
      <c r="L35" s="1146"/>
      <c r="M35" s="1147"/>
      <c r="N35" s="1134"/>
      <c r="O35" s="1147"/>
      <c r="P35" s="3176" t="str">
        <f>A35</f>
        <v>成交单价（元/平方米）</v>
      </c>
      <c r="Q35" s="3176"/>
      <c r="R35" s="3241">
        <f>E35</f>
        <v>0</v>
      </c>
      <c r="S35" s="3241"/>
      <c r="T35" s="3241">
        <f>G35</f>
        <v>0</v>
      </c>
      <c r="U35" s="3241"/>
      <c r="V35" s="3241">
        <f>I35</f>
        <v>0</v>
      </c>
      <c r="W35" s="3241"/>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76" t="str">
        <f>A36</f>
        <v>比较价值（元/平方米）</v>
      </c>
      <c r="Q36" s="3176"/>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170" t="str">
        <f>A37</f>
        <v>估价对象XX用房的比较价值（楼面单价，元/平方米）</v>
      </c>
      <c r="Q37" s="3171"/>
      <c r="R37" s="3242" t="e">
        <f>IF(F1="售价",ROUND(AVERAGE(R36:V36),0),ROUND(AVERAGE(R36:V36),1))</f>
        <v>#DIV/0!</v>
      </c>
      <c r="S37" s="3242"/>
      <c r="T37" s="3242"/>
      <c r="U37" s="3242"/>
      <c r="V37" s="3242"/>
      <c r="W37" s="324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6" t="str">
        <f>YEAR(C7)&amp;"-"&amp;MONTH(C7)</f>
        <v>2018-6</v>
      </c>
      <c r="D46" s="1577">
        <f>EDATE(C46,-1)</f>
        <v>43221</v>
      </c>
      <c r="E46" s="1577">
        <f t="shared" ref="E46:O46" si="16">EDATE(D46,-1)</f>
        <v>43191</v>
      </c>
      <c r="F46" s="1577">
        <f t="shared" si="16"/>
        <v>43160</v>
      </c>
      <c r="G46" s="1577">
        <f t="shared" si="16"/>
        <v>43132</v>
      </c>
      <c r="H46" s="1577">
        <f t="shared" si="16"/>
        <v>43101</v>
      </c>
      <c r="I46" s="1577">
        <f t="shared" si="16"/>
        <v>43070</v>
      </c>
      <c r="J46" s="1577">
        <f t="shared" si="16"/>
        <v>43040</v>
      </c>
      <c r="K46" s="1577">
        <f t="shared" si="16"/>
        <v>43009</v>
      </c>
      <c r="L46" s="1577">
        <f t="shared" si="16"/>
        <v>42979</v>
      </c>
      <c r="M46" s="1577">
        <f t="shared" si="16"/>
        <v>42948</v>
      </c>
      <c r="N46" s="1577">
        <f t="shared" si="16"/>
        <v>42917</v>
      </c>
      <c r="O46" s="1577">
        <f t="shared" si="16"/>
        <v>42887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2" sqref="E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4" t="s">
        <v>2528</v>
      </c>
      <c r="C1" s="1636" t="s">
        <v>2529</v>
      </c>
      <c r="D1" s="1623" t="s">
        <v>3129</v>
      </c>
      <c r="E1" s="2585"/>
      <c r="F1" s="2586" t="s">
        <v>2530</v>
      </c>
      <c r="G1" s="1633" t="s">
        <v>2531</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1">
        <f>IF(C2="——",ROUND(C49*D3/10000,0),ROUND(C49*D3/10000,0)-D2)</f>
        <v>25561</v>
      </c>
      <c r="C2" s="2588" t="s">
        <v>70</v>
      </c>
      <c r="D2" s="1368" t="e">
        <f ca="1">SUMIF(INDIRECT("'"&amp;F2&amp;"'"&amp;"!A:A"),"承租人权益价值",INDIRECT("'"&amp;F2&amp;"'"&amp;"!c:c"))</f>
        <v>#REF!</v>
      </c>
      <c r="E2" s="2589" t="s">
        <v>2532</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f>IF(C2="——",C49,ROUND(B2*10000/D3,0))</f>
        <v>12048</v>
      </c>
      <c r="C3" s="400" t="s">
        <v>2533</v>
      </c>
      <c r="D3" s="399">
        <f>IF(D1="",'数据-汇总表'!E3,SUMIF('数据-汇总表'!$C19:$C33,D1,'数据-汇总表'!$E19:$E33))</f>
        <v>21216.240000000002</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2534</v>
      </c>
      <c r="B4" s="402"/>
      <c r="C4" s="3173" t="s">
        <v>2535</v>
      </c>
      <c r="D4" s="3186"/>
      <c r="E4" s="3187" t="s">
        <v>2536</v>
      </c>
      <c r="F4" s="3188"/>
      <c r="G4" s="3173" t="s">
        <v>2537</v>
      </c>
      <c r="H4" s="3186"/>
      <c r="I4" s="3173" t="s">
        <v>2538</v>
      </c>
      <c r="J4" s="3186"/>
      <c r="K4" s="2598" t="s">
        <v>2539</v>
      </c>
      <c r="L4" s="1133"/>
      <c r="M4" s="1134"/>
      <c r="N4" s="1134"/>
      <c r="O4" s="1134"/>
      <c r="P4" s="3189" t="s">
        <v>2540</v>
      </c>
      <c r="Q4" s="3190"/>
      <c r="R4" s="3195" t="s">
        <v>2536</v>
      </c>
      <c r="S4" s="3196"/>
      <c r="T4" s="3195" t="s">
        <v>2537</v>
      </c>
      <c r="U4" s="3196"/>
      <c r="V4" s="3182" t="s">
        <v>2538</v>
      </c>
      <c r="W4" s="3182"/>
      <c r="X4" s="1815"/>
      <c r="Y4" s="3195" t="s">
        <v>2540</v>
      </c>
      <c r="Z4" s="3196"/>
      <c r="AA4" s="3183" t="s">
        <v>2536</v>
      </c>
      <c r="AB4" s="3183" t="s">
        <v>2537</v>
      </c>
      <c r="AC4" s="3183" t="s">
        <v>2538</v>
      </c>
    </row>
    <row r="5" spans="1:29" ht="15">
      <c r="A5" s="404"/>
      <c r="B5" s="405"/>
      <c r="C5" s="3208" t="s">
        <v>2541</v>
      </c>
      <c r="D5" s="3204"/>
      <c r="E5" s="3212" t="s">
        <v>3239</v>
      </c>
      <c r="F5" s="3213"/>
      <c r="G5" s="3203" t="s">
        <v>3242</v>
      </c>
      <c r="H5" s="3204"/>
      <c r="I5" s="3203" t="s">
        <v>3246</v>
      </c>
      <c r="J5" s="3204"/>
      <c r="K5" s="2599"/>
      <c r="L5" s="1133"/>
      <c r="M5" s="1134"/>
      <c r="N5" s="1134"/>
      <c r="O5" s="1134"/>
      <c r="P5" s="3191"/>
      <c r="Q5" s="3192"/>
      <c r="R5" s="3197"/>
      <c r="S5" s="3198"/>
      <c r="T5" s="3197"/>
      <c r="U5" s="3198"/>
      <c r="V5" s="3182"/>
      <c r="W5" s="3182"/>
      <c r="X5" s="1815"/>
      <c r="Y5" s="3197"/>
      <c r="Z5" s="3198"/>
      <c r="AA5" s="3184"/>
      <c r="AB5" s="3184"/>
      <c r="AC5" s="3184"/>
    </row>
    <row r="6" spans="1:29" ht="15.75" thickBot="1">
      <c r="A6" s="406"/>
      <c r="B6" s="407"/>
      <c r="C6" s="3209" t="s">
        <v>2545</v>
      </c>
      <c r="D6" s="3202"/>
      <c r="E6" s="3210" t="s">
        <v>3241</v>
      </c>
      <c r="F6" s="3211"/>
      <c r="G6" s="3201" t="s">
        <v>3244</v>
      </c>
      <c r="H6" s="3202"/>
      <c r="I6" s="3201" t="s">
        <v>3248</v>
      </c>
      <c r="J6" s="3202"/>
      <c r="K6" s="2599" t="s">
        <v>2546</v>
      </c>
      <c r="L6" s="1133"/>
      <c r="M6" s="1134"/>
      <c r="N6" s="1134"/>
      <c r="O6" s="1134"/>
      <c r="P6" s="3193"/>
      <c r="Q6" s="3194"/>
      <c r="R6" s="3197"/>
      <c r="S6" s="3198"/>
      <c r="T6" s="3199"/>
      <c r="U6" s="3200"/>
      <c r="V6" s="3182"/>
      <c r="W6" s="3182"/>
      <c r="X6" s="1815"/>
      <c r="Y6" s="3199"/>
      <c r="Z6" s="3200"/>
      <c r="AA6" s="3185"/>
      <c r="AB6" s="3185"/>
      <c r="AC6" s="3185"/>
    </row>
    <row r="7" spans="1:29" s="117" customFormat="1" ht="15.75" thickBot="1">
      <c r="A7" s="408" t="s">
        <v>2547</v>
      </c>
      <c r="B7" s="409"/>
      <c r="C7" s="410">
        <f>'数据-取费表'!B2</f>
        <v>43262</v>
      </c>
      <c r="D7" s="411">
        <v>100</v>
      </c>
      <c r="E7" s="412">
        <f>C7</f>
        <v>43262</v>
      </c>
      <c r="F7" s="413">
        <f>SUMIF(58:58,YEAR(E7)&amp;"-"&amp;MONTH(E7),59:59)</f>
        <v>100</v>
      </c>
      <c r="G7" s="412">
        <f>C7</f>
        <v>43262</v>
      </c>
      <c r="H7" s="411">
        <f>SUMIF(58:58,YEAR(G7)&amp;"-"&amp;MONTH(G7),59:59)</f>
        <v>100</v>
      </c>
      <c r="I7" s="412">
        <f>C7</f>
        <v>43262</v>
      </c>
      <c r="J7" s="411">
        <f>SUMIF(58:58,YEAR(I7)&amp;"-"&amp;MONTH(I7),59:59)</f>
        <v>100</v>
      </c>
      <c r="K7" s="2600"/>
      <c r="L7" s="1135"/>
      <c r="M7" s="1136"/>
      <c r="N7" s="1136"/>
      <c r="O7" s="1136"/>
      <c r="P7" s="3205" t="s">
        <v>2548</v>
      </c>
      <c r="Q7" s="3207"/>
      <c r="R7" s="770" t="s">
        <v>23</v>
      </c>
      <c r="S7" s="771">
        <f t="shared" ref="S7:S15" si="0">F7</f>
        <v>100</v>
      </c>
      <c r="T7" s="770" t="s">
        <v>23</v>
      </c>
      <c r="U7" s="771">
        <f t="shared" ref="U7:U15" si="1">H7</f>
        <v>100</v>
      </c>
      <c r="V7" s="770" t="s">
        <v>23</v>
      </c>
      <c r="W7" s="771">
        <f t="shared" ref="W7:W15" si="2">J7</f>
        <v>100</v>
      </c>
      <c r="X7" s="772"/>
      <c r="Y7" s="3205" t="s">
        <v>2548</v>
      </c>
      <c r="Z7" s="3206"/>
      <c r="AA7" s="773">
        <f>D7/F7</f>
        <v>1</v>
      </c>
      <c r="AB7" s="773">
        <f>D7/H7</f>
        <v>1</v>
      </c>
      <c r="AC7" s="773">
        <f>D7/J7</f>
        <v>1</v>
      </c>
    </row>
    <row r="8" spans="1:29" s="117" customFormat="1" ht="15.75" thickBot="1">
      <c r="A8" s="408" t="s">
        <v>2549</v>
      </c>
      <c r="B8" s="409"/>
      <c r="C8" s="414" t="s">
        <v>2550</v>
      </c>
      <c r="D8" s="411">
        <v>100</v>
      </c>
      <c r="E8" s="2601" t="s">
        <v>3068</v>
      </c>
      <c r="F8" s="413">
        <f>SUMIF(61:61,E8,62:62)-SUMIF(61:61,C8,62:62)+100</f>
        <v>100</v>
      </c>
      <c r="G8" s="414" t="s">
        <v>3068</v>
      </c>
      <c r="H8" s="411">
        <f>SUMIF(61:61,G8,62:62)-SUMIF(61:61,C8,62:62)+100</f>
        <v>100</v>
      </c>
      <c r="I8" s="2601" t="s">
        <v>3068</v>
      </c>
      <c r="J8" s="411">
        <f>SUMIF(61:61,I8,62:62)-SUMIF(61:61,C8,62:62)+100</f>
        <v>100</v>
      </c>
      <c r="K8" s="2600"/>
      <c r="L8" s="1135"/>
      <c r="M8" s="1136"/>
      <c r="N8" s="1136"/>
      <c r="O8" s="1136"/>
      <c r="P8" s="3205" t="s">
        <v>2551</v>
      </c>
      <c r="Q8" s="3206"/>
      <c r="R8" s="770" t="s">
        <v>23</v>
      </c>
      <c r="S8" s="771">
        <f t="shared" si="0"/>
        <v>100</v>
      </c>
      <c r="T8" s="770" t="s">
        <v>23</v>
      </c>
      <c r="U8" s="771">
        <f t="shared" si="1"/>
        <v>100</v>
      </c>
      <c r="V8" s="770" t="s">
        <v>23</v>
      </c>
      <c r="W8" s="771">
        <f t="shared" si="2"/>
        <v>100</v>
      </c>
      <c r="X8" s="772"/>
      <c r="Y8" s="3205" t="s">
        <v>2551</v>
      </c>
      <c r="Z8" s="3206"/>
      <c r="AA8" s="773">
        <f t="shared" ref="AA8:AA19" si="3">D8/F8</f>
        <v>1</v>
      </c>
      <c r="AB8" s="773">
        <f t="shared" ref="AB8:AB19" si="4">D8/H8</f>
        <v>1</v>
      </c>
      <c r="AC8" s="773">
        <f t="shared" ref="AC8:AC19" si="5">D8/J8</f>
        <v>1</v>
      </c>
    </row>
    <row r="9" spans="1:29" s="117" customFormat="1">
      <c r="A9" s="415" t="s">
        <v>2552</v>
      </c>
      <c r="B9" s="71" t="s">
        <v>2553</v>
      </c>
      <c r="C9" s="2947" t="s">
        <v>3091</v>
      </c>
      <c r="D9" s="135">
        <v>100</v>
      </c>
      <c r="E9" s="417" t="s">
        <v>3057</v>
      </c>
      <c r="F9" s="418">
        <f>SUMIF(63:63,E9,64:64)-SUMIF(63:63,C9,64:64)+100</f>
        <v>100</v>
      </c>
      <c r="G9" s="419" t="s">
        <v>3057</v>
      </c>
      <c r="H9" s="135">
        <f>SUMIF(63:63,G9,64:64)-SUMIF(63:63,C9,64:64)+100</f>
        <v>100</v>
      </c>
      <c r="I9" s="419" t="s">
        <v>3057</v>
      </c>
      <c r="J9" s="135">
        <f>SUMIF(63:63,I9,64:64)-SUMIF(63:63,C9,64:64)+100</f>
        <v>100</v>
      </c>
      <c r="K9" s="2600"/>
      <c r="L9" s="1135"/>
      <c r="M9" s="1136"/>
      <c r="N9" s="1136"/>
      <c r="O9" s="1136"/>
      <c r="P9" s="3175" t="s">
        <v>2554</v>
      </c>
      <c r="Q9" s="1797"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29" s="427" customFormat="1" ht="27">
      <c r="A10" s="421"/>
      <c r="B10" s="422" t="s">
        <v>2556</v>
      </c>
      <c r="C10" s="423" t="s">
        <v>3092</v>
      </c>
      <c r="D10" s="136">
        <v>100</v>
      </c>
      <c r="E10" s="424" t="s">
        <v>3093</v>
      </c>
      <c r="F10" s="425">
        <f>SUMIF(65:65,E10,66:66)-SUMIF(65:65,C10,66:66)+100</f>
        <v>103</v>
      </c>
      <c r="G10" s="423" t="s">
        <v>3093</v>
      </c>
      <c r="H10" s="136">
        <f>SUMIF(65:65,G10,66:66)-SUMIF(65:65,C10,66:66)+100</f>
        <v>103</v>
      </c>
      <c r="I10" s="423" t="s">
        <v>3093</v>
      </c>
      <c r="J10" s="136">
        <f>SUMIF(65:65,I10,66:66)-SUMIF(65:65,C10,66:66)+100</f>
        <v>103</v>
      </c>
      <c r="K10" s="426">
        <v>3</v>
      </c>
      <c r="L10" s="1138"/>
      <c r="M10" s="1139"/>
      <c r="N10" s="1139"/>
      <c r="O10" s="1139"/>
      <c r="P10" s="3175"/>
      <c r="Q10" s="1797" t="str">
        <f t="shared" si="6"/>
        <v>土地使用年限（年）</v>
      </c>
      <c r="R10" s="770" t="s">
        <v>17</v>
      </c>
      <c r="S10" s="771">
        <f t="shared" si="0"/>
        <v>103</v>
      </c>
      <c r="T10" s="770" t="s">
        <v>17</v>
      </c>
      <c r="U10" s="771">
        <f t="shared" si="1"/>
        <v>103</v>
      </c>
      <c r="V10" s="770" t="s">
        <v>17</v>
      </c>
      <c r="W10" s="771">
        <f t="shared" si="2"/>
        <v>103</v>
      </c>
      <c r="X10" s="772"/>
      <c r="Y10" s="3024"/>
      <c r="Z10" s="55" t="str">
        <f t="shared" si="7"/>
        <v>土地使用年限（年）</v>
      </c>
      <c r="AA10" s="773">
        <f t="shared" si="3"/>
        <v>0.970873786407767</v>
      </c>
      <c r="AB10" s="773">
        <f t="shared" si="4"/>
        <v>0.970873786407767</v>
      </c>
      <c r="AC10" s="773">
        <f t="shared" si="5"/>
        <v>0.970873786407767</v>
      </c>
    </row>
    <row r="11" spans="1:29" ht="18" customHeight="1" thickBot="1">
      <c r="A11" s="428"/>
      <c r="B11" s="422" t="s">
        <v>2557</v>
      </c>
      <c r="C11" s="429">
        <v>3.19</v>
      </c>
      <c r="D11" s="136">
        <v>100</v>
      </c>
      <c r="E11" s="430">
        <v>2.68</v>
      </c>
      <c r="F11" s="425">
        <f>LOOKUP(E11,68:68,69:69)-LOOKUP(C11,68:68,69:69)+100</f>
        <v>100</v>
      </c>
      <c r="G11" s="429">
        <v>2.1</v>
      </c>
      <c r="H11" s="136">
        <f>LOOKUP(G11,68:68,69:69)-LOOKUP(C11,68:68,69:69)+100</f>
        <v>100</v>
      </c>
      <c r="I11" s="429">
        <v>2.56</v>
      </c>
      <c r="J11" s="136">
        <f>LOOKUP(I11,68:68,69:69)-LOOKUP(C11,68:68,69:69)+100</f>
        <v>100</v>
      </c>
      <c r="K11" s="426">
        <v>3</v>
      </c>
      <c r="L11" s="1141"/>
      <c r="M11" s="1134"/>
      <c r="N11" s="1134"/>
      <c r="O11" s="1134"/>
      <c r="P11" s="3175"/>
      <c r="Q11" s="1797" t="str">
        <f t="shared" si="6"/>
        <v>容积率</v>
      </c>
      <c r="R11" s="770" t="s">
        <v>21</v>
      </c>
      <c r="S11" s="771">
        <f t="shared" si="0"/>
        <v>100</v>
      </c>
      <c r="T11" s="770" t="s">
        <v>21</v>
      </c>
      <c r="U11" s="771">
        <f t="shared" si="1"/>
        <v>100</v>
      </c>
      <c r="V11" s="770" t="s">
        <v>21</v>
      </c>
      <c r="W11" s="771">
        <f t="shared" si="2"/>
        <v>100</v>
      </c>
      <c r="X11" s="772"/>
      <c r="Y11" s="3024"/>
      <c r="Z11" s="55" t="str">
        <f t="shared" si="7"/>
        <v>容积率</v>
      </c>
      <c r="AA11" s="773">
        <f t="shared" si="3"/>
        <v>1</v>
      </c>
      <c r="AB11" s="773">
        <f t="shared" si="4"/>
        <v>1</v>
      </c>
      <c r="AC11" s="773">
        <f t="shared" si="5"/>
        <v>1</v>
      </c>
    </row>
    <row r="12" spans="1:29" s="117" customFormat="1" ht="15" hidden="1">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75"/>
      <c r="Q12" s="1797">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hidden="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75"/>
      <c r="Q13" s="1797">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75" hidden="1"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75"/>
      <c r="Q14" s="1797">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99.75">
      <c r="A15" s="440" t="s">
        <v>2558</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3</v>
      </c>
      <c r="L15" s="1143"/>
      <c r="M15" s="1134"/>
      <c r="N15" s="1134"/>
      <c r="O15" s="1134"/>
      <c r="P15" s="3243" t="s">
        <v>2559</v>
      </c>
      <c r="Q15" s="1812" t="str">
        <f t="shared" si="6"/>
        <v>居住社区成熟度</v>
      </c>
      <c r="R15" s="774" t="s">
        <v>21</v>
      </c>
      <c r="S15" s="775">
        <f t="shared" si="0"/>
        <v>100</v>
      </c>
      <c r="T15" s="774" t="s">
        <v>21</v>
      </c>
      <c r="U15" s="775">
        <f t="shared" si="1"/>
        <v>100</v>
      </c>
      <c r="V15" s="774" t="s">
        <v>21</v>
      </c>
      <c r="W15" s="775">
        <f t="shared" si="2"/>
        <v>100</v>
      </c>
      <c r="X15" s="1815"/>
      <c r="Y15" s="3178" t="s">
        <v>2559</v>
      </c>
      <c r="Z15" s="1816" t="str">
        <f t="shared" si="7"/>
        <v>居住社区成熟度</v>
      </c>
      <c r="AA15" s="1813">
        <f t="shared" si="3"/>
        <v>1</v>
      </c>
      <c r="AB15" s="1813">
        <f t="shared" si="4"/>
        <v>1</v>
      </c>
      <c r="AC15" s="1813">
        <f t="shared" si="5"/>
        <v>1</v>
      </c>
    </row>
    <row r="16" spans="1:29" ht="15">
      <c r="A16" s="428"/>
      <c r="B16" s="446"/>
      <c r="C16" s="447" t="str">
        <f>'土地比较法-住宅、综合'!C16</f>
        <v>较好</v>
      </c>
      <c r="D16" s="448"/>
      <c r="E16" s="2606" t="s">
        <v>3094</v>
      </c>
      <c r="F16" s="448"/>
      <c r="G16" s="2607" t="s">
        <v>3094</v>
      </c>
      <c r="H16" s="450"/>
      <c r="I16" s="2607" t="s">
        <v>3094</v>
      </c>
      <c r="J16" s="448"/>
      <c r="K16" s="2608"/>
      <c r="L16" s="1143"/>
      <c r="M16" s="1134"/>
      <c r="N16" s="1134"/>
      <c r="O16" s="1134"/>
      <c r="P16" s="3244"/>
      <c r="Q16" s="1812"/>
      <c r="R16" s="774"/>
      <c r="S16" s="775"/>
      <c r="T16" s="774"/>
      <c r="U16" s="775"/>
      <c r="V16" s="774"/>
      <c r="W16" s="775"/>
      <c r="X16" s="1815"/>
      <c r="Y16" s="3179"/>
      <c r="Z16" s="1816"/>
      <c r="AA16" s="1813">
        <v>1</v>
      </c>
      <c r="AB16" s="1813">
        <v>1</v>
      </c>
      <c r="AC16" s="1813">
        <v>1</v>
      </c>
    </row>
    <row r="17" spans="1:29" ht="85.5">
      <c r="A17" s="428"/>
      <c r="B17" s="451" t="s">
        <v>2096</v>
      </c>
      <c r="C17" s="2609" t="str">
        <f>估价对象房地状况!C6</f>
        <v>估价对象周边道路状况、公共交通通达情况、停车便捷程度，综合评价交通便捷度较好</v>
      </c>
      <c r="D17" s="450">
        <v>100</v>
      </c>
      <c r="E17" s="454"/>
      <c r="F17" s="450">
        <f>SUMIF(78:78,E18,79:79)-SUMIF(78:78,C18,79:79)+100</f>
        <v>96</v>
      </c>
      <c r="G17" s="452"/>
      <c r="H17" s="455">
        <f>SUMIF(78:78,G18,79:79)-SUMIF(78:78,C18,79:79)+100</f>
        <v>96</v>
      </c>
      <c r="I17" s="452"/>
      <c r="J17" s="455">
        <f>SUMIF(78:78,I18,79:79)-SUMIF(78:78,C18,79:79)+100</f>
        <v>98</v>
      </c>
      <c r="K17" s="2962">
        <v>2</v>
      </c>
      <c r="L17" s="1143"/>
      <c r="M17" s="1134"/>
      <c r="N17" s="1134"/>
      <c r="O17" s="1134"/>
      <c r="P17" s="3244"/>
      <c r="Q17" s="1812" t="str">
        <f>B17</f>
        <v>交通便捷度</v>
      </c>
      <c r="R17" s="774" t="s">
        <v>21</v>
      </c>
      <c r="S17" s="775">
        <f>F17</f>
        <v>96</v>
      </c>
      <c r="T17" s="774" t="s">
        <v>21</v>
      </c>
      <c r="U17" s="775">
        <f>H17</f>
        <v>96</v>
      </c>
      <c r="V17" s="774" t="s">
        <v>21</v>
      </c>
      <c r="W17" s="775">
        <f>J17</f>
        <v>98</v>
      </c>
      <c r="X17" s="1815"/>
      <c r="Y17" s="3179"/>
      <c r="Z17" s="1816" t="str">
        <f>Q17</f>
        <v>交通便捷度</v>
      </c>
      <c r="AA17" s="1813">
        <f t="shared" si="3"/>
        <v>1.0416666666666667</v>
      </c>
      <c r="AB17" s="1813">
        <f t="shared" si="4"/>
        <v>1.0416666666666667</v>
      </c>
      <c r="AC17" s="1813">
        <f t="shared" si="5"/>
        <v>1.0204081632653061</v>
      </c>
    </row>
    <row r="18" spans="1:29" ht="15">
      <c r="A18" s="428"/>
      <c r="B18" s="456"/>
      <c r="C18" s="2610" t="str">
        <f>'土地比较法-住宅、综合'!C22</f>
        <v>好</v>
      </c>
      <c r="D18" s="450"/>
      <c r="E18" s="2611" t="s">
        <v>3096</v>
      </c>
      <c r="F18" s="450"/>
      <c r="G18" s="2612" t="s">
        <v>3096</v>
      </c>
      <c r="H18" s="448"/>
      <c r="I18" s="2612" t="s">
        <v>3094</v>
      </c>
      <c r="J18" s="448"/>
      <c r="K18" s="2608"/>
      <c r="L18" s="1143"/>
      <c r="M18" s="1134"/>
      <c r="N18" s="1134"/>
      <c r="O18" s="1134"/>
      <c r="P18" s="3244"/>
      <c r="Q18" s="1812"/>
      <c r="R18" s="774"/>
      <c r="S18" s="775"/>
      <c r="T18" s="774"/>
      <c r="U18" s="775"/>
      <c r="V18" s="774"/>
      <c r="W18" s="775"/>
      <c r="X18" s="1815"/>
      <c r="Y18" s="3179"/>
      <c r="Z18" s="1816"/>
      <c r="AA18" s="1813">
        <v>1</v>
      </c>
      <c r="AB18" s="1813">
        <v>1</v>
      </c>
      <c r="AC18" s="1813">
        <v>1</v>
      </c>
    </row>
    <row r="19" spans="1:29" ht="42.75">
      <c r="A19" s="428"/>
      <c r="B19" s="451" t="s">
        <v>2094</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3</v>
      </c>
      <c r="L19" s="1143"/>
      <c r="M19" s="1134"/>
      <c r="N19" s="1134"/>
      <c r="O19" s="1134"/>
      <c r="P19" s="3244"/>
      <c r="Q19" s="1812" t="str">
        <f>B19</f>
        <v>公共配套设施</v>
      </c>
      <c r="R19" s="774" t="s">
        <v>21</v>
      </c>
      <c r="S19" s="775">
        <f>F19</f>
        <v>100</v>
      </c>
      <c r="T19" s="774" t="s">
        <v>21</v>
      </c>
      <c r="U19" s="775">
        <f>H19</f>
        <v>100</v>
      </c>
      <c r="V19" s="774" t="s">
        <v>21</v>
      </c>
      <c r="W19" s="775">
        <f>J19</f>
        <v>100</v>
      </c>
      <c r="X19" s="1815"/>
      <c r="Y19" s="3179"/>
      <c r="Z19" s="1816" t="str">
        <f>Q19</f>
        <v>公共配套设施</v>
      </c>
      <c r="AA19" s="1813">
        <f t="shared" si="3"/>
        <v>1</v>
      </c>
      <c r="AB19" s="1813">
        <f t="shared" si="4"/>
        <v>1</v>
      </c>
      <c r="AC19" s="1813">
        <f t="shared" si="5"/>
        <v>1</v>
      </c>
    </row>
    <row r="20" spans="1:29" ht="15">
      <c r="A20" s="428"/>
      <c r="B20" s="456"/>
      <c r="C20" s="447" t="str">
        <f>'土地比较法-住宅、综合'!C28</f>
        <v>一般</v>
      </c>
      <c r="D20" s="448"/>
      <c r="E20" s="2606" t="s">
        <v>3096</v>
      </c>
      <c r="F20" s="448"/>
      <c r="G20" s="2607" t="s">
        <v>3096</v>
      </c>
      <c r="H20" s="448"/>
      <c r="I20" s="2607" t="s">
        <v>3096</v>
      </c>
      <c r="J20" s="448"/>
      <c r="K20" s="2608"/>
      <c r="L20" s="1143"/>
      <c r="M20" s="1134"/>
      <c r="N20" s="1134"/>
      <c r="O20" s="1134"/>
      <c r="P20" s="3244"/>
      <c r="Q20" s="1812"/>
      <c r="R20" s="774"/>
      <c r="S20" s="775"/>
      <c r="T20" s="774"/>
      <c r="U20" s="775"/>
      <c r="V20" s="774"/>
      <c r="W20" s="775"/>
      <c r="X20" s="1815"/>
      <c r="Y20" s="3179"/>
      <c r="Z20" s="1816"/>
      <c r="AA20" s="1813">
        <v>1</v>
      </c>
      <c r="AB20" s="1813">
        <v>1</v>
      </c>
      <c r="AC20" s="1813">
        <v>1</v>
      </c>
    </row>
    <row r="21" spans="1:29" ht="28.5">
      <c r="A21" s="428"/>
      <c r="B21" s="1387" t="s">
        <v>2097</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4"/>
      <c r="Q21" s="1812" t="str">
        <f>B21</f>
        <v>基础设施水平</v>
      </c>
      <c r="R21" s="774" t="s">
        <v>17</v>
      </c>
      <c r="S21" s="775">
        <f>F21</f>
        <v>100</v>
      </c>
      <c r="T21" s="774" t="s">
        <v>17</v>
      </c>
      <c r="U21" s="775">
        <f>H21</f>
        <v>100</v>
      </c>
      <c r="V21" s="774" t="s">
        <v>17</v>
      </c>
      <c r="W21" s="775">
        <f>J21</f>
        <v>100</v>
      </c>
      <c r="X21" s="1815"/>
      <c r="Y21" s="3179"/>
      <c r="Z21" s="1816" t="str">
        <f>Q21</f>
        <v>基础设施水平</v>
      </c>
      <c r="AA21" s="1813">
        <f t="shared" ref="AA21" si="8">D21/F21</f>
        <v>1</v>
      </c>
      <c r="AB21" s="1813">
        <f t="shared" ref="AB21" si="9">D21/H21</f>
        <v>1</v>
      </c>
      <c r="AC21" s="1813">
        <f t="shared" ref="AC21" si="10">D21/J21</f>
        <v>1</v>
      </c>
    </row>
    <row r="22" spans="1:29" ht="15">
      <c r="A22" s="428"/>
      <c r="B22" s="1387"/>
      <c r="C22" s="2610" t="s">
        <v>3097</v>
      </c>
      <c r="D22" s="448"/>
      <c r="E22" s="447" t="s">
        <v>3097</v>
      </c>
      <c r="F22" s="448"/>
      <c r="G22" s="2613" t="s">
        <v>3097</v>
      </c>
      <c r="H22" s="448"/>
      <c r="I22" s="447" t="s">
        <v>3097</v>
      </c>
      <c r="J22" s="448"/>
      <c r="K22" s="2614"/>
      <c r="L22" s="1143"/>
      <c r="M22" s="1134"/>
      <c r="N22" s="1134"/>
      <c r="O22" s="1134"/>
      <c r="P22" s="3244"/>
      <c r="Q22" s="1812"/>
      <c r="R22" s="774"/>
      <c r="S22" s="775"/>
      <c r="T22" s="774"/>
      <c r="U22" s="775"/>
      <c r="V22" s="774"/>
      <c r="W22" s="775"/>
      <c r="X22" s="1815"/>
      <c r="Y22" s="3179"/>
      <c r="Z22" s="1816"/>
      <c r="AA22" s="1813">
        <v>1</v>
      </c>
      <c r="AB22" s="1813">
        <v>1</v>
      </c>
      <c r="AC22" s="1813">
        <v>1</v>
      </c>
    </row>
    <row r="23" spans="1:29" ht="57">
      <c r="A23" s="428"/>
      <c r="B23" s="451" t="s">
        <v>2101</v>
      </c>
      <c r="C23" s="2609" t="str">
        <f>估价对象房地状况!C9</f>
        <v>区域自然环境：；人文环境；综合评价环境状况一般</v>
      </c>
      <c r="D23" s="450">
        <v>100</v>
      </c>
      <c r="E23" s="454"/>
      <c r="F23" s="450">
        <f>SUMIF(84:84,E24,85:85)-SUMIF(84:84,C24,85:85)+100</f>
        <v>103</v>
      </c>
      <c r="G23" s="452"/>
      <c r="H23" s="450">
        <f>SUMIF(84:84,G24,85:85)-SUMIF(84:84,C24,85:85)+100</f>
        <v>100</v>
      </c>
      <c r="I23" s="452"/>
      <c r="J23" s="450">
        <f>SUMIF(84:84,I24,85:85)-SUMIF(84:84,C24,85:85)+100</f>
        <v>100</v>
      </c>
      <c r="K23" s="445">
        <v>3</v>
      </c>
      <c r="L23" s="1143"/>
      <c r="M23" s="1134"/>
      <c r="N23" s="1134"/>
      <c r="O23" s="1134"/>
      <c r="P23" s="3244"/>
      <c r="Q23" s="1812" t="str">
        <f>B23</f>
        <v>自然及人文环境</v>
      </c>
      <c r="R23" s="774" t="s">
        <v>21</v>
      </c>
      <c r="S23" s="775">
        <f>F23</f>
        <v>103</v>
      </c>
      <c r="T23" s="774" t="s">
        <v>21</v>
      </c>
      <c r="U23" s="775">
        <f>H23</f>
        <v>100</v>
      </c>
      <c r="V23" s="774" t="s">
        <v>21</v>
      </c>
      <c r="W23" s="775">
        <f>J23</f>
        <v>100</v>
      </c>
      <c r="X23" s="1815"/>
      <c r="Y23" s="3179"/>
      <c r="Z23" s="1816" t="str">
        <f>Q23</f>
        <v>自然及人文环境</v>
      </c>
      <c r="AA23" s="1813">
        <f>D23/F23</f>
        <v>0.970873786407767</v>
      </c>
      <c r="AB23" s="1813">
        <f>D23/H23</f>
        <v>1</v>
      </c>
      <c r="AC23" s="1813">
        <f>D23/J23</f>
        <v>1</v>
      </c>
    </row>
    <row r="24" spans="1:29" ht="15.75" thickBot="1">
      <c r="A24" s="428"/>
      <c r="B24" s="456"/>
      <c r="C24" s="447" t="str">
        <f>'土地比较法-住宅、综合'!C26</f>
        <v>较好</v>
      </c>
      <c r="D24" s="448"/>
      <c r="E24" s="2606" t="s">
        <v>3095</v>
      </c>
      <c r="F24" s="448"/>
      <c r="G24" s="2607" t="s">
        <v>3094</v>
      </c>
      <c r="H24" s="448"/>
      <c r="I24" s="2607" t="s">
        <v>3094</v>
      </c>
      <c r="J24" s="448"/>
      <c r="K24" s="2608"/>
      <c r="L24" s="1143"/>
      <c r="M24" s="1134"/>
      <c r="N24" s="1134"/>
      <c r="O24" s="1134"/>
      <c r="P24" s="3244"/>
      <c r="Q24" s="1812"/>
      <c r="R24" s="774"/>
      <c r="S24" s="775"/>
      <c r="T24" s="774"/>
      <c r="U24" s="775"/>
      <c r="V24" s="774"/>
      <c r="W24" s="775"/>
      <c r="X24" s="1815"/>
      <c r="Y24" s="3179"/>
      <c r="Z24" s="1816"/>
      <c r="AA24" s="1813">
        <v>1</v>
      </c>
      <c r="AB24" s="1813">
        <v>1</v>
      </c>
      <c r="AC24" s="1813">
        <v>1</v>
      </c>
    </row>
    <row r="25" spans="1:29" ht="15" hidden="1">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44"/>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9"/>
      <c r="Z25" s="1816" t="str">
        <f>Q25</f>
        <v>楼层-1</v>
      </c>
      <c r="AA25" s="1813">
        <f t="shared" ref="AA25:AA46" si="15">D25/F25</f>
        <v>1</v>
      </c>
      <c r="AB25" s="1813">
        <f t="shared" ref="AB25:AB46" si="16">D25/H25</f>
        <v>1</v>
      </c>
      <c r="AC25" s="1813">
        <f t="shared" ref="AC25:AC46" si="17">D25/J25</f>
        <v>1</v>
      </c>
    </row>
    <row r="26" spans="1:29" ht="15" hidden="1">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44"/>
      <c r="Q26" s="1812" t="str">
        <f t="shared" si="11"/>
        <v>朝向</v>
      </c>
      <c r="R26" s="774" t="s">
        <v>21</v>
      </c>
      <c r="S26" s="775">
        <f t="shared" si="12"/>
        <v>100</v>
      </c>
      <c r="T26" s="774" t="s">
        <v>21</v>
      </c>
      <c r="U26" s="775">
        <f t="shared" si="13"/>
        <v>100</v>
      </c>
      <c r="V26" s="774" t="s">
        <v>21</v>
      </c>
      <c r="W26" s="775">
        <f t="shared" si="14"/>
        <v>100</v>
      </c>
      <c r="X26" s="1815"/>
      <c r="Y26" s="3179"/>
      <c r="Z26" s="1816" t="str">
        <f>Q26</f>
        <v>朝向</v>
      </c>
      <c r="AA26" s="1813">
        <f t="shared" si="15"/>
        <v>1</v>
      </c>
      <c r="AB26" s="1813">
        <f t="shared" si="16"/>
        <v>1</v>
      </c>
      <c r="AC26" s="1813">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44"/>
      <c r="Q27" s="1797">
        <f t="shared" si="11"/>
        <v>111</v>
      </c>
      <c r="R27" s="770" t="s">
        <v>21</v>
      </c>
      <c r="S27" s="771">
        <f t="shared" si="12"/>
        <v>100</v>
      </c>
      <c r="T27" s="770" t="s">
        <v>21</v>
      </c>
      <c r="U27" s="771">
        <f t="shared" si="13"/>
        <v>100</v>
      </c>
      <c r="V27" s="770" t="s">
        <v>21</v>
      </c>
      <c r="W27" s="771">
        <f t="shared" si="14"/>
        <v>100</v>
      </c>
      <c r="X27" s="772"/>
      <c r="Y27" s="3179"/>
      <c r="Z27" s="55">
        <f>Q27</f>
        <v>111</v>
      </c>
      <c r="AA27" s="1813">
        <f t="shared" si="15"/>
        <v>1</v>
      </c>
      <c r="AB27" s="1813">
        <f t="shared" si="16"/>
        <v>1</v>
      </c>
      <c r="AC27" s="1813">
        <f t="shared" si="17"/>
        <v>1</v>
      </c>
    </row>
    <row r="28" spans="1:29" ht="15" hidden="1">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44"/>
      <c r="Q28" s="1812">
        <f t="shared" si="11"/>
        <v>111</v>
      </c>
      <c r="R28" s="774" t="s">
        <v>21</v>
      </c>
      <c r="S28" s="775">
        <f t="shared" si="12"/>
        <v>100</v>
      </c>
      <c r="T28" s="774" t="s">
        <v>21</v>
      </c>
      <c r="U28" s="775">
        <f t="shared" si="13"/>
        <v>100</v>
      </c>
      <c r="V28" s="774" t="s">
        <v>21</v>
      </c>
      <c r="W28" s="775">
        <f t="shared" si="14"/>
        <v>100</v>
      </c>
      <c r="X28" s="1815"/>
      <c r="Y28" s="3179"/>
      <c r="Z28" s="1816">
        <f t="shared" ref="Z28:Z46" si="18">Q28</f>
        <v>111</v>
      </c>
      <c r="AA28" s="1813">
        <f t="shared" si="15"/>
        <v>1</v>
      </c>
      <c r="AB28" s="1813">
        <f t="shared" si="16"/>
        <v>1</v>
      </c>
      <c r="AC28" s="1813">
        <f t="shared" si="17"/>
        <v>1</v>
      </c>
    </row>
    <row r="29" spans="1:29" ht="15" hidden="1">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44"/>
      <c r="Q29" s="1812">
        <f t="shared" si="11"/>
        <v>111</v>
      </c>
      <c r="R29" s="774" t="s">
        <v>21</v>
      </c>
      <c r="S29" s="775">
        <f t="shared" si="12"/>
        <v>100</v>
      </c>
      <c r="T29" s="774" t="s">
        <v>21</v>
      </c>
      <c r="U29" s="775">
        <f t="shared" si="13"/>
        <v>100</v>
      </c>
      <c r="V29" s="774" t="s">
        <v>21</v>
      </c>
      <c r="W29" s="775">
        <f t="shared" si="14"/>
        <v>100</v>
      </c>
      <c r="X29" s="1815"/>
      <c r="Y29" s="3179"/>
      <c r="Z29" s="1816">
        <f t="shared" si="18"/>
        <v>111</v>
      </c>
      <c r="AA29" s="1813">
        <f t="shared" si="15"/>
        <v>1</v>
      </c>
      <c r="AB29" s="1813">
        <f t="shared" si="16"/>
        <v>1</v>
      </c>
      <c r="AC29" s="1813">
        <f t="shared" si="17"/>
        <v>1</v>
      </c>
    </row>
    <row r="30" spans="1:29" ht="15" hidden="1">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44"/>
      <c r="Q30" s="1812">
        <f t="shared" si="11"/>
        <v>111</v>
      </c>
      <c r="R30" s="774" t="s">
        <v>21</v>
      </c>
      <c r="S30" s="775">
        <f t="shared" si="12"/>
        <v>100</v>
      </c>
      <c r="T30" s="774" t="s">
        <v>21</v>
      </c>
      <c r="U30" s="775">
        <f t="shared" si="13"/>
        <v>100</v>
      </c>
      <c r="V30" s="774" t="s">
        <v>21</v>
      </c>
      <c r="W30" s="775">
        <f t="shared" si="14"/>
        <v>100</v>
      </c>
      <c r="X30" s="1815"/>
      <c r="Y30" s="3179"/>
      <c r="Z30" s="1816">
        <f t="shared" si="18"/>
        <v>111</v>
      </c>
      <c r="AA30" s="1813">
        <f t="shared" si="15"/>
        <v>1</v>
      </c>
      <c r="AB30" s="1813">
        <f t="shared" si="16"/>
        <v>1</v>
      </c>
      <c r="AC30" s="1813">
        <f t="shared" si="17"/>
        <v>1</v>
      </c>
    </row>
    <row r="31" spans="1:29" ht="15.75" hidden="1"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44"/>
      <c r="Q31" s="1812">
        <f t="shared" si="11"/>
        <v>111</v>
      </c>
      <c r="R31" s="774" t="s">
        <v>21</v>
      </c>
      <c r="S31" s="775">
        <f t="shared" si="12"/>
        <v>100</v>
      </c>
      <c r="T31" s="774" t="s">
        <v>21</v>
      </c>
      <c r="U31" s="775">
        <f t="shared" si="13"/>
        <v>100</v>
      </c>
      <c r="V31" s="774" t="s">
        <v>21</v>
      </c>
      <c r="W31" s="775">
        <f t="shared" si="14"/>
        <v>100</v>
      </c>
      <c r="X31" s="1815"/>
      <c r="Y31" s="3179"/>
      <c r="Z31" s="1816">
        <f t="shared" si="18"/>
        <v>111</v>
      </c>
      <c r="AA31" s="1813">
        <f t="shared" si="15"/>
        <v>1</v>
      </c>
      <c r="AB31" s="1813">
        <f t="shared" si="16"/>
        <v>1</v>
      </c>
      <c r="AC31" s="1813">
        <f t="shared" si="17"/>
        <v>1</v>
      </c>
    </row>
    <row r="32" spans="1:29" ht="15">
      <c r="A32" s="440" t="s">
        <v>2562</v>
      </c>
      <c r="B32" s="71" t="s">
        <v>2563</v>
      </c>
      <c r="C32" s="2619" t="s">
        <v>3080</v>
      </c>
      <c r="D32" s="467">
        <v>100</v>
      </c>
      <c r="E32" s="2620" t="s">
        <v>3080</v>
      </c>
      <c r="F32" s="461">
        <f>SUMIF(100:100,E32,101:101)-SUMIF(100:100,C32,101:101)+100</f>
        <v>100</v>
      </c>
      <c r="G32" s="2619" t="s">
        <v>3080</v>
      </c>
      <c r="H32" s="467">
        <f>SUMIF(100:100,G32,101:101)-SUMIF(100:100,C32,101:101)+100</f>
        <v>100</v>
      </c>
      <c r="I32" s="2620" t="s">
        <v>3080</v>
      </c>
      <c r="J32" s="435">
        <f>SUMIF(100:100,I32,101:101)-SUMIF(100:100,C32,101:101)+100</f>
        <v>100</v>
      </c>
      <c r="K32" s="426"/>
      <c r="L32" s="1143"/>
      <c r="M32" s="1134"/>
      <c r="N32" s="1134"/>
      <c r="O32" s="1134"/>
      <c r="P32" s="3245" t="s">
        <v>2564</v>
      </c>
      <c r="Q32" s="1812" t="str">
        <f t="shared" si="11"/>
        <v>建筑类型</v>
      </c>
      <c r="R32" s="774" t="s">
        <v>21</v>
      </c>
      <c r="S32" s="775">
        <f t="shared" si="12"/>
        <v>100</v>
      </c>
      <c r="T32" s="774" t="s">
        <v>21</v>
      </c>
      <c r="U32" s="775">
        <f t="shared" si="13"/>
        <v>100</v>
      </c>
      <c r="V32" s="774" t="s">
        <v>21</v>
      </c>
      <c r="W32" s="775">
        <f t="shared" si="14"/>
        <v>100</v>
      </c>
      <c r="X32" s="1815"/>
      <c r="Y32" s="3181" t="s">
        <v>2564</v>
      </c>
      <c r="Z32" s="1816" t="str">
        <f t="shared" si="18"/>
        <v>建筑类型</v>
      </c>
      <c r="AA32" s="1813">
        <f t="shared" si="15"/>
        <v>1</v>
      </c>
      <c r="AB32" s="1813">
        <f t="shared" si="16"/>
        <v>1</v>
      </c>
      <c r="AC32" s="1813">
        <f t="shared" si="17"/>
        <v>1</v>
      </c>
    </row>
    <row r="33" spans="1:29" s="471" customFormat="1" ht="15">
      <c r="A33" s="468"/>
      <c r="B33" s="422" t="s">
        <v>2565</v>
      </c>
      <c r="C33" s="469">
        <f>'数据-基础表'!B3</f>
        <v>964140.41</v>
      </c>
      <c r="D33" s="136">
        <v>100</v>
      </c>
      <c r="E33" s="430">
        <v>1100000</v>
      </c>
      <c r="F33" s="425">
        <f>LOOKUP(E33,103:103,104:104)-LOOKUP(C33,103:103,104:104)+100</f>
        <v>101</v>
      </c>
      <c r="G33" s="429">
        <v>241915</v>
      </c>
      <c r="H33" s="136">
        <f>LOOKUP(G33,103:103,104:104)-LOOKUP(C33,103:103,104:104)+100</f>
        <v>98</v>
      </c>
      <c r="I33" s="430">
        <v>595381</v>
      </c>
      <c r="J33" s="136">
        <f>LOOKUP(I33,103:103,104:104)-LOOKUP(C33,103:103,104:104)+100</f>
        <v>99</v>
      </c>
      <c r="K33" s="2603"/>
      <c r="L33" s="1141"/>
      <c r="M33" s="1144"/>
      <c r="N33" s="1144"/>
      <c r="O33" s="1144"/>
      <c r="P33" s="3246"/>
      <c r="Q33" s="776" t="str">
        <f t="shared" si="11"/>
        <v>项目建筑规模</v>
      </c>
      <c r="R33" s="777" t="s">
        <v>21</v>
      </c>
      <c r="S33" s="778">
        <f t="shared" si="12"/>
        <v>101</v>
      </c>
      <c r="T33" s="777" t="s">
        <v>21</v>
      </c>
      <c r="U33" s="778">
        <f t="shared" si="13"/>
        <v>98</v>
      </c>
      <c r="V33" s="777" t="s">
        <v>21</v>
      </c>
      <c r="W33" s="778">
        <f t="shared" si="14"/>
        <v>99</v>
      </c>
      <c r="X33" s="779"/>
      <c r="Y33" s="3181"/>
      <c r="Z33" s="780" t="str">
        <f t="shared" si="18"/>
        <v>项目建筑规模</v>
      </c>
      <c r="AA33" s="1813">
        <f t="shared" si="15"/>
        <v>0.99009900990099009</v>
      </c>
      <c r="AB33" s="1813">
        <f t="shared" si="16"/>
        <v>1.0204081632653061</v>
      </c>
      <c r="AC33" s="1813">
        <f t="shared" si="17"/>
        <v>1.0101010101010102</v>
      </c>
    </row>
    <row r="34" spans="1:29" ht="15">
      <c r="A34" s="472"/>
      <c r="B34" s="422" t="s">
        <v>2566</v>
      </c>
      <c r="C34" s="2621" t="s">
        <v>3102</v>
      </c>
      <c r="D34" s="435">
        <v>100</v>
      </c>
      <c r="E34" s="2622" t="s">
        <v>3102</v>
      </c>
      <c r="F34" s="461">
        <f>SUMIF(105:105,E34,106:106)-SUMIF(105:105,C34,106:106)+100</f>
        <v>100</v>
      </c>
      <c r="G34" s="2621" t="s">
        <v>3102</v>
      </c>
      <c r="H34" s="435">
        <f>SUMIF(105:105,G34,106:106)-SUMIF(105:105,C34,106:106)+100</f>
        <v>100</v>
      </c>
      <c r="I34" s="2622" t="s">
        <v>3102</v>
      </c>
      <c r="J34" s="435">
        <f>SUMIF(105:105,I34,106:106)-SUMIF(105:105,C34,106:106)+100</f>
        <v>100</v>
      </c>
      <c r="K34" s="426"/>
      <c r="L34" s="1143"/>
      <c r="M34" s="1134"/>
      <c r="N34" s="1134"/>
      <c r="O34" s="1134"/>
      <c r="P34" s="3246"/>
      <c r="Q34" s="1812" t="str">
        <f t="shared" si="11"/>
        <v>建筑结构</v>
      </c>
      <c r="R34" s="774" t="s">
        <v>21</v>
      </c>
      <c r="S34" s="775">
        <f t="shared" si="12"/>
        <v>100</v>
      </c>
      <c r="T34" s="774" t="s">
        <v>21</v>
      </c>
      <c r="U34" s="775">
        <f t="shared" si="13"/>
        <v>100</v>
      </c>
      <c r="V34" s="774" t="s">
        <v>21</v>
      </c>
      <c r="W34" s="775">
        <f t="shared" si="14"/>
        <v>100</v>
      </c>
      <c r="X34" s="1815"/>
      <c r="Y34" s="3181"/>
      <c r="Z34" s="1816" t="str">
        <f t="shared" si="18"/>
        <v>建筑结构</v>
      </c>
      <c r="AA34" s="1813">
        <f t="shared" si="15"/>
        <v>1</v>
      </c>
      <c r="AB34" s="1813">
        <f t="shared" si="16"/>
        <v>1</v>
      </c>
      <c r="AC34" s="1813">
        <f t="shared" si="17"/>
        <v>1</v>
      </c>
    </row>
    <row r="35" spans="1:29" ht="15">
      <c r="A35" s="472"/>
      <c r="B35" s="422" t="s">
        <v>2567</v>
      </c>
      <c r="C35" s="2615" t="s">
        <v>3106</v>
      </c>
      <c r="D35" s="435">
        <v>100</v>
      </c>
      <c r="E35" s="2616" t="s">
        <v>3106</v>
      </c>
      <c r="F35" s="461">
        <f>SUMIF(107:107,E35,108:108)-SUMIF(107:107,C35,108:108)+100</f>
        <v>100</v>
      </c>
      <c r="G35" s="2615" t="s">
        <v>3106</v>
      </c>
      <c r="H35" s="435">
        <f>SUMIF(107:107,G35,108:108)-SUMIF(107:107,C35,108:108)+100</f>
        <v>100</v>
      </c>
      <c r="I35" s="2616" t="s">
        <v>3106</v>
      </c>
      <c r="J35" s="435">
        <f>SUMIF(107:107,I35,108:108)-SUMIF(107:107,C35,108:108)+100</f>
        <v>100</v>
      </c>
      <c r="K35" s="426"/>
      <c r="L35" s="1143"/>
      <c r="M35" s="1134"/>
      <c r="N35" s="1134"/>
      <c r="O35" s="1134"/>
      <c r="P35" s="3246"/>
      <c r="Q35" s="1812" t="str">
        <f t="shared" si="11"/>
        <v>建筑品质</v>
      </c>
      <c r="R35" s="774" t="s">
        <v>21</v>
      </c>
      <c r="S35" s="775">
        <f t="shared" si="12"/>
        <v>100</v>
      </c>
      <c r="T35" s="774" t="s">
        <v>21</v>
      </c>
      <c r="U35" s="775">
        <f t="shared" si="13"/>
        <v>100</v>
      </c>
      <c r="V35" s="774" t="s">
        <v>21</v>
      </c>
      <c r="W35" s="775">
        <f t="shared" si="14"/>
        <v>100</v>
      </c>
      <c r="X35" s="1815"/>
      <c r="Y35" s="3181"/>
      <c r="Z35" s="1816" t="str">
        <f t="shared" si="18"/>
        <v>建筑品质</v>
      </c>
      <c r="AA35" s="1813">
        <f t="shared" si="15"/>
        <v>1</v>
      </c>
      <c r="AB35" s="1813">
        <f t="shared" si="16"/>
        <v>1</v>
      </c>
      <c r="AC35" s="1813">
        <f t="shared" si="17"/>
        <v>1</v>
      </c>
    </row>
    <row r="36" spans="1:29" ht="15">
      <c r="A36" s="472"/>
      <c r="B36" s="422" t="s">
        <v>2568</v>
      </c>
      <c r="C36" s="2615" t="s">
        <v>3109</v>
      </c>
      <c r="D36" s="435">
        <v>100</v>
      </c>
      <c r="E36" s="2616" t="s">
        <v>3109</v>
      </c>
      <c r="F36" s="461">
        <f>SUMIF(109:109,E36,110:110)-SUMIF(109:109,C36,110:110)+100</f>
        <v>100</v>
      </c>
      <c r="G36" s="2615" t="s">
        <v>3109</v>
      </c>
      <c r="H36" s="435">
        <f>SUMIF(109:109,G36,110:110)-SUMIF(109:109,C36,110:110)+100</f>
        <v>100</v>
      </c>
      <c r="I36" s="2616" t="s">
        <v>3109</v>
      </c>
      <c r="J36" s="435">
        <f>SUMIF(109:109,I36,110:110)-SUMIF(109:109,C36,110:110)+100</f>
        <v>100</v>
      </c>
      <c r="K36" s="426"/>
      <c r="L36" s="1143"/>
      <c r="M36" s="1134"/>
      <c r="N36" s="1134"/>
      <c r="O36" s="1134"/>
      <c r="P36" s="3246"/>
      <c r="Q36" s="1812" t="str">
        <f t="shared" si="11"/>
        <v>公共部分装修</v>
      </c>
      <c r="R36" s="774" t="s">
        <v>21</v>
      </c>
      <c r="S36" s="775">
        <f t="shared" si="12"/>
        <v>100</v>
      </c>
      <c r="T36" s="774" t="s">
        <v>21</v>
      </c>
      <c r="U36" s="775">
        <f t="shared" si="13"/>
        <v>100</v>
      </c>
      <c r="V36" s="774" t="s">
        <v>21</v>
      </c>
      <c r="W36" s="775">
        <f t="shared" si="14"/>
        <v>100</v>
      </c>
      <c r="X36" s="1815"/>
      <c r="Y36" s="3181"/>
      <c r="Z36" s="1816" t="str">
        <f t="shared" si="18"/>
        <v>公共部分装修</v>
      </c>
      <c r="AA36" s="1813">
        <f t="shared" si="15"/>
        <v>1</v>
      </c>
      <c r="AB36" s="1813">
        <f t="shared" si="16"/>
        <v>1</v>
      </c>
      <c r="AC36" s="1813">
        <f t="shared" si="17"/>
        <v>1</v>
      </c>
    </row>
    <row r="37" spans="1:29" s="117" customFormat="1" ht="15" hidden="1">
      <c r="A37" s="473"/>
      <c r="B37" s="422" t="s">
        <v>2569</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246"/>
      <c r="Q37" s="1797" t="str">
        <f t="shared" si="11"/>
        <v>成新度</v>
      </c>
      <c r="R37" s="770" t="s">
        <v>21</v>
      </c>
      <c r="S37" s="771">
        <f t="shared" si="12"/>
        <v>100</v>
      </c>
      <c r="T37" s="770" t="s">
        <v>21</v>
      </c>
      <c r="U37" s="771">
        <f t="shared" si="13"/>
        <v>100</v>
      </c>
      <c r="V37" s="770" t="s">
        <v>21</v>
      </c>
      <c r="W37" s="771">
        <f t="shared" si="14"/>
        <v>100</v>
      </c>
      <c r="X37" s="772"/>
      <c r="Y37" s="3181"/>
      <c r="Z37" s="55" t="str">
        <f t="shared" si="18"/>
        <v>成新度</v>
      </c>
      <c r="AA37" s="773">
        <f t="shared" si="15"/>
        <v>1</v>
      </c>
      <c r="AB37" s="773">
        <f t="shared" si="16"/>
        <v>1</v>
      </c>
      <c r="AC37" s="773">
        <f t="shared" si="17"/>
        <v>1</v>
      </c>
    </row>
    <row r="38" spans="1:29" ht="15">
      <c r="A38" s="472"/>
      <c r="B38" s="422" t="s">
        <v>2570</v>
      </c>
      <c r="C38" s="2615" t="s">
        <v>3113</v>
      </c>
      <c r="D38" s="435">
        <v>100</v>
      </c>
      <c r="E38" s="2616" t="s">
        <v>3113</v>
      </c>
      <c r="F38" s="461">
        <f>SUMIF(114:114,E38,115:115)-SUMIF(114:114,C38,115:115)+100</f>
        <v>100</v>
      </c>
      <c r="G38" s="2615" t="s">
        <v>3113</v>
      </c>
      <c r="H38" s="435">
        <f>SUMIF(114:114,G38,115:115)-SUMIF(114:114,C38,115:115)+100</f>
        <v>100</v>
      </c>
      <c r="I38" s="2616" t="s">
        <v>3113</v>
      </c>
      <c r="J38" s="435">
        <f>SUMIF(114:114,I38,115:115)-SUMIF(114:114,C38,115:115)+100</f>
        <v>100</v>
      </c>
      <c r="K38" s="426"/>
      <c r="L38" s="1143"/>
      <c r="M38" s="1134"/>
      <c r="N38" s="1134"/>
      <c r="O38" s="1134"/>
      <c r="P38" s="3246" t="s">
        <v>2564</v>
      </c>
      <c r="Q38" s="1812" t="str">
        <f t="shared" si="11"/>
        <v>物业管理</v>
      </c>
      <c r="R38" s="774" t="s">
        <v>21</v>
      </c>
      <c r="S38" s="775">
        <f t="shared" si="12"/>
        <v>100</v>
      </c>
      <c r="T38" s="774" t="s">
        <v>21</v>
      </c>
      <c r="U38" s="775">
        <f t="shared" si="13"/>
        <v>100</v>
      </c>
      <c r="V38" s="774" t="s">
        <v>21</v>
      </c>
      <c r="W38" s="775">
        <f t="shared" si="14"/>
        <v>100</v>
      </c>
      <c r="X38" s="1815"/>
      <c r="Y38" s="3181" t="s">
        <v>2564</v>
      </c>
      <c r="Z38" s="1816" t="str">
        <f t="shared" si="18"/>
        <v>物业管理</v>
      </c>
      <c r="AA38" s="1813">
        <f t="shared" si="15"/>
        <v>1</v>
      </c>
      <c r="AB38" s="1813">
        <f t="shared" si="16"/>
        <v>1</v>
      </c>
      <c r="AC38" s="1813">
        <f t="shared" si="17"/>
        <v>1</v>
      </c>
    </row>
    <row r="39" spans="1:29" ht="15">
      <c r="A39" s="472"/>
      <c r="B39" s="422" t="s">
        <v>2571</v>
      </c>
      <c r="C39" s="2615" t="s">
        <v>3097</v>
      </c>
      <c r="D39" s="435">
        <v>100</v>
      </c>
      <c r="E39" s="2616" t="s">
        <v>3097</v>
      </c>
      <c r="F39" s="461">
        <f>SUMIF(116:116,E39,117:117)-SUMIF(116:116,C39,117:117)+100</f>
        <v>100</v>
      </c>
      <c r="G39" s="2615" t="s">
        <v>3097</v>
      </c>
      <c r="H39" s="435">
        <f>SUMIF(116:116,G39,117:117)-SUMIF(116:116,C39,117:117)+100</f>
        <v>100</v>
      </c>
      <c r="I39" s="2616" t="s">
        <v>3097</v>
      </c>
      <c r="J39" s="435">
        <f>SUMIF(116:116,I39,117:117)-SUMIF(116:116,C39,117:117)+100</f>
        <v>100</v>
      </c>
      <c r="K39" s="426"/>
      <c r="L39" s="1143"/>
      <c r="M39" s="1134"/>
      <c r="N39" s="1134"/>
      <c r="O39" s="1134"/>
      <c r="P39" s="3246"/>
      <c r="Q39" s="1812" t="str">
        <f t="shared" si="11"/>
        <v>市政基础设施</v>
      </c>
      <c r="R39" s="774" t="s">
        <v>21</v>
      </c>
      <c r="S39" s="775">
        <f t="shared" si="12"/>
        <v>100</v>
      </c>
      <c r="T39" s="774" t="s">
        <v>21</v>
      </c>
      <c r="U39" s="775">
        <f t="shared" si="13"/>
        <v>100</v>
      </c>
      <c r="V39" s="774" t="s">
        <v>21</v>
      </c>
      <c r="W39" s="775">
        <f t="shared" si="14"/>
        <v>100</v>
      </c>
      <c r="X39" s="1815"/>
      <c r="Y39" s="3181"/>
      <c r="Z39" s="1816" t="str">
        <f t="shared" si="18"/>
        <v>市政基础设施</v>
      </c>
      <c r="AA39" s="1813">
        <f t="shared" si="15"/>
        <v>1</v>
      </c>
      <c r="AB39" s="1813">
        <f t="shared" si="16"/>
        <v>1</v>
      </c>
      <c r="AC39" s="1813">
        <f t="shared" si="17"/>
        <v>1</v>
      </c>
    </row>
    <row r="40" spans="1:29" ht="15" hidden="1">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46"/>
      <c r="Q40" s="1812" t="str">
        <f t="shared" si="11"/>
        <v>房型</v>
      </c>
      <c r="R40" s="774" t="s">
        <v>21</v>
      </c>
      <c r="S40" s="775">
        <f t="shared" si="12"/>
        <v>100</v>
      </c>
      <c r="T40" s="774" t="s">
        <v>21</v>
      </c>
      <c r="U40" s="775">
        <f t="shared" si="13"/>
        <v>100</v>
      </c>
      <c r="V40" s="774" t="s">
        <v>21</v>
      </c>
      <c r="W40" s="775">
        <f t="shared" si="14"/>
        <v>100</v>
      </c>
      <c r="X40" s="1815"/>
      <c r="Y40" s="3181"/>
      <c r="Z40" s="1816" t="str">
        <f t="shared" si="18"/>
        <v>房型</v>
      </c>
      <c r="AA40" s="1813">
        <f t="shared" si="15"/>
        <v>1</v>
      </c>
      <c r="AB40" s="1813">
        <f t="shared" si="16"/>
        <v>1</v>
      </c>
      <c r="AC40" s="1813">
        <f t="shared" si="17"/>
        <v>1</v>
      </c>
    </row>
    <row r="41" spans="1:29" s="471" customFormat="1" ht="28.5">
      <c r="A41" s="468"/>
      <c r="B41" s="422" t="s">
        <v>2573</v>
      </c>
      <c r="C41" s="469" t="s">
        <v>3127</v>
      </c>
      <c r="D41" s="136">
        <v>100</v>
      </c>
      <c r="E41" s="469" t="s">
        <v>3128</v>
      </c>
      <c r="F41" s="425">
        <f>SUMIF(120:120,E41,121:121)-SUMIF(120:120,C41,121:121)+100</f>
        <v>102</v>
      </c>
      <c r="G41" s="469" t="s">
        <v>3128</v>
      </c>
      <c r="H41" s="136">
        <f>SUMIF(120:120,G41,121:121)-SUMIF(120:120,C41,121:121)+100</f>
        <v>102</v>
      </c>
      <c r="I41" s="469" t="s">
        <v>3128</v>
      </c>
      <c r="J41" s="435">
        <f>SUMIF(120:120,I41,121:121)-SUMIF(120:120,C41,121:121)+100</f>
        <v>102</v>
      </c>
      <c r="K41" s="2603"/>
      <c r="L41" s="1141"/>
      <c r="M41" s="1144"/>
      <c r="N41" s="1144"/>
      <c r="O41" s="1144"/>
      <c r="P41" s="3246"/>
      <c r="Q41" s="776" t="str">
        <f t="shared" si="11"/>
        <v>单套/主力户型建筑面积</v>
      </c>
      <c r="R41" s="777" t="s">
        <v>21</v>
      </c>
      <c r="S41" s="778">
        <f t="shared" si="12"/>
        <v>102</v>
      </c>
      <c r="T41" s="777" t="s">
        <v>21</v>
      </c>
      <c r="U41" s="778">
        <f t="shared" si="13"/>
        <v>102</v>
      </c>
      <c r="V41" s="777" t="s">
        <v>21</v>
      </c>
      <c r="W41" s="778">
        <f t="shared" si="14"/>
        <v>102</v>
      </c>
      <c r="X41" s="779"/>
      <c r="Y41" s="3181"/>
      <c r="Z41" s="780" t="str">
        <f t="shared" si="18"/>
        <v>单套/主力户型建筑面积</v>
      </c>
      <c r="AA41" s="1813">
        <f t="shared" si="15"/>
        <v>0.98039215686274506</v>
      </c>
      <c r="AB41" s="1813">
        <f t="shared" si="16"/>
        <v>0.98039215686274506</v>
      </c>
      <c r="AC41" s="1813">
        <f t="shared" si="17"/>
        <v>0.98039215686274506</v>
      </c>
    </row>
    <row r="42" spans="1:29" ht="15.75" thickBot="1">
      <c r="A42" s="472"/>
      <c r="B42" s="422" t="s">
        <v>2574</v>
      </c>
      <c r="C42" s="2615" t="s">
        <v>3109</v>
      </c>
      <c r="D42" s="435">
        <v>100</v>
      </c>
      <c r="E42" s="2616" t="s">
        <v>3109</v>
      </c>
      <c r="F42" s="461">
        <f>SUMIF(122:122,E42,123:123)-SUMIF(122:122,C42,123:123)+100</f>
        <v>100</v>
      </c>
      <c r="G42" s="2615" t="s">
        <v>3109</v>
      </c>
      <c r="H42" s="435">
        <f>SUMIF(122:122,G42,123:123)-SUMIF(122:122,C42,123:123)+100</f>
        <v>100</v>
      </c>
      <c r="I42" s="2616" t="s">
        <v>3109</v>
      </c>
      <c r="J42" s="435">
        <f>SUMIF(122:122,I42,123:123)-SUMIF(122:122,C42,123:123)+100</f>
        <v>100</v>
      </c>
      <c r="K42" s="426"/>
      <c r="L42" s="1143"/>
      <c r="M42" s="1134"/>
      <c r="N42" s="1134"/>
      <c r="O42" s="1134"/>
      <c r="P42" s="3246"/>
      <c r="Q42" s="1812" t="str">
        <f t="shared" si="11"/>
        <v>内部装修</v>
      </c>
      <c r="R42" s="774" t="s">
        <v>21</v>
      </c>
      <c r="S42" s="775">
        <f t="shared" si="12"/>
        <v>100</v>
      </c>
      <c r="T42" s="774" t="s">
        <v>21</v>
      </c>
      <c r="U42" s="775">
        <f t="shared" si="13"/>
        <v>100</v>
      </c>
      <c r="V42" s="774" t="s">
        <v>21</v>
      </c>
      <c r="W42" s="775">
        <f t="shared" si="14"/>
        <v>100</v>
      </c>
      <c r="X42" s="1815"/>
      <c r="Y42" s="3181"/>
      <c r="Z42" s="1816" t="str">
        <f t="shared" si="18"/>
        <v>内部装修</v>
      </c>
      <c r="AA42" s="1813">
        <f t="shared" si="15"/>
        <v>1</v>
      </c>
      <c r="AB42" s="1813">
        <f t="shared" si="16"/>
        <v>1</v>
      </c>
      <c r="AC42" s="1813">
        <f t="shared" si="17"/>
        <v>1</v>
      </c>
    </row>
    <row r="43" spans="1:29" ht="15" hidden="1">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46"/>
      <c r="Q43" s="1812" t="str">
        <f t="shared" si="11"/>
        <v>内部装修维护情况</v>
      </c>
      <c r="R43" s="774" t="s">
        <v>21</v>
      </c>
      <c r="S43" s="775">
        <f t="shared" si="12"/>
        <v>100</v>
      </c>
      <c r="T43" s="774" t="s">
        <v>21</v>
      </c>
      <c r="U43" s="775">
        <f t="shared" si="13"/>
        <v>100</v>
      </c>
      <c r="V43" s="774" t="s">
        <v>21</v>
      </c>
      <c r="W43" s="775">
        <f t="shared" si="14"/>
        <v>100</v>
      </c>
      <c r="X43" s="1815"/>
      <c r="Y43" s="3181"/>
      <c r="Z43" s="1816" t="str">
        <f t="shared" si="18"/>
        <v>内部装修维护情况</v>
      </c>
      <c r="AA43" s="1813">
        <f t="shared" si="15"/>
        <v>1</v>
      </c>
      <c r="AB43" s="1813">
        <f t="shared" si="16"/>
        <v>1</v>
      </c>
      <c r="AC43" s="1813">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46"/>
      <c r="Q44" s="1797">
        <f t="shared" si="11"/>
        <v>111</v>
      </c>
      <c r="R44" s="770" t="s">
        <v>21</v>
      </c>
      <c r="S44" s="771">
        <f t="shared" si="12"/>
        <v>100</v>
      </c>
      <c r="T44" s="770" t="s">
        <v>21</v>
      </c>
      <c r="U44" s="771">
        <f t="shared" si="13"/>
        <v>100</v>
      </c>
      <c r="V44" s="770" t="s">
        <v>21</v>
      </c>
      <c r="W44" s="771">
        <f t="shared" si="14"/>
        <v>100</v>
      </c>
      <c r="X44" s="772"/>
      <c r="Y44" s="3181"/>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46"/>
      <c r="Q45" s="1812">
        <f t="shared" si="11"/>
        <v>111</v>
      </c>
      <c r="R45" s="774" t="s">
        <v>21</v>
      </c>
      <c r="S45" s="775">
        <f t="shared" si="12"/>
        <v>100</v>
      </c>
      <c r="T45" s="774" t="s">
        <v>21</v>
      </c>
      <c r="U45" s="775">
        <f t="shared" si="13"/>
        <v>100</v>
      </c>
      <c r="V45" s="774" t="s">
        <v>21</v>
      </c>
      <c r="W45" s="775">
        <f t="shared" si="14"/>
        <v>100</v>
      </c>
      <c r="X45" s="1815"/>
      <c r="Y45" s="3181"/>
      <c r="Z45" s="1816">
        <f t="shared" si="18"/>
        <v>111</v>
      </c>
      <c r="AA45" s="1813">
        <f t="shared" si="15"/>
        <v>1</v>
      </c>
      <c r="AB45" s="1813">
        <f t="shared" si="16"/>
        <v>1</v>
      </c>
      <c r="AC45" s="1813">
        <f t="shared" si="17"/>
        <v>1</v>
      </c>
    </row>
    <row r="46" spans="1:29" ht="15.75" hidden="1"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47"/>
      <c r="Q46" s="1812">
        <f t="shared" si="11"/>
        <v>111</v>
      </c>
      <c r="R46" s="774" t="s">
        <v>20</v>
      </c>
      <c r="S46" s="775">
        <f t="shared" si="12"/>
        <v>100</v>
      </c>
      <c r="T46" s="774" t="s">
        <v>20</v>
      </c>
      <c r="U46" s="775">
        <f t="shared" si="13"/>
        <v>100</v>
      </c>
      <c r="V46" s="774" t="s">
        <v>20</v>
      </c>
      <c r="W46" s="775">
        <f t="shared" si="14"/>
        <v>100</v>
      </c>
      <c r="X46" s="1815"/>
      <c r="Y46" s="3248"/>
      <c r="Z46" s="1816">
        <f t="shared" si="18"/>
        <v>111</v>
      </c>
      <c r="AA46" s="1813">
        <f t="shared" si="15"/>
        <v>1</v>
      </c>
      <c r="AB46" s="1813">
        <f t="shared" si="16"/>
        <v>1</v>
      </c>
      <c r="AC46" s="1813">
        <f t="shared" si="17"/>
        <v>1</v>
      </c>
    </row>
    <row r="47" spans="1:29" ht="15">
      <c r="A47" s="479" t="s">
        <v>2576</v>
      </c>
      <c r="B47" s="480"/>
      <c r="C47" s="1410" t="s">
        <v>19</v>
      </c>
      <c r="D47" s="1411"/>
      <c r="E47" s="1412">
        <v>12800</v>
      </c>
      <c r="F47" s="1413"/>
      <c r="G47" s="1414">
        <v>13000</v>
      </c>
      <c r="H47" s="1415"/>
      <c r="I47" s="1412">
        <v>11000</v>
      </c>
      <c r="J47" s="1415"/>
      <c r="K47" s="2623"/>
      <c r="L47" s="1146"/>
      <c r="M47" s="1147"/>
      <c r="N47" s="1134"/>
      <c r="O47" s="1147"/>
      <c r="P47" s="3176" t="str">
        <f>A47</f>
        <v>成交单价（元/平方米）</v>
      </c>
      <c r="Q47" s="3176"/>
      <c r="R47" s="3241">
        <f>E47</f>
        <v>12800</v>
      </c>
      <c r="S47" s="3241"/>
      <c r="T47" s="3241">
        <f>G47</f>
        <v>13000</v>
      </c>
      <c r="U47" s="3241"/>
      <c r="V47" s="3241">
        <f>I47</f>
        <v>11000</v>
      </c>
      <c r="W47" s="3241"/>
      <c r="X47" s="759"/>
      <c r="Y47" s="781"/>
      <c r="Z47" s="759"/>
      <c r="AA47" s="759"/>
      <c r="AB47" s="759"/>
      <c r="AC47" s="759"/>
    </row>
    <row r="48" spans="1:29" ht="15.75" thickBot="1">
      <c r="A48" s="486" t="s">
        <v>2577</v>
      </c>
      <c r="B48" s="487"/>
      <c r="C48" s="1416">
        <f>R49</f>
        <v>12048</v>
      </c>
      <c r="D48" s="1417"/>
      <c r="E48" s="1418">
        <f>R48</f>
        <v>12200</v>
      </c>
      <c r="F48" s="1418"/>
      <c r="G48" s="1416">
        <f>T48</f>
        <v>13153</v>
      </c>
      <c r="H48" s="1417"/>
      <c r="I48" s="1418">
        <f>V48</f>
        <v>10792</v>
      </c>
      <c r="J48" s="1417"/>
      <c r="K48" s="2624"/>
      <c r="L48" s="1146"/>
      <c r="M48" s="1147"/>
      <c r="N48" s="1147"/>
      <c r="O48" s="1147"/>
      <c r="P48" s="3176" t="str">
        <f>A48</f>
        <v>比较价值（元/平方米）</v>
      </c>
      <c r="Q48" s="3176"/>
      <c r="R48" s="3241">
        <f>IF(F1="售价",ROUND(PRODUCT(R47,AA7:AA46),0),ROUND(PRODUCT(R47,AA7:AA46),1))</f>
        <v>12200</v>
      </c>
      <c r="S48" s="3241"/>
      <c r="T48" s="3241">
        <f>IF(F1="售价",ROUND(PRODUCT(T47,AB7:AB46),0),ROUND(PRODUCT(T47,AB7:AB46),1))</f>
        <v>13153</v>
      </c>
      <c r="U48" s="3241"/>
      <c r="V48" s="3241">
        <f>IF(F1="售价",ROUND(PRODUCT(V47,AC7:AC46),0),ROUND(PRODUCT(V47,AC7:AC46),1))</f>
        <v>10792</v>
      </c>
      <c r="W48" s="3241"/>
      <c r="X48" s="759"/>
      <c r="Y48" s="759"/>
      <c r="Z48" s="759"/>
      <c r="AA48" s="759"/>
      <c r="AB48" s="759"/>
      <c r="AC48" s="759"/>
    </row>
    <row r="49" spans="1:29" ht="15.75" thickBot="1">
      <c r="A49" s="492" t="s">
        <v>2578</v>
      </c>
      <c r="B49" s="493"/>
      <c r="C49" s="1419">
        <f>R49</f>
        <v>12048</v>
      </c>
      <c r="D49" s="1420"/>
      <c r="E49" s="1420"/>
      <c r="F49" s="1420"/>
      <c r="G49" s="1420"/>
      <c r="H49" s="1420"/>
      <c r="I49" s="1420"/>
      <c r="J49" s="1420"/>
      <c r="K49" s="2625"/>
      <c r="L49" s="1146"/>
      <c r="M49" s="1147"/>
      <c r="N49" s="1147"/>
      <c r="O49" s="1147"/>
      <c r="P49" s="3170" t="str">
        <f>A49</f>
        <v>估价对象XX用房的比较价值（楼面单价，元/平方米）</v>
      </c>
      <c r="Q49" s="3171"/>
      <c r="R49" s="3242">
        <f>IF(F1="售价",ROUND(AVERAGE(R48:V48),0),ROUND(AVERAGE(R48:V48),1))</f>
        <v>12048</v>
      </c>
      <c r="S49" s="3242"/>
      <c r="T49" s="3242"/>
      <c r="U49" s="3242"/>
      <c r="V49" s="3242"/>
      <c r="W49" s="32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f>IF(E47&lt;E48,E48/E47-1,E47/E48-1)</f>
        <v>4.9180327868852514E-2</v>
      </c>
      <c r="F52" s="500" t="str">
        <f>IF(OR(E52&gt;=0.3,E52&lt;=-0.3),"超过30%","")</f>
        <v/>
      </c>
      <c r="G52" s="499">
        <f>IF(G47&lt;G48,G48/G47-1,G47/G48-1)</f>
        <v>1.1769230769230754E-2</v>
      </c>
      <c r="H52" s="500" t="str">
        <f>IF(OR(G52&gt;=0.3,G52&lt;=-0.3),"超过30%","")</f>
        <v/>
      </c>
      <c r="I52" s="499">
        <f>IF(I47&lt;I48,I48/I47-1,I47/I48-1)</f>
        <v>1.9273535952557541E-2</v>
      </c>
      <c r="J52" s="500" t="str">
        <f>IF(OR(I52&gt;=0.3,I52&lt;=-0.3),"超过30%","")</f>
        <v/>
      </c>
      <c r="K52" s="1108"/>
      <c r="L52" s="1109"/>
      <c r="M52" s="1147"/>
      <c r="N52" s="1147"/>
      <c r="O52" s="1147"/>
    </row>
    <row r="53" spans="1:29" ht="13.5" customHeight="1">
      <c r="A53" s="1147"/>
      <c r="B53" s="1147"/>
      <c r="C53" s="497" t="s">
        <v>2580</v>
      </c>
      <c r="D53" s="501"/>
      <c r="E53" s="499">
        <f>IF(E48&lt;G48,G48/E48-1,E48/G48-1)</f>
        <v>7.8114754098360661E-2</v>
      </c>
      <c r="F53" s="500" t="str">
        <f>IF(OR(E53&gt;=0.2,E53&lt;=-0.2),"超过20%","")</f>
        <v/>
      </c>
      <c r="G53" s="499">
        <f>IF(G48&lt;I48,I48/G48-1,G48/I48-1)</f>
        <v>0.21877316530763524</v>
      </c>
      <c r="H53" s="500" t="str">
        <f>IF(OR(G53&gt;=0.2,G53&lt;=-0.2),"超过20%","")</f>
        <v>超过20%</v>
      </c>
      <c r="I53" s="499">
        <f>IF(I48&lt;E48,E48/I48-1,I48/E48-1)</f>
        <v>0.13046701260192739</v>
      </c>
      <c r="J53" s="500" t="str">
        <f>IF(OR(I53&gt;=0.2,I53&lt;=-0.2),"超过20%","")</f>
        <v/>
      </c>
      <c r="K53" s="1108"/>
      <c r="L53" s="1109"/>
      <c r="M53" s="1147"/>
      <c r="N53" s="1147"/>
      <c r="O53" s="1147"/>
    </row>
    <row r="54" spans="1:29" s="502" customFormat="1" ht="13.5" customHeight="1">
      <c r="A54" s="1148"/>
      <c r="B54" s="1148"/>
      <c r="C54" s="497" t="s">
        <v>2581</v>
      </c>
      <c r="D54" s="501"/>
      <c r="E54" s="499">
        <f>IF(E47&lt;G47,G47/E47-1,E47/G47-1)</f>
        <v>1.5625E-2</v>
      </c>
      <c r="F54" s="500" t="str">
        <f>IF(OR(E54&gt;=0.3,E54&lt;=-0.3),"超过30%","")</f>
        <v/>
      </c>
      <c r="G54" s="499">
        <f>IF(G47&lt;I47,I47/G47-1,G47/I47-1)</f>
        <v>0.18181818181818188</v>
      </c>
      <c r="H54" s="500" t="str">
        <f>IF(OR(G54&gt;=0.3,G54&lt;=-0.3),"超过30%","")</f>
        <v/>
      </c>
      <c r="I54" s="499">
        <f>IF(I47&lt;E47,E47/I47-1,I47/E47-1)</f>
        <v>0.16363636363636358</v>
      </c>
      <c r="J54" s="500" t="str">
        <f>IF(OR(I54&gt;=0.3,I54&lt;=-0.3),"超过30%","")</f>
        <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8"/>
      <c r="Q57" s="504"/>
    </row>
    <row r="58" spans="1:29" s="508" customFormat="1" ht="15">
      <c r="A58" s="505" t="s">
        <v>2583</v>
      </c>
      <c r="B58" s="506"/>
      <c r="C58" s="1578" t="str">
        <f>YEAR(C7)&amp;"-"&amp;MONTH(C7)</f>
        <v>2018-6</v>
      </c>
      <c r="D58" s="1577">
        <f>EDATE(C58,-1)</f>
        <v>43221</v>
      </c>
      <c r="E58" s="1577">
        <f>EDATE(D58,-1)</f>
        <v>43191</v>
      </c>
      <c r="F58" s="1577">
        <f t="shared" ref="F58:O58" si="19">EDATE(E58,-1)</f>
        <v>43160</v>
      </c>
      <c r="G58" s="1577">
        <f t="shared" si="19"/>
        <v>43132</v>
      </c>
      <c r="H58" s="1577">
        <f t="shared" si="19"/>
        <v>43101</v>
      </c>
      <c r="I58" s="1577">
        <f t="shared" si="19"/>
        <v>43070</v>
      </c>
      <c r="J58" s="1577">
        <f t="shared" si="19"/>
        <v>43040</v>
      </c>
      <c r="K58" s="1577">
        <f t="shared" si="19"/>
        <v>43009</v>
      </c>
      <c r="L58" s="1577">
        <f t="shared" si="19"/>
        <v>42979</v>
      </c>
      <c r="M58" s="1577">
        <f t="shared" si="19"/>
        <v>42948</v>
      </c>
      <c r="N58" s="1577">
        <f t="shared" si="19"/>
        <v>42917</v>
      </c>
      <c r="O58" s="1577">
        <f t="shared" si="19"/>
        <v>42887</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t="str">
        <f>C9</f>
        <v>住宅</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v>100</v>
      </c>
      <c r="D66" s="544">
        <f t="shared" ref="D66:I66" si="20">C66-$K10</f>
        <v>97</v>
      </c>
      <c r="E66" s="544">
        <f t="shared" si="20"/>
        <v>94</v>
      </c>
      <c r="F66" s="544">
        <f t="shared" si="20"/>
        <v>91</v>
      </c>
      <c r="G66" s="544">
        <f t="shared" si="20"/>
        <v>88</v>
      </c>
      <c r="H66" s="544">
        <f t="shared" si="20"/>
        <v>85</v>
      </c>
      <c r="I66" s="544">
        <f t="shared" si="20"/>
        <v>82</v>
      </c>
      <c r="J66" s="544"/>
      <c r="K66" s="544"/>
      <c r="L66" s="544"/>
      <c r="M66" s="545"/>
      <c r="N66" s="1156"/>
      <c r="O66" s="1156"/>
      <c r="P66" s="2632"/>
      <c r="Q66" s="504"/>
    </row>
    <row r="67" spans="1:17" ht="15.75" thickTop="1">
      <c r="A67" s="534"/>
      <c r="B67" s="546" t="s">
        <v>2557</v>
      </c>
      <c r="C67" s="547" t="str">
        <f>C68&amp;"（含）"&amp;"-"&amp;D68</f>
        <v>0（含）-2</v>
      </c>
      <c r="D67" s="547" t="str">
        <f t="shared" ref="D67:L67" si="21">D68&amp;"（含）"&amp;"-"&amp;E68</f>
        <v>2（含）-4</v>
      </c>
      <c r="E67" s="547" t="str">
        <f t="shared" si="21"/>
        <v>4（含）-6</v>
      </c>
      <c r="F67" s="547" t="str">
        <f t="shared" si="21"/>
        <v>6（含）-8</v>
      </c>
      <c r="G67" s="547" t="str">
        <f t="shared" si="21"/>
        <v>8（含）-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v>0</v>
      </c>
      <c r="D68" s="549">
        <v>2</v>
      </c>
      <c r="E68" s="549">
        <v>4</v>
      </c>
      <c r="F68" s="549">
        <v>6</v>
      </c>
      <c r="G68" s="549">
        <v>8</v>
      </c>
      <c r="H68" s="549"/>
      <c r="I68" s="549"/>
      <c r="J68" s="549"/>
      <c r="K68" s="550"/>
      <c r="L68" s="551"/>
      <c r="M68" s="552"/>
      <c r="N68" s="1155"/>
      <c r="O68" s="1155"/>
      <c r="P68" s="2632"/>
      <c r="Q68" s="504"/>
    </row>
    <row r="69" spans="1:17" ht="15.75" thickBot="1">
      <c r="A69" s="534"/>
      <c r="B69" s="535"/>
      <c r="C69" s="544">
        <v>100</v>
      </c>
      <c r="D69" s="544">
        <f t="shared" ref="D69:M69" si="22">C69-$K11</f>
        <v>97</v>
      </c>
      <c r="E69" s="544">
        <f t="shared" si="22"/>
        <v>94</v>
      </c>
      <c r="F69" s="544">
        <f t="shared" si="22"/>
        <v>91</v>
      </c>
      <c r="G69" s="544">
        <f t="shared" si="22"/>
        <v>88</v>
      </c>
      <c r="H69" s="544">
        <f t="shared" si="22"/>
        <v>85</v>
      </c>
      <c r="I69" s="544">
        <f t="shared" si="22"/>
        <v>82</v>
      </c>
      <c r="J69" s="544">
        <f t="shared" si="22"/>
        <v>79</v>
      </c>
      <c r="K69" s="544">
        <f t="shared" si="22"/>
        <v>76</v>
      </c>
      <c r="L69" s="544">
        <f t="shared" si="22"/>
        <v>73</v>
      </c>
      <c r="M69" s="545">
        <f t="shared" si="22"/>
        <v>70</v>
      </c>
      <c r="N69" s="1156"/>
      <c r="O69" s="1156"/>
      <c r="P69" s="2632"/>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3"/>
      <c r="Q70" s="559"/>
    </row>
    <row r="71" spans="1:17" s="471" customFormat="1" ht="15.75" hidden="1" thickBot="1">
      <c r="A71" s="553"/>
      <c r="B71" s="543"/>
      <c r="C71" s="560"/>
      <c r="D71" s="536"/>
      <c r="E71" s="536"/>
      <c r="F71" s="536"/>
      <c r="G71" s="536"/>
      <c r="H71" s="536"/>
      <c r="I71" s="536"/>
      <c r="J71" s="536"/>
      <c r="K71" s="536"/>
      <c r="L71" s="536"/>
      <c r="M71" s="537"/>
      <c r="N71" s="1156"/>
      <c r="O71" s="1156"/>
      <c r="P71" s="2633"/>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4"/>
      <c r="Q72" s="561"/>
    </row>
    <row r="73" spans="1:17" s="471" customFormat="1" ht="15.75" hidden="1" thickBot="1">
      <c r="A73" s="553"/>
      <c r="B73" s="543"/>
      <c r="C73" s="560"/>
      <c r="D73" s="560"/>
      <c r="E73" s="560"/>
      <c r="F73" s="560"/>
      <c r="G73" s="560"/>
      <c r="H73" s="562"/>
      <c r="I73" s="562"/>
      <c r="J73" s="562"/>
      <c r="K73" s="562"/>
      <c r="L73" s="562"/>
      <c r="M73" s="563"/>
      <c r="N73" s="1157"/>
      <c r="O73" s="1157"/>
      <c r="P73" s="2633"/>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5"/>
      <c r="Q74" s="559"/>
    </row>
    <row r="75" spans="1:17" s="471" customFormat="1" ht="15.75" hidden="1" thickBot="1">
      <c r="A75" s="568"/>
      <c r="B75" s="569"/>
      <c r="C75" s="570"/>
      <c r="D75" s="570"/>
      <c r="E75" s="570"/>
      <c r="F75" s="570"/>
      <c r="G75" s="570"/>
      <c r="H75" s="571"/>
      <c r="I75" s="571"/>
      <c r="J75" s="571"/>
      <c r="K75" s="571"/>
      <c r="L75" s="571"/>
      <c r="M75" s="572"/>
      <c r="N75" s="1157"/>
      <c r="O75" s="1157"/>
      <c r="P75" s="2633"/>
      <c r="Q75" s="559"/>
    </row>
    <row r="76" spans="1:17" ht="15" thickTop="1">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6"/>
      <c r="O81" s="1156"/>
      <c r="P81" s="2632"/>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6"/>
      <c r="O85" s="1156"/>
      <c r="P85" s="2632"/>
      <c r="Q85" s="504"/>
    </row>
    <row r="86" spans="1:17" s="117" customFormat="1" ht="15.75" hidden="1" thickTop="1">
      <c r="A86" s="579"/>
      <c r="B86" s="538" t="s">
        <v>2609</v>
      </c>
      <c r="C86" s="554"/>
      <c r="D86" s="554"/>
      <c r="E86" s="554"/>
      <c r="F86" s="554"/>
      <c r="G86" s="554"/>
      <c r="H86" s="554"/>
      <c r="I86" s="554"/>
      <c r="J86" s="554"/>
      <c r="K86" s="554"/>
      <c r="L86" s="580"/>
      <c r="M86" s="581"/>
      <c r="N86" s="1154"/>
      <c r="O86" s="1154"/>
      <c r="P86" s="2632"/>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hidden="1" thickTop="1">
      <c r="A88" s="579"/>
      <c r="B88" s="538" t="s">
        <v>2610</v>
      </c>
      <c r="C88" s="554"/>
      <c r="D88" s="554"/>
      <c r="E88" s="554"/>
      <c r="F88" s="2637"/>
      <c r="G88" s="554"/>
      <c r="H88" s="554"/>
      <c r="I88" s="554"/>
      <c r="J88" s="554"/>
      <c r="K88" s="554"/>
      <c r="L88" s="554"/>
      <c r="M88" s="581"/>
      <c r="N88" s="1154"/>
      <c r="O88" s="1154"/>
      <c r="P88" s="2632"/>
      <c r="Q88" s="504"/>
    </row>
    <row r="89" spans="1:17" s="117" customFormat="1" ht="15.75" hidden="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hidden="1" thickTop="1">
      <c r="A90" s="553"/>
      <c r="B90" s="538">
        <f>B27</f>
        <v>111</v>
      </c>
      <c r="C90" s="554"/>
      <c r="D90" s="554"/>
      <c r="E90" s="554"/>
      <c r="F90" s="554"/>
      <c r="G90" s="554"/>
      <c r="H90" s="555"/>
      <c r="I90" s="555"/>
      <c r="J90" s="555"/>
      <c r="K90" s="555"/>
      <c r="L90" s="556"/>
      <c r="M90" s="557"/>
      <c r="N90" s="1157"/>
      <c r="O90" s="1157"/>
      <c r="P90" s="2633"/>
      <c r="Q90" s="559"/>
    </row>
    <row r="91" spans="1:17" s="471" customFormat="1" ht="15.75" hidden="1" thickBot="1">
      <c r="A91" s="553"/>
      <c r="B91" s="543"/>
      <c r="C91" s="560"/>
      <c r="D91" s="560"/>
      <c r="E91" s="560"/>
      <c r="F91" s="560"/>
      <c r="G91" s="560"/>
      <c r="H91" s="562"/>
      <c r="I91" s="562"/>
      <c r="J91" s="562"/>
      <c r="K91" s="562"/>
      <c r="L91" s="562"/>
      <c r="M91" s="563"/>
      <c r="N91" s="1157"/>
      <c r="O91" s="1157"/>
      <c r="P91" s="2633"/>
      <c r="Q91" s="559"/>
    </row>
    <row r="92" spans="1:17" ht="15.75" hidden="1" thickTop="1">
      <c r="A92" s="534"/>
      <c r="B92" s="538">
        <f>B28</f>
        <v>111</v>
      </c>
      <c r="C92" s="554"/>
      <c r="D92" s="554"/>
      <c r="E92" s="554"/>
      <c r="F92" s="554"/>
      <c r="G92" s="583"/>
      <c r="H92" s="583"/>
      <c r="I92" s="583"/>
      <c r="J92" s="583"/>
      <c r="K92" s="584"/>
      <c r="L92" s="585"/>
      <c r="M92" s="586"/>
      <c r="N92" s="1155"/>
      <c r="O92" s="1155"/>
      <c r="P92" s="2632"/>
      <c r="Q92" s="504"/>
    </row>
    <row r="93" spans="1:17" ht="15.75" hidden="1" thickBot="1">
      <c r="A93" s="534"/>
      <c r="B93" s="543"/>
      <c r="C93" s="560"/>
      <c r="D93" s="536"/>
      <c r="E93" s="536"/>
      <c r="F93" s="536"/>
      <c r="G93" s="536"/>
      <c r="H93" s="536"/>
      <c r="I93" s="536"/>
      <c r="J93" s="536"/>
      <c r="K93" s="536"/>
      <c r="L93" s="536"/>
      <c r="M93" s="537"/>
      <c r="N93" s="1156"/>
      <c r="O93" s="1156"/>
      <c r="P93" s="2632"/>
      <c r="Q93" s="504"/>
    </row>
    <row r="94" spans="1:17" ht="15.75" hidden="1" thickTop="1">
      <c r="A94" s="534"/>
      <c r="B94" s="538">
        <f>B29</f>
        <v>111</v>
      </c>
      <c r="C94" s="554"/>
      <c r="D94" s="554"/>
      <c r="E94" s="554"/>
      <c r="F94" s="554"/>
      <c r="G94" s="583"/>
      <c r="H94" s="583"/>
      <c r="I94" s="583"/>
      <c r="J94" s="583"/>
      <c r="K94" s="584"/>
      <c r="L94" s="585"/>
      <c r="M94" s="586"/>
      <c r="N94" s="1155"/>
      <c r="O94" s="1155"/>
      <c r="P94" s="2632"/>
      <c r="Q94" s="504"/>
    </row>
    <row r="95" spans="1:17" ht="15.75" hidden="1" thickBot="1">
      <c r="A95" s="534"/>
      <c r="B95" s="543"/>
      <c r="C95" s="560"/>
      <c r="D95" s="560"/>
      <c r="E95" s="560"/>
      <c r="F95" s="560"/>
      <c r="G95" s="536"/>
      <c r="H95" s="536"/>
      <c r="I95" s="536"/>
      <c r="J95" s="536"/>
      <c r="K95" s="536"/>
      <c r="L95" s="536"/>
      <c r="M95" s="537"/>
      <c r="N95" s="1156"/>
      <c r="O95" s="1156"/>
      <c r="P95" s="2632"/>
      <c r="Q95" s="504"/>
    </row>
    <row r="96" spans="1:17" ht="15.75" hidden="1" thickTop="1">
      <c r="A96" s="534"/>
      <c r="B96" s="538">
        <f>B30</f>
        <v>111</v>
      </c>
      <c r="C96" s="554"/>
      <c r="D96" s="554"/>
      <c r="E96" s="554"/>
      <c r="F96" s="554"/>
      <c r="G96" s="583"/>
      <c r="H96" s="583"/>
      <c r="I96" s="583"/>
      <c r="J96" s="583"/>
      <c r="K96" s="584"/>
      <c r="L96" s="585"/>
      <c r="M96" s="586"/>
      <c r="N96" s="1155"/>
      <c r="O96" s="1155"/>
      <c r="P96" s="2632"/>
      <c r="Q96" s="504"/>
    </row>
    <row r="97" spans="1:17" ht="15.75" hidden="1" thickBot="1">
      <c r="A97" s="534"/>
      <c r="B97" s="543"/>
      <c r="C97" s="570"/>
      <c r="D97" s="570"/>
      <c r="E97" s="570"/>
      <c r="F97" s="570"/>
      <c r="G97" s="536"/>
      <c r="H97" s="536"/>
      <c r="I97" s="536"/>
      <c r="J97" s="536"/>
      <c r="K97" s="536"/>
      <c r="L97" s="536"/>
      <c r="M97" s="537"/>
      <c r="N97" s="1156"/>
      <c r="O97" s="1156"/>
      <c r="P97" s="2632"/>
      <c r="Q97" s="504"/>
    </row>
    <row r="98" spans="1:17" ht="15.75" hidden="1" thickTop="1">
      <c r="A98" s="534"/>
      <c r="B98" s="546">
        <f>B31</f>
        <v>111</v>
      </c>
      <c r="C98" s="587"/>
      <c r="D98" s="587"/>
      <c r="E98" s="587"/>
      <c r="F98" s="587"/>
      <c r="G98" s="587"/>
      <c r="H98" s="587"/>
      <c r="I98" s="587"/>
      <c r="J98" s="587"/>
      <c r="K98" s="588"/>
      <c r="L98" s="589"/>
      <c r="M98" s="590"/>
      <c r="N98" s="1155"/>
      <c r="O98" s="1155"/>
      <c r="P98" s="2632"/>
      <c r="Q98" s="504"/>
    </row>
    <row r="99" spans="1:17" ht="15.75" hidden="1" thickBot="1">
      <c r="A99" s="2638"/>
      <c r="B99" s="569"/>
      <c r="C99" s="591"/>
      <c r="D99" s="591"/>
      <c r="E99" s="591"/>
      <c r="F99" s="591"/>
      <c r="G99" s="591"/>
      <c r="H99" s="591"/>
      <c r="I99" s="591"/>
      <c r="J99" s="591"/>
      <c r="K99" s="591"/>
      <c r="L99" s="591"/>
      <c r="M99" s="592"/>
      <c r="N99" s="1156"/>
      <c r="O99" s="1156"/>
      <c r="P99" s="2632"/>
      <c r="Q99" s="504"/>
    </row>
    <row r="100" spans="1:17" ht="15" thickTop="1">
      <c r="A100" s="527" t="s">
        <v>2562</v>
      </c>
      <c r="B100" s="528" t="s">
        <v>2611</v>
      </c>
      <c r="C100" s="2948" t="s">
        <v>3098</v>
      </c>
      <c r="D100" s="2948" t="s">
        <v>3099</v>
      </c>
      <c r="E100" s="2948" t="s">
        <v>3100</v>
      </c>
      <c r="F100" s="2948" t="s">
        <v>3101</v>
      </c>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29.25" thickTop="1">
      <c r="A102" s="534"/>
      <c r="B102" s="538" t="s">
        <v>2612</v>
      </c>
      <c r="C102" s="578" t="str">
        <f>C103&amp;"(含)"&amp;"-"&amp;D103</f>
        <v>0(含)-100000</v>
      </c>
      <c r="D102" s="578" t="str">
        <f t="shared" ref="D102:L102" si="27">D103&amp;"(含)"&amp;"-"&amp;E103</f>
        <v>100000(含)-200000</v>
      </c>
      <c r="E102" s="578" t="str">
        <f t="shared" si="27"/>
        <v>200000(含)-500000</v>
      </c>
      <c r="F102" s="578" t="str">
        <f t="shared" si="27"/>
        <v>500000(含)-800000</v>
      </c>
      <c r="G102" s="578" t="str">
        <f t="shared" si="27"/>
        <v>800000(含)-1000000</v>
      </c>
      <c r="H102" s="578" t="str">
        <f t="shared" si="27"/>
        <v>1000000(含)-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v>0</v>
      </c>
      <c r="D103" s="595">
        <v>100000</v>
      </c>
      <c r="E103" s="595">
        <v>200000</v>
      </c>
      <c r="F103" s="595">
        <v>500000</v>
      </c>
      <c r="G103" s="595">
        <v>800000</v>
      </c>
      <c r="H103" s="595">
        <v>1000000</v>
      </c>
      <c r="I103" s="595"/>
      <c r="J103" s="596"/>
      <c r="K103" s="596"/>
      <c r="L103" s="597"/>
      <c r="M103" s="598"/>
      <c r="N103" s="1157"/>
      <c r="O103" s="1157"/>
      <c r="P103" s="2633"/>
      <c r="Q103" s="559"/>
    </row>
    <row r="104" spans="1:17" s="471" customFormat="1" ht="15.75" thickBot="1">
      <c r="A104" s="553"/>
      <c r="B104" s="543"/>
      <c r="C104" s="560">
        <v>100</v>
      </c>
      <c r="D104" s="536">
        <v>101</v>
      </c>
      <c r="E104" s="536">
        <v>102</v>
      </c>
      <c r="F104" s="536">
        <v>103</v>
      </c>
      <c r="G104" s="536">
        <v>104</v>
      </c>
      <c r="H104" s="536">
        <v>105</v>
      </c>
      <c r="I104" s="536"/>
      <c r="J104" s="536"/>
      <c r="K104" s="536"/>
      <c r="L104" s="536"/>
      <c r="M104" s="536"/>
      <c r="N104" s="1156"/>
      <c r="O104" s="1156"/>
      <c r="P104" s="2633"/>
      <c r="Q104" s="559"/>
    </row>
    <row r="105" spans="1:17" ht="15" thickTop="1">
      <c r="A105" s="599"/>
      <c r="B105" s="538" t="s">
        <v>2613</v>
      </c>
      <c r="C105" s="2949" t="s">
        <v>3103</v>
      </c>
      <c r="D105" s="2949" t="s">
        <v>3104</v>
      </c>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2614</v>
      </c>
      <c r="C107" s="2950" t="s">
        <v>3105</v>
      </c>
      <c r="D107" s="2950" t="s">
        <v>3107</v>
      </c>
      <c r="E107" s="2950" t="s">
        <v>3108</v>
      </c>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2615</v>
      </c>
      <c r="C109" s="2949" t="s">
        <v>3110</v>
      </c>
      <c r="D109" s="2949" t="s">
        <v>3111</v>
      </c>
      <c r="E109" s="2949" t="s">
        <v>3112</v>
      </c>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hidden="1"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hidden="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hidden="1"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2616</v>
      </c>
      <c r="C114" s="2949" t="s">
        <v>3114</v>
      </c>
      <c r="D114" s="2949" t="s">
        <v>3115</v>
      </c>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2617</v>
      </c>
      <c r="C116" s="2949" t="s">
        <v>3116</v>
      </c>
      <c r="D116" s="2949" t="s">
        <v>3117</v>
      </c>
      <c r="E116" s="2949" t="s">
        <v>3118</v>
      </c>
      <c r="F116" s="2949" t="s">
        <v>3119</v>
      </c>
      <c r="G116" s="2949" t="s">
        <v>3120</v>
      </c>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hidden="1" thickTop="1">
      <c r="A118" s="599"/>
      <c r="B118" s="538" t="s">
        <v>2618</v>
      </c>
      <c r="C118" s="583"/>
      <c r="D118" s="583"/>
      <c r="E118" s="583"/>
      <c r="F118" s="583"/>
      <c r="G118" s="583"/>
      <c r="H118" s="583"/>
      <c r="I118" s="583"/>
      <c r="J118" s="583"/>
      <c r="K118" s="584"/>
      <c r="L118" s="585"/>
      <c r="M118" s="586"/>
      <c r="N118" s="1155"/>
      <c r="O118" s="1155"/>
      <c r="P118" s="2632"/>
      <c r="Q118" s="504"/>
    </row>
    <row r="119" spans="1:17" ht="15.75" hidden="1"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2573</v>
      </c>
      <c r="C120" s="554" t="s">
        <v>3121</v>
      </c>
      <c r="D120" s="554" t="s">
        <v>3122</v>
      </c>
      <c r="E120" s="554" t="s">
        <v>3123</v>
      </c>
      <c r="F120" s="554" t="s">
        <v>3124</v>
      </c>
      <c r="G120" s="554"/>
      <c r="H120" s="554"/>
      <c r="I120" s="554"/>
      <c r="J120" s="554"/>
      <c r="K120" s="554"/>
      <c r="L120" s="580"/>
      <c r="M120" s="581"/>
      <c r="N120" s="1157"/>
      <c r="O120" s="1157"/>
      <c r="P120" s="2633"/>
      <c r="Q120" s="559"/>
    </row>
    <row r="121" spans="1:17" s="471" customFormat="1" ht="15.75" thickBot="1">
      <c r="A121" s="553"/>
      <c r="B121" s="535"/>
      <c r="C121" s="560">
        <v>100</v>
      </c>
      <c r="D121" s="536">
        <v>98</v>
      </c>
      <c r="E121" s="536">
        <v>96</v>
      </c>
      <c r="F121" s="536">
        <v>94</v>
      </c>
      <c r="G121" s="536"/>
      <c r="H121" s="536"/>
      <c r="I121" s="536"/>
      <c r="J121" s="536"/>
      <c r="K121" s="536"/>
      <c r="L121" s="536"/>
      <c r="M121" s="536"/>
      <c r="N121" s="1157"/>
      <c r="O121" s="1157"/>
      <c r="P121" s="2633"/>
      <c r="Q121" s="559"/>
    </row>
    <row r="122" spans="1:17" ht="15" thickTop="1">
      <c r="A122" s="599"/>
      <c r="B122" s="538" t="s">
        <v>2619</v>
      </c>
      <c r="C122" s="2949" t="s">
        <v>3110</v>
      </c>
      <c r="D122" s="2949" t="s">
        <v>3125</v>
      </c>
      <c r="E122" s="2949" t="s">
        <v>3126</v>
      </c>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hidden="1"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hidden="1"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hidden="1"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hidden="1" thickBot="1">
      <c r="A127" s="553"/>
      <c r="B127" s="543"/>
      <c r="C127" s="560"/>
      <c r="D127" s="536"/>
      <c r="E127" s="536"/>
      <c r="F127" s="536"/>
      <c r="G127" s="560"/>
      <c r="H127" s="562"/>
      <c r="I127" s="562"/>
      <c r="J127" s="562"/>
      <c r="K127" s="562"/>
      <c r="L127" s="562"/>
      <c r="M127" s="563"/>
      <c r="N127" s="1157"/>
      <c r="O127" s="1157"/>
      <c r="P127" s="2633"/>
      <c r="Q127" s="559"/>
    </row>
    <row r="128" spans="1:17" ht="15" hidden="1" thickTop="1">
      <c r="A128" s="599"/>
      <c r="B128" s="538">
        <f>B45</f>
        <v>111</v>
      </c>
      <c r="C128" s="554"/>
      <c r="D128" s="554"/>
      <c r="E128" s="554"/>
      <c r="F128" s="554"/>
      <c r="G128" s="583"/>
      <c r="H128" s="583"/>
      <c r="I128" s="583"/>
      <c r="J128" s="583"/>
      <c r="K128" s="584"/>
      <c r="L128" s="585"/>
      <c r="M128" s="586"/>
      <c r="N128" s="1155"/>
      <c r="O128" s="1155"/>
      <c r="P128" s="2632"/>
      <c r="Q128" s="504"/>
    </row>
    <row r="129" spans="1:17" ht="15.75" hidden="1" thickBot="1">
      <c r="A129" s="534"/>
      <c r="B129" s="543"/>
      <c r="C129" s="560"/>
      <c r="D129" s="560"/>
      <c r="E129" s="560"/>
      <c r="F129" s="560"/>
      <c r="G129" s="536"/>
      <c r="H129" s="536"/>
      <c r="I129" s="536"/>
      <c r="J129" s="536"/>
      <c r="K129" s="536"/>
      <c r="L129" s="536"/>
      <c r="M129" s="537"/>
      <c r="N129" s="1156"/>
      <c r="O129" s="1156"/>
      <c r="P129" s="2632"/>
      <c r="Q129" s="504"/>
    </row>
    <row r="130" spans="1:17" ht="15" hidden="1" thickTop="1">
      <c r="A130" s="599"/>
      <c r="B130" s="546">
        <f>B46</f>
        <v>111</v>
      </c>
      <c r="C130" s="554"/>
      <c r="D130" s="554"/>
      <c r="E130" s="554"/>
      <c r="F130" s="554"/>
      <c r="G130" s="587"/>
      <c r="H130" s="587"/>
      <c r="I130" s="587"/>
      <c r="J130" s="587"/>
      <c r="K130" s="523"/>
      <c r="L130" s="524"/>
      <c r="M130" s="590"/>
      <c r="N130" s="1155"/>
      <c r="O130" s="1155"/>
      <c r="P130" s="2632"/>
      <c r="Q130" s="504"/>
    </row>
    <row r="131" spans="1:17" ht="15.75" hidden="1" thickBot="1">
      <c r="A131" s="2638"/>
      <c r="B131" s="569"/>
      <c r="C131" s="570"/>
      <c r="D131" s="570"/>
      <c r="E131" s="570"/>
      <c r="F131" s="570"/>
      <c r="G131" s="591"/>
      <c r="H131" s="591"/>
      <c r="I131" s="591"/>
      <c r="J131" s="591"/>
      <c r="K131" s="591"/>
      <c r="L131" s="591"/>
      <c r="M131" s="592"/>
      <c r="N131" s="1156"/>
      <c r="O131" s="1156"/>
      <c r="P131" s="2632"/>
      <c r="Q131" s="504"/>
    </row>
    <row r="132" spans="1:17" ht="15" thickTop="1"/>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7">
        <v>6</v>
      </c>
      <c r="C139" s="1088">
        <v>96</v>
      </c>
      <c r="D139" s="2650" t="s">
        <v>2630</v>
      </c>
      <c r="E139" s="1089">
        <v>100</v>
      </c>
      <c r="F139" s="1090">
        <v>102.5</v>
      </c>
      <c r="G139" s="2650" t="s">
        <v>2630</v>
      </c>
      <c r="H139" s="1091">
        <v>105</v>
      </c>
      <c r="I139" s="2651" t="s">
        <v>2631</v>
      </c>
      <c r="J139" s="1088">
        <v>20</v>
      </c>
      <c r="K139" s="1092">
        <f>C145/(J139-2)</f>
        <v>4.0555555555555553E-3</v>
      </c>
    </row>
    <row r="140" spans="1:17" ht="15">
      <c r="B140" s="1093">
        <v>5</v>
      </c>
      <c r="C140" s="1094">
        <v>100</v>
      </c>
      <c r="D140" s="1094"/>
      <c r="E140" s="1095"/>
      <c r="F140" s="1096">
        <v>102</v>
      </c>
      <c r="G140" s="1094"/>
      <c r="H140" s="1097"/>
      <c r="I140" s="2652" t="s">
        <v>2632</v>
      </c>
      <c r="J140" s="315">
        <f>ROUNDUP((J139-1)/2,0)</f>
        <v>10</v>
      </c>
      <c r="K140" s="1098">
        <v>100</v>
      </c>
    </row>
    <row r="141" spans="1:17" ht="15">
      <c r="B141" s="1093">
        <v>4</v>
      </c>
      <c r="C141" s="1094">
        <v>102</v>
      </c>
      <c r="D141" s="1094"/>
      <c r="E141" s="1095"/>
      <c r="F141" s="1096">
        <v>101.5</v>
      </c>
      <c r="G141" s="1094"/>
      <c r="H141" s="1097"/>
      <c r="I141" s="2652" t="s">
        <v>2633</v>
      </c>
      <c r="J141" s="315">
        <v>1</v>
      </c>
      <c r="K141" s="1099">
        <f>ROUND(100+(J141-J140)*K139*100,1)</f>
        <v>96.4</v>
      </c>
    </row>
    <row r="142" spans="1:17" ht="15">
      <c r="B142" s="1093">
        <v>3</v>
      </c>
      <c r="C142" s="1094">
        <v>103</v>
      </c>
      <c r="D142" s="1094"/>
      <c r="E142" s="1095"/>
      <c r="F142" s="1096">
        <v>101</v>
      </c>
      <c r="G142" s="1094"/>
      <c r="H142" s="1097"/>
      <c r="I142" s="2652" t="s">
        <v>2634</v>
      </c>
      <c r="J142" s="315">
        <f>J139</f>
        <v>20</v>
      </c>
      <c r="K142" s="1100">
        <v>95</v>
      </c>
    </row>
    <row r="143" spans="1:17" ht="15">
      <c r="B143" s="1093">
        <v>2</v>
      </c>
      <c r="C143" s="1094">
        <v>100</v>
      </c>
      <c r="D143" s="1094"/>
      <c r="E143" s="1095"/>
      <c r="F143" s="1096">
        <v>100.5</v>
      </c>
      <c r="G143" s="1094"/>
      <c r="H143" s="1097"/>
      <c r="I143" s="2652" t="s">
        <v>2635</v>
      </c>
      <c r="J143" s="1094">
        <v>15</v>
      </c>
      <c r="K143" s="1099">
        <f>ROUND(100+(J143-J140)*K139*100,1)</f>
        <v>102</v>
      </c>
    </row>
    <row r="144" spans="1:17" ht="15">
      <c r="B144" s="1093">
        <v>1</v>
      </c>
      <c r="C144" s="1094">
        <v>98</v>
      </c>
      <c r="D144" s="2653" t="s">
        <v>2636</v>
      </c>
      <c r="E144" s="1095">
        <v>102</v>
      </c>
      <c r="F144" s="1101">
        <v>100</v>
      </c>
      <c r="G144" s="2653" t="s">
        <v>2636</v>
      </c>
      <c r="H144" s="1097">
        <v>105</v>
      </c>
      <c r="I144" s="2652" t="s">
        <v>2635</v>
      </c>
      <c r="J144" s="1094">
        <v>18</v>
      </c>
      <c r="K144" s="1099">
        <f>ROUND(100+(J144-J140)*K139*100,1)</f>
        <v>103.2</v>
      </c>
    </row>
    <row r="145" spans="2:11" ht="15.75" thickBot="1">
      <c r="B145" s="2654" t="s">
        <v>2637</v>
      </c>
      <c r="C145" s="1102">
        <f>ROUND(MAX(C139:C144)/MIN(C139:C144)-1,3)</f>
        <v>7.2999999999999995E-2</v>
      </c>
      <c r="D145" s="1103"/>
      <c r="E145" s="1103"/>
      <c r="F145" s="2655" t="s">
        <v>2638</v>
      </c>
      <c r="G145" s="2656"/>
      <c r="H145" s="2657"/>
      <c r="I145" s="2658" t="s">
        <v>2635</v>
      </c>
      <c r="J145" s="1104">
        <v>8</v>
      </c>
      <c r="K145" s="1105">
        <f>ROUND(100+(J145-J140)*K139*100,1)</f>
        <v>99.2</v>
      </c>
    </row>
    <row r="147" spans="2:11">
      <c r="B147" s="2639" t="s">
        <v>2639</v>
      </c>
    </row>
    <row r="148" spans="2:11">
      <c r="B148" s="263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32" priority="15" stopIfTrue="1" operator="containsText" text="超过">
      <formula>NOT(ISERROR(SEARCH("超过",F52)))</formula>
    </cfRule>
  </conditionalFormatting>
  <conditionalFormatting sqref="J54">
    <cfRule type="containsText" dxfId="31" priority="14" stopIfTrue="1" operator="containsText" text="超过">
      <formula>NOT(ISERROR(SEARCH("超过",J54)))</formula>
    </cfRule>
  </conditionalFormatting>
  <conditionalFormatting sqref="H54">
    <cfRule type="containsText" dxfId="30" priority="13" stopIfTrue="1" operator="containsText" text="超过">
      <formula>NOT(ISERROR(SEARCH("超过",H54)))</formula>
    </cfRule>
  </conditionalFormatting>
  <conditionalFormatting sqref="F54">
    <cfRule type="containsText" dxfId="29" priority="12" stopIfTrue="1" operator="containsText" text="超过">
      <formula>NOT(ISERROR(SEARCH("超过",F54)))</formula>
    </cfRule>
  </conditionalFormatting>
  <conditionalFormatting sqref="F53 H53 J53">
    <cfRule type="containsText" dxfId="28" priority="11" stopIfTrue="1" operator="containsText" text="超过">
      <formula>NOT(ISERROR(SEARCH("超过",F53)))</formula>
    </cfRule>
  </conditionalFormatting>
  <conditionalFormatting sqref="E52">
    <cfRule type="expression" dxfId="27" priority="10" stopIfTrue="1">
      <formula>$F$52="超过30%"</formula>
    </cfRule>
  </conditionalFormatting>
  <conditionalFormatting sqref="G54">
    <cfRule type="expression" dxfId="26" priority="8" stopIfTrue="1">
      <formula>$H$54="超过30%"</formula>
    </cfRule>
  </conditionalFormatting>
  <conditionalFormatting sqref="E53">
    <cfRule type="expression" dxfId="25" priority="7" stopIfTrue="1">
      <formula>$F$53="超过20%"</formula>
    </cfRule>
  </conditionalFormatting>
  <conditionalFormatting sqref="E54">
    <cfRule type="expression" dxfId="24" priority="6" stopIfTrue="1">
      <formula>$F$54="超过30%"</formula>
    </cfRule>
  </conditionalFormatting>
  <conditionalFormatting sqref="G52">
    <cfRule type="expression" dxfId="23" priority="5" stopIfTrue="1">
      <formula>$H$52="超过30%"</formula>
    </cfRule>
  </conditionalFormatting>
  <conditionalFormatting sqref="G53">
    <cfRule type="expression" dxfId="22" priority="4" stopIfTrue="1">
      <formula>$H$53="超过20%"</formula>
    </cfRule>
  </conditionalFormatting>
  <conditionalFormatting sqref="I52">
    <cfRule type="expression" dxfId="21" priority="3" stopIfTrue="1">
      <formula>$J$52="超过30%"</formula>
    </cfRule>
  </conditionalFormatting>
  <conditionalFormatting sqref="I53">
    <cfRule type="expression" dxfId="20" priority="2" stopIfTrue="1">
      <formula>$J$53="超过20%"</formula>
    </cfRule>
  </conditionalFormatting>
  <conditionalFormatting sqref="I54">
    <cfRule type="expression" dxfId="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73" t="s">
        <v>2645</v>
      </c>
      <c r="D4" s="3186"/>
      <c r="E4" s="3187" t="s">
        <v>2646</v>
      </c>
      <c r="F4" s="3188"/>
      <c r="G4" s="3173" t="s">
        <v>2647</v>
      </c>
      <c r="H4" s="3186"/>
      <c r="I4" s="3173" t="s">
        <v>2648</v>
      </c>
      <c r="J4" s="3186"/>
      <c r="K4" s="610" t="s">
        <v>2649</v>
      </c>
      <c r="L4" s="1133"/>
      <c r="M4" s="1134"/>
      <c r="N4" s="1134"/>
      <c r="O4" s="1134"/>
      <c r="P4" s="3189" t="s">
        <v>2650</v>
      </c>
      <c r="Q4" s="3190"/>
      <c r="R4" s="3195" t="s">
        <v>2646</v>
      </c>
      <c r="S4" s="3196"/>
      <c r="T4" s="3195" t="s">
        <v>2647</v>
      </c>
      <c r="U4" s="3196"/>
      <c r="V4" s="3182" t="s">
        <v>2648</v>
      </c>
      <c r="W4" s="3182"/>
      <c r="X4" s="1815"/>
      <c r="Y4" s="3195" t="s">
        <v>2650</v>
      </c>
      <c r="Z4" s="3196"/>
      <c r="AA4" s="3183" t="s">
        <v>2646</v>
      </c>
      <c r="AB4" s="3184" t="s">
        <v>2647</v>
      </c>
      <c r="AC4" s="3183" t="s">
        <v>2648</v>
      </c>
    </row>
    <row r="5" spans="1:29" ht="15">
      <c r="A5" s="404"/>
      <c r="B5" s="405"/>
      <c r="C5" s="3208" t="s">
        <v>2541</v>
      </c>
      <c r="D5" s="3204"/>
      <c r="E5" s="3250" t="s">
        <v>2542</v>
      </c>
      <c r="F5" s="3213"/>
      <c r="G5" s="3208" t="s">
        <v>2543</v>
      </c>
      <c r="H5" s="3204"/>
      <c r="I5" s="3208" t="s">
        <v>2544</v>
      </c>
      <c r="J5" s="3204"/>
      <c r="K5" s="610"/>
      <c r="L5" s="1133"/>
      <c r="M5" s="1134"/>
      <c r="N5" s="1134"/>
      <c r="O5" s="1134"/>
      <c r="P5" s="3191"/>
      <c r="Q5" s="3192"/>
      <c r="R5" s="3197"/>
      <c r="S5" s="3198"/>
      <c r="T5" s="3197"/>
      <c r="U5" s="3198"/>
      <c r="V5" s="3182"/>
      <c r="W5" s="3182"/>
      <c r="X5" s="1815"/>
      <c r="Y5" s="3197"/>
      <c r="Z5" s="3198"/>
      <c r="AA5" s="3184"/>
      <c r="AB5" s="3184"/>
      <c r="AC5" s="3184"/>
    </row>
    <row r="6" spans="1:29" ht="15.75" thickBot="1">
      <c r="A6" s="406"/>
      <c r="B6" s="407"/>
      <c r="C6" s="3266" t="s">
        <v>2796</v>
      </c>
      <c r="D6" s="3267"/>
      <c r="E6" s="3268" t="s">
        <v>2796</v>
      </c>
      <c r="F6" s="3269"/>
      <c r="G6" s="3266" t="s">
        <v>2796</v>
      </c>
      <c r="H6" s="3267"/>
      <c r="I6" s="3266" t="s">
        <v>2796</v>
      </c>
      <c r="J6" s="3267"/>
      <c r="K6" s="610" t="s">
        <v>2546</v>
      </c>
      <c r="L6" s="1133"/>
      <c r="M6" s="1134"/>
      <c r="N6" s="1134"/>
      <c r="O6" s="1134"/>
      <c r="P6" s="3193"/>
      <c r="Q6" s="3194"/>
      <c r="R6" s="3197"/>
      <c r="S6" s="3198"/>
      <c r="T6" s="3199"/>
      <c r="U6" s="3200"/>
      <c r="V6" s="3182"/>
      <c r="W6" s="3182"/>
      <c r="X6" s="1815"/>
      <c r="Y6" s="3199"/>
      <c r="Z6" s="3200"/>
      <c r="AA6" s="3185"/>
      <c r="AB6" s="3185"/>
      <c r="AC6" s="3185"/>
    </row>
    <row r="7" spans="1:29" s="117" customFormat="1" ht="15.75" thickBot="1">
      <c r="A7" s="408" t="s">
        <v>2547</v>
      </c>
      <c r="B7" s="409"/>
      <c r="C7" s="410">
        <f>'数据-取费表'!B2</f>
        <v>43262</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05" t="s">
        <v>2548</v>
      </c>
      <c r="Q7" s="3207"/>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5" t="s">
        <v>2551</v>
      </c>
      <c r="Q8" s="3206"/>
      <c r="R8" s="770" t="s">
        <v>17</v>
      </c>
      <c r="S8" s="771">
        <f t="shared" si="0"/>
        <v>0</v>
      </c>
      <c r="T8" s="770" t="s">
        <v>17</v>
      </c>
      <c r="U8" s="771">
        <f t="shared" si="1"/>
        <v>0</v>
      </c>
      <c r="V8" s="770" t="s">
        <v>17</v>
      </c>
      <c r="W8" s="771">
        <f t="shared" si="2"/>
        <v>0</v>
      </c>
      <c r="X8" s="772"/>
      <c r="Y8" s="3205" t="s">
        <v>2551</v>
      </c>
      <c r="Z8" s="3206"/>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76" t="s">
        <v>2554</v>
      </c>
      <c r="Q9" s="1797"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176"/>
      <c r="Q10" s="1797" t="str">
        <f t="shared" si="6"/>
        <v>土地使用年限（年）</v>
      </c>
      <c r="R10" s="770" t="s">
        <v>17</v>
      </c>
      <c r="S10" s="771">
        <f t="shared" si="0"/>
        <v>103</v>
      </c>
      <c r="T10" s="770" t="s">
        <v>17</v>
      </c>
      <c r="U10" s="771">
        <f t="shared" si="1"/>
        <v>103</v>
      </c>
      <c r="V10" s="770" t="s">
        <v>17</v>
      </c>
      <c r="W10" s="771">
        <f t="shared" si="2"/>
        <v>103</v>
      </c>
      <c r="X10" s="772"/>
      <c r="Y10" s="3024"/>
      <c r="Z10" s="55" t="str">
        <f t="shared" si="7"/>
        <v>土地使用年限（年）</v>
      </c>
      <c r="AA10" s="773">
        <f t="shared" si="3"/>
        <v>0.970873786407767</v>
      </c>
      <c r="AB10" s="773">
        <f t="shared" si="4"/>
        <v>0.970873786407767</v>
      </c>
      <c r="AC10" s="773">
        <f t="shared" si="5"/>
        <v>0.970873786407767</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6"/>
      <c r="Q11" s="1797"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6"/>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6"/>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6"/>
      <c r="Q14" s="1797">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8" t="s">
        <v>2559</v>
      </c>
      <c r="Q15" s="1812" t="str">
        <f t="shared" si="6"/>
        <v>产业集聚程度</v>
      </c>
      <c r="R15" s="774" t="s">
        <v>17</v>
      </c>
      <c r="S15" s="775">
        <f t="shared" si="0"/>
        <v>100</v>
      </c>
      <c r="T15" s="774" t="s">
        <v>17</v>
      </c>
      <c r="U15" s="775">
        <f t="shared" si="1"/>
        <v>100</v>
      </c>
      <c r="V15" s="774" t="s">
        <v>17</v>
      </c>
      <c r="W15" s="775">
        <f t="shared" si="2"/>
        <v>100</v>
      </c>
      <c r="X15" s="1815"/>
      <c r="Y15" s="3178" t="s">
        <v>2559</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3"/>
      <c r="M16" s="1134"/>
      <c r="N16" s="1134"/>
      <c r="O16" s="1142"/>
      <c r="P16" s="3179"/>
      <c r="Q16" s="1812"/>
      <c r="R16" s="774"/>
      <c r="S16" s="775"/>
      <c r="T16" s="774"/>
      <c r="U16" s="775"/>
      <c r="V16" s="774"/>
      <c r="W16" s="775"/>
      <c r="X16" s="1815"/>
      <c r="Y16" s="3179"/>
      <c r="Z16" s="1816"/>
      <c r="AA16" s="1813">
        <v>1</v>
      </c>
      <c r="AB16" s="1813">
        <v>1</v>
      </c>
      <c r="AC16" s="1813">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9"/>
      <c r="Q17" s="1812" t="str">
        <f>B17</f>
        <v>交通便捷度</v>
      </c>
      <c r="R17" s="774" t="s">
        <v>17</v>
      </c>
      <c r="S17" s="775">
        <f>F17</f>
        <v>100</v>
      </c>
      <c r="T17" s="774" t="s">
        <v>17</v>
      </c>
      <c r="U17" s="775">
        <f>H17</f>
        <v>100</v>
      </c>
      <c r="V17" s="774" t="s">
        <v>17</v>
      </c>
      <c r="W17" s="775">
        <f>J17</f>
        <v>100</v>
      </c>
      <c r="X17" s="1815"/>
      <c r="Y17" s="3179"/>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3"/>
      <c r="M18" s="1134"/>
      <c r="N18" s="1134"/>
      <c r="O18" s="1142"/>
      <c r="P18" s="3179"/>
      <c r="Q18" s="1812"/>
      <c r="R18" s="774"/>
      <c r="S18" s="775"/>
      <c r="T18" s="774"/>
      <c r="U18" s="775"/>
      <c r="V18" s="774"/>
      <c r="W18" s="775"/>
      <c r="X18" s="1815"/>
      <c r="Y18" s="3179"/>
      <c r="Z18" s="1816"/>
      <c r="AA18" s="1813">
        <v>1</v>
      </c>
      <c r="AB18" s="1813">
        <v>1</v>
      </c>
      <c r="AC18" s="1813">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9"/>
      <c r="Q19" s="1812" t="str">
        <f t="shared" ref="Q19:Q33" si="8">B19</f>
        <v>区域土地利用方向</v>
      </c>
      <c r="R19" s="774" t="s">
        <v>17</v>
      </c>
      <c r="S19" s="775">
        <f>F19</f>
        <v>100</v>
      </c>
      <c r="T19" s="774" t="s">
        <v>17</v>
      </c>
      <c r="U19" s="775">
        <f>H19</f>
        <v>100</v>
      </c>
      <c r="V19" s="774" t="s">
        <v>17</v>
      </c>
      <c r="W19" s="775">
        <f>J19</f>
        <v>100</v>
      </c>
      <c r="X19" s="1815"/>
      <c r="Y19" s="3179"/>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3"/>
      <c r="M20" s="1134"/>
      <c r="N20" s="1134"/>
      <c r="O20" s="1142"/>
      <c r="P20" s="3179"/>
      <c r="Q20" s="1812"/>
      <c r="R20" s="774"/>
      <c r="S20" s="775"/>
      <c r="T20" s="774"/>
      <c r="U20" s="775"/>
      <c r="V20" s="774"/>
      <c r="W20" s="775"/>
      <c r="X20" s="1815"/>
      <c r="Y20" s="3179"/>
      <c r="Z20" s="1816"/>
      <c r="AA20" s="1813"/>
      <c r="AB20" s="1813"/>
      <c r="AC20" s="1813"/>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9"/>
      <c r="Q21" s="1812" t="str">
        <f t="shared" si="8"/>
        <v>环境状况</v>
      </c>
      <c r="R21" s="774" t="s">
        <v>17</v>
      </c>
      <c r="S21" s="775">
        <f>F21</f>
        <v>100</v>
      </c>
      <c r="T21" s="774" t="s">
        <v>17</v>
      </c>
      <c r="U21" s="775">
        <f>H21</f>
        <v>100</v>
      </c>
      <c r="V21" s="774" t="s">
        <v>17</v>
      </c>
      <c r="W21" s="775">
        <f>J21</f>
        <v>100</v>
      </c>
      <c r="X21" s="1815"/>
      <c r="Y21" s="3179"/>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3"/>
      <c r="M22" s="1134"/>
      <c r="N22" s="1134"/>
      <c r="O22" s="1142"/>
      <c r="P22" s="3179"/>
      <c r="Q22" s="1812"/>
      <c r="R22" s="774"/>
      <c r="S22" s="775"/>
      <c r="T22" s="774"/>
      <c r="U22" s="775"/>
      <c r="V22" s="774"/>
      <c r="W22" s="775"/>
      <c r="X22" s="1815"/>
      <c r="Y22" s="3179"/>
      <c r="Z22" s="1816"/>
      <c r="AA22" s="1813">
        <v>1</v>
      </c>
      <c r="AB22" s="1813">
        <v>1</v>
      </c>
      <c r="AC22" s="1813">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9"/>
      <c r="Q23" s="1797" t="str">
        <f t="shared" si="8"/>
        <v>公共配套设施</v>
      </c>
      <c r="R23" s="770" t="s">
        <v>17</v>
      </c>
      <c r="S23" s="771">
        <f>F23</f>
        <v>100</v>
      </c>
      <c r="T23" s="770" t="s">
        <v>17</v>
      </c>
      <c r="U23" s="771">
        <f>H23</f>
        <v>100</v>
      </c>
      <c r="V23" s="770" t="s">
        <v>17</v>
      </c>
      <c r="W23" s="771">
        <f>J23</f>
        <v>100</v>
      </c>
      <c r="X23" s="772"/>
      <c r="Y23" s="3179"/>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5"/>
      <c r="M24" s="1136"/>
      <c r="N24" s="1136"/>
      <c r="O24" s="1137"/>
      <c r="P24" s="3179"/>
      <c r="Q24" s="1797"/>
      <c r="R24" s="770"/>
      <c r="S24" s="771"/>
      <c r="T24" s="770"/>
      <c r="U24" s="771"/>
      <c r="V24" s="770"/>
      <c r="W24" s="771"/>
      <c r="X24" s="772"/>
      <c r="Y24" s="3179"/>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9"/>
      <c r="Q25" s="1797" t="str">
        <f t="shared" ref="Q25" si="9">B25</f>
        <v>基础设施水平</v>
      </c>
      <c r="R25" s="770" t="s">
        <v>17</v>
      </c>
      <c r="S25" s="771">
        <f>F25</f>
        <v>100</v>
      </c>
      <c r="T25" s="770" t="s">
        <v>17</v>
      </c>
      <c r="U25" s="771">
        <f>H25</f>
        <v>100</v>
      </c>
      <c r="V25" s="770" t="s">
        <v>17</v>
      </c>
      <c r="W25" s="771">
        <f>J25</f>
        <v>100</v>
      </c>
      <c r="X25" s="772"/>
      <c r="Y25" s="3179"/>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5"/>
      <c r="M26" s="1136"/>
      <c r="N26" s="1136"/>
      <c r="O26" s="1137"/>
      <c r="P26" s="3179"/>
      <c r="Q26" s="1797"/>
      <c r="R26" s="770"/>
      <c r="S26" s="771"/>
      <c r="T26" s="770"/>
      <c r="U26" s="771"/>
      <c r="V26" s="770"/>
      <c r="W26" s="771"/>
      <c r="X26" s="772"/>
      <c r="Y26" s="3179"/>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9"/>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9"/>
      <c r="Z27" s="1816" t="str">
        <f t="shared" ref="Z27:Z40" si="13">Q27</f>
        <v>临街状况</v>
      </c>
      <c r="AA27" s="1813">
        <f t="shared" si="3"/>
        <v>1</v>
      </c>
      <c r="AB27" s="1813">
        <f t="shared" si="4"/>
        <v>1</v>
      </c>
      <c r="AC27" s="1813">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9"/>
      <c r="Q28" s="1812" t="str">
        <f t="shared" si="8"/>
        <v>毗邻道路的类型与等级</v>
      </c>
      <c r="R28" s="774" t="s">
        <v>17</v>
      </c>
      <c r="S28" s="775">
        <f t="shared" si="10"/>
        <v>100</v>
      </c>
      <c r="T28" s="774" t="s">
        <v>17</v>
      </c>
      <c r="U28" s="775">
        <f t="shared" si="11"/>
        <v>100</v>
      </c>
      <c r="V28" s="774" t="s">
        <v>17</v>
      </c>
      <c r="W28" s="775">
        <f t="shared" si="12"/>
        <v>100</v>
      </c>
      <c r="X28" s="1815"/>
      <c r="Y28" s="3179"/>
      <c r="Z28" s="1816" t="str">
        <f t="shared" si="13"/>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3"/>
      <c r="M29" s="1134"/>
      <c r="N29" s="1134"/>
      <c r="O29" s="1142"/>
      <c r="P29" s="3179"/>
      <c r="Q29" s="1812"/>
      <c r="R29" s="774"/>
      <c r="S29" s="775"/>
      <c r="T29" s="774"/>
      <c r="U29" s="775"/>
      <c r="V29" s="774"/>
      <c r="W29" s="775"/>
      <c r="X29" s="1815"/>
      <c r="Y29" s="3179"/>
      <c r="Z29" s="1816"/>
      <c r="AA29" s="1813">
        <v>1</v>
      </c>
      <c r="AB29" s="1813">
        <v>1</v>
      </c>
      <c r="AC29" s="1813">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9"/>
      <c r="Q30" s="1812" t="str">
        <f t="shared" si="8"/>
        <v>土地级别</v>
      </c>
      <c r="R30" s="774" t="s">
        <v>17</v>
      </c>
      <c r="S30" s="775">
        <f t="shared" si="10"/>
        <v>100</v>
      </c>
      <c r="T30" s="774" t="s">
        <v>17</v>
      </c>
      <c r="U30" s="775">
        <f t="shared" si="11"/>
        <v>100</v>
      </c>
      <c r="V30" s="774" t="s">
        <v>17</v>
      </c>
      <c r="W30" s="775">
        <f t="shared" si="12"/>
        <v>100</v>
      </c>
      <c r="X30" s="1815"/>
      <c r="Y30" s="3179"/>
      <c r="Z30" s="1816" t="str">
        <f t="shared" si="13"/>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9"/>
      <c r="Q31" s="1812">
        <f t="shared" si="8"/>
        <v>111</v>
      </c>
      <c r="R31" s="774" t="s">
        <v>17</v>
      </c>
      <c r="S31" s="775">
        <f t="shared" si="10"/>
        <v>100</v>
      </c>
      <c r="T31" s="774" t="s">
        <v>17</v>
      </c>
      <c r="U31" s="775">
        <f t="shared" si="11"/>
        <v>100</v>
      </c>
      <c r="V31" s="774" t="s">
        <v>17</v>
      </c>
      <c r="W31" s="775">
        <f t="shared" si="12"/>
        <v>100</v>
      </c>
      <c r="X31" s="1815"/>
      <c r="Y31" s="3179"/>
      <c r="Z31" s="1816">
        <f t="shared" si="13"/>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0" t="s">
        <v>2564</v>
      </c>
      <c r="Q32" s="1812">
        <f t="shared" si="8"/>
        <v>111</v>
      </c>
      <c r="R32" s="774" t="s">
        <v>17</v>
      </c>
      <c r="S32" s="775">
        <f t="shared" si="10"/>
        <v>100</v>
      </c>
      <c r="T32" s="774" t="s">
        <v>17</v>
      </c>
      <c r="U32" s="775">
        <f t="shared" si="11"/>
        <v>100</v>
      </c>
      <c r="V32" s="774" t="s">
        <v>17</v>
      </c>
      <c r="W32" s="775">
        <f t="shared" si="12"/>
        <v>100</v>
      </c>
      <c r="X32" s="1815"/>
      <c r="Y32" s="3181" t="s">
        <v>2564</v>
      </c>
      <c r="Z32" s="1816">
        <f t="shared" si="13"/>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1"/>
      <c r="Q33" s="1812">
        <f t="shared" si="8"/>
        <v>111</v>
      </c>
      <c r="R33" s="777" t="s">
        <v>17</v>
      </c>
      <c r="S33" s="778">
        <f t="shared" si="10"/>
        <v>100</v>
      </c>
      <c r="T33" s="777" t="s">
        <v>17</v>
      </c>
      <c r="U33" s="778">
        <f t="shared" si="11"/>
        <v>100</v>
      </c>
      <c r="V33" s="777" t="s">
        <v>17</v>
      </c>
      <c r="W33" s="778">
        <f t="shared" si="12"/>
        <v>100</v>
      </c>
      <c r="X33" s="779"/>
      <c r="Y33" s="3181"/>
      <c r="Z33" s="780">
        <f t="shared" si="13"/>
        <v>111</v>
      </c>
      <c r="AA33" s="1813">
        <f t="shared" si="3"/>
        <v>1</v>
      </c>
      <c r="AB33" s="1813">
        <f t="shared" si="4"/>
        <v>1</v>
      </c>
      <c r="AC33" s="181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1"/>
      <c r="Q34" s="1812" t="str">
        <f>B34</f>
        <v>宗地面积</v>
      </c>
      <c r="R34" s="774" t="s">
        <v>17</v>
      </c>
      <c r="S34" s="775" t="e">
        <f t="shared" si="10"/>
        <v>#N/A</v>
      </c>
      <c r="T34" s="774" t="s">
        <v>17</v>
      </c>
      <c r="U34" s="775" t="e">
        <f t="shared" si="11"/>
        <v>#N/A</v>
      </c>
      <c r="V34" s="774" t="s">
        <v>17</v>
      </c>
      <c r="W34" s="775" t="e">
        <f t="shared" si="12"/>
        <v>#N/A</v>
      </c>
      <c r="X34" s="1815"/>
      <c r="Y34" s="3181"/>
      <c r="Z34" s="1816" t="str">
        <f t="shared" si="13"/>
        <v>宗地面积</v>
      </c>
      <c r="AA34" s="1813" t="e">
        <f t="shared" si="3"/>
        <v>#N/A</v>
      </c>
      <c r="AB34" s="1813" t="e">
        <f t="shared" si="4"/>
        <v>#N/A</v>
      </c>
      <c r="AC34" s="1813"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81"/>
      <c r="Q35" s="1812" t="str">
        <f t="shared" ref="Q35:Q40" si="14">B35</f>
        <v>宗地形状</v>
      </c>
      <c r="R35" s="774" t="s">
        <v>17</v>
      </c>
      <c r="S35" s="775">
        <f t="shared" si="10"/>
        <v>100</v>
      </c>
      <c r="T35" s="774" t="s">
        <v>17</v>
      </c>
      <c r="U35" s="775">
        <f t="shared" si="11"/>
        <v>100</v>
      </c>
      <c r="V35" s="774" t="s">
        <v>17</v>
      </c>
      <c r="W35" s="775">
        <f t="shared" si="12"/>
        <v>100</v>
      </c>
      <c r="X35" s="1815"/>
      <c r="Y35" s="3181"/>
      <c r="Z35" s="1816" t="str">
        <f t="shared" si="13"/>
        <v>宗地形状</v>
      </c>
      <c r="AA35" s="1813">
        <f t="shared" si="3"/>
        <v>1</v>
      </c>
      <c r="AB35" s="1813">
        <f t="shared" si="4"/>
        <v>1</v>
      </c>
      <c r="AC35" s="1813">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81"/>
      <c r="Q36" s="1812" t="str">
        <f t="shared" si="14"/>
        <v>宗地开发程度</v>
      </c>
      <c r="R36" s="770" t="s">
        <v>17</v>
      </c>
      <c r="S36" s="771">
        <f t="shared" si="10"/>
        <v>100</v>
      </c>
      <c r="T36" s="770" t="s">
        <v>17</v>
      </c>
      <c r="U36" s="771">
        <f t="shared" si="11"/>
        <v>100</v>
      </c>
      <c r="V36" s="770" t="s">
        <v>17</v>
      </c>
      <c r="W36" s="771">
        <f t="shared" si="12"/>
        <v>100</v>
      </c>
      <c r="X36" s="772"/>
      <c r="Y36" s="3181"/>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81" t="s">
        <v>2564</v>
      </c>
      <c r="Q37" s="1812" t="str">
        <f t="shared" si="14"/>
        <v>工程地质条件</v>
      </c>
      <c r="R37" s="774" t="s">
        <v>17</v>
      </c>
      <c r="S37" s="775">
        <f t="shared" si="10"/>
        <v>100</v>
      </c>
      <c r="T37" s="774" t="s">
        <v>17</v>
      </c>
      <c r="U37" s="775">
        <f t="shared" si="11"/>
        <v>100</v>
      </c>
      <c r="V37" s="774" t="s">
        <v>17</v>
      </c>
      <c r="W37" s="775">
        <f t="shared" si="12"/>
        <v>100</v>
      </c>
      <c r="X37" s="1815"/>
      <c r="Y37" s="3181" t="s">
        <v>2564</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1"/>
      <c r="Q38" s="1812">
        <f t="shared" si="14"/>
        <v>111</v>
      </c>
      <c r="R38" s="774" t="s">
        <v>17</v>
      </c>
      <c r="S38" s="775">
        <f t="shared" si="10"/>
        <v>100</v>
      </c>
      <c r="T38" s="774" t="s">
        <v>17</v>
      </c>
      <c r="U38" s="775">
        <f t="shared" si="11"/>
        <v>100</v>
      </c>
      <c r="V38" s="774" t="s">
        <v>17</v>
      </c>
      <c r="W38" s="775">
        <f t="shared" si="12"/>
        <v>100</v>
      </c>
      <c r="X38" s="1815"/>
      <c r="Y38" s="3181"/>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1"/>
      <c r="Q39" s="1812">
        <f t="shared" si="14"/>
        <v>111</v>
      </c>
      <c r="R39" s="774" t="s">
        <v>17</v>
      </c>
      <c r="S39" s="775">
        <f t="shared" si="10"/>
        <v>100</v>
      </c>
      <c r="T39" s="774" t="s">
        <v>17</v>
      </c>
      <c r="U39" s="775">
        <f t="shared" si="11"/>
        <v>100</v>
      </c>
      <c r="V39" s="774" t="s">
        <v>17</v>
      </c>
      <c r="W39" s="775">
        <f t="shared" si="12"/>
        <v>100</v>
      </c>
      <c r="X39" s="1815"/>
      <c r="Y39" s="3181"/>
      <c r="Z39" s="1816">
        <f t="shared" si="13"/>
        <v>111</v>
      </c>
      <c r="AA39" s="1813">
        <f t="shared" si="3"/>
        <v>1</v>
      </c>
      <c r="AB39" s="1813">
        <f t="shared" si="4"/>
        <v>1</v>
      </c>
      <c r="AC39" s="1813">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1"/>
      <c r="Q40" s="1812">
        <f t="shared" si="14"/>
        <v>111</v>
      </c>
      <c r="R40" s="777" t="s">
        <v>17</v>
      </c>
      <c r="S40" s="778">
        <f t="shared" si="10"/>
        <v>100</v>
      </c>
      <c r="T40" s="777" t="s">
        <v>17</v>
      </c>
      <c r="U40" s="778">
        <f t="shared" si="11"/>
        <v>100</v>
      </c>
      <c r="V40" s="777" t="s">
        <v>17</v>
      </c>
      <c r="W40" s="778">
        <f t="shared" si="12"/>
        <v>100</v>
      </c>
      <c r="X40" s="779"/>
      <c r="Y40" s="3181"/>
      <c r="Z40" s="780">
        <f t="shared" si="13"/>
        <v>111</v>
      </c>
      <c r="AA40" s="1813">
        <f t="shared" si="3"/>
        <v>1</v>
      </c>
      <c r="AB40" s="1813">
        <f t="shared" si="4"/>
        <v>1</v>
      </c>
      <c r="AC40" s="1813">
        <f t="shared" si="5"/>
        <v>1</v>
      </c>
    </row>
    <row r="41" spans="1:29" ht="15">
      <c r="A41" s="479" t="s">
        <v>2719</v>
      </c>
      <c r="B41" s="2706" t="s">
        <v>2799</v>
      </c>
      <c r="C41" s="682" t="s">
        <v>1</v>
      </c>
      <c r="D41" s="481"/>
      <c r="E41" s="482"/>
      <c r="F41" s="483"/>
      <c r="G41" s="484"/>
      <c r="H41" s="485"/>
      <c r="I41" s="482"/>
      <c r="J41" s="485"/>
      <c r="K41" s="783"/>
      <c r="L41" s="1146"/>
      <c r="M41" s="1134"/>
      <c r="N41" s="1134"/>
      <c r="O41" s="1147"/>
      <c r="P41" s="3176" t="str">
        <f>A41</f>
        <v>成交单价</v>
      </c>
      <c r="Q41" s="3176"/>
      <c r="R41" s="3182">
        <f>E41</f>
        <v>0</v>
      </c>
      <c r="S41" s="3182"/>
      <c r="T41" s="3182">
        <f>G41</f>
        <v>0</v>
      </c>
      <c r="U41" s="3182"/>
      <c r="V41" s="3182">
        <f>I41</f>
        <v>0</v>
      </c>
      <c r="W41" s="3182"/>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76" t="str">
        <f>A42</f>
        <v>比较价值（元/平方米）</v>
      </c>
      <c r="Q42" s="3176"/>
      <c r="R42" s="3169" t="e">
        <f>ROUND(PRODUCT(R41,AA7:AA40),0)</f>
        <v>#DIV/0!</v>
      </c>
      <c r="S42" s="3169"/>
      <c r="T42" s="3169" t="e">
        <f>ROUND(PRODUCT(T41,AB7:AB40),0)</f>
        <v>#DIV/0!</v>
      </c>
      <c r="U42" s="3169"/>
      <c r="V42" s="3169" t="e">
        <f>ROUND(PRODUCT(V41,AC7:AC40),0)</f>
        <v>#DIV/0!</v>
      </c>
      <c r="W42" s="3169"/>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170" t="str">
        <f>A43</f>
        <v>估价对象XX用房的比较价值（楼面单价，元/平方米）</v>
      </c>
      <c r="Q43" s="3171"/>
      <c r="R43" s="3172" t="e">
        <f>ROUND(AVERAGE(R42:V42),0)</f>
        <v>#DIV/0!</v>
      </c>
      <c r="S43" s="3172"/>
      <c r="T43" s="3172"/>
      <c r="U43" s="3172"/>
      <c r="V43" s="3172"/>
      <c r="W43" s="317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7" t="s">
        <v>2759</v>
      </c>
      <c r="D50" s="2708" t="s">
        <v>2760</v>
      </c>
      <c r="E50" s="686" t="s">
        <v>2761</v>
      </c>
      <c r="F50" s="687" t="s">
        <v>2762</v>
      </c>
      <c r="G50" s="3173" t="s">
        <v>2763</v>
      </c>
      <c r="H50" s="3174"/>
      <c r="I50" s="1816" t="s">
        <v>2800</v>
      </c>
      <c r="J50" s="1816" t="str">
        <f>项目基本情况!F35</f>
        <v>湖北省武汉市江夏区纸坊街红旗村“江南新天地”（又名“鹏湖湾”）项目</v>
      </c>
      <c r="K50" s="2710" t="s">
        <v>2765</v>
      </c>
      <c r="L50" s="1109"/>
      <c r="M50" s="1147"/>
      <c r="N50" s="1147"/>
      <c r="O50" s="1147"/>
    </row>
    <row r="51" spans="1:17" s="692" customFormat="1">
      <c r="A51" s="688" t="s">
        <v>2766</v>
      </c>
      <c r="B51" s="689" t="e">
        <f>C43</f>
        <v>#DIV/0!</v>
      </c>
      <c r="C51" s="690">
        <v>1</v>
      </c>
      <c r="D51" s="1166">
        <v>1</v>
      </c>
      <c r="E51" s="690">
        <f>'数据-汇总表'!E8+'数据-汇总表'!E9</f>
        <v>42432.480000000003</v>
      </c>
      <c r="F51" s="691" t="e">
        <f t="shared" ref="F51:F60" si="15">ROUND(B51*E51/10000,0)</f>
        <v>#DIV/0!</v>
      </c>
      <c r="G51" s="3175"/>
      <c r="H51" s="3176"/>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177"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177"/>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177"/>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177"/>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11"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11"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12"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13519.93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3" t="s">
        <v>2781</v>
      </c>
      <c r="B65" s="1362"/>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8" t="s">
        <v>2801</v>
      </c>
      <c r="B66" s="332" t="str">
        <f>"北京市平均增长率"&amp;TEXT(基准地价修正!P24,"0.00%")</f>
        <v>北京市平均增长率1.35%</v>
      </c>
      <c r="C66" s="603">
        <v>100</v>
      </c>
      <c r="D66" s="595"/>
      <c r="E66" s="595"/>
      <c r="F66" s="595"/>
      <c r="G66" s="595"/>
      <c r="H66" s="595"/>
      <c r="I66" s="595"/>
      <c r="J66" s="595"/>
      <c r="K66" s="595"/>
      <c r="L66" s="595"/>
      <c r="M66" s="1570"/>
      <c r="N66" s="1570"/>
      <c r="O66" s="1571"/>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2803</v>
      </c>
      <c r="B1" s="241"/>
      <c r="C1" s="245" t="s">
        <v>2804</v>
      </c>
      <c r="D1" s="388">
        <f>SUM(D29:D30,D33:D39)</f>
        <v>0</v>
      </c>
      <c r="E1" s="2719"/>
      <c r="F1" s="2719"/>
      <c r="G1" s="2719"/>
      <c r="H1" s="2719"/>
      <c r="I1" s="2719"/>
      <c r="J1" s="2719"/>
      <c r="K1" s="1373"/>
      <c r="L1" s="2720" t="s">
        <v>2805</v>
      </c>
      <c r="M1" s="1083">
        <f>SUMPRODUCT((区片价!B5:B9=I2)*(区片价!C3:F3=E2)*(区片价!C5:F9))</f>
        <v>0</v>
      </c>
      <c r="N1" s="1086">
        <f>SUMPRODUCT((因素修正幅度!B5:B9=I2)*(因素修正幅度!C3:F3=E2)*(因素修正幅度!C5:F9))</f>
        <v>0</v>
      </c>
      <c r="O1" s="2721"/>
      <c r="P1" s="2721"/>
      <c r="Q1" s="1373"/>
      <c r="R1" s="1604" t="s">
        <v>2806</v>
      </c>
      <c r="S1" s="1604" t="s">
        <v>2807</v>
      </c>
      <c r="T1" s="1604" t="s">
        <v>2808</v>
      </c>
      <c r="U1" s="1604" t="s">
        <v>2809</v>
      </c>
      <c r="V1" s="1604" t="s">
        <v>2810</v>
      </c>
      <c r="W1" s="1608"/>
      <c r="X1" s="1608"/>
      <c r="Y1" s="1608"/>
      <c r="Z1" s="1608"/>
      <c r="AA1" s="1608"/>
      <c r="AB1" s="1608"/>
      <c r="AC1" s="1609"/>
      <c r="AD1" s="1610"/>
      <c r="AE1" s="1610"/>
      <c r="AF1" s="1610"/>
      <c r="AG1" s="1610"/>
      <c r="AH1" s="1610"/>
      <c r="AI1" s="1610"/>
      <c r="AJ1" s="1611"/>
    </row>
    <row r="2" spans="1:36" ht="15.75">
      <c r="A2" s="245" t="s">
        <v>2811</v>
      </c>
      <c r="B2" s="248"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3"/>
      <c r="L2" s="2728" t="s">
        <v>2816</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2817</v>
      </c>
      <c r="B3" s="248" t="e">
        <f>ROUND(B2*10000/D1,0)</f>
        <v>#DIV/0!</v>
      </c>
      <c r="C3" s="2723" t="s">
        <v>2818</v>
      </c>
      <c r="D3" s="2724" t="s">
        <v>2819</v>
      </c>
      <c r="E3" s="2729"/>
      <c r="F3" s="2730" t="s">
        <v>2820</v>
      </c>
      <c r="G3" s="916">
        <f>IF(F3="宗地容积率",'数据-汇总表'!I4,IF(F3="估价对象容积率",'数据-汇总表'!I6,'数据-汇总表'!I7))</f>
        <v>2.63</v>
      </c>
      <c r="H3" s="198" t="s">
        <v>2821</v>
      </c>
      <c r="I3" s="947"/>
      <c r="J3" s="2727" t="s">
        <v>2822</v>
      </c>
      <c r="K3" s="1373"/>
      <c r="L3" s="2728" t="s">
        <v>2823</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3"/>
      <c r="B4" s="3274"/>
      <c r="C4" s="3274"/>
      <c r="D4" s="3275"/>
      <c r="E4" s="3275"/>
      <c r="F4" s="3275"/>
      <c r="G4" s="3275"/>
      <c r="H4" s="3275"/>
      <c r="I4" s="3275"/>
      <c r="J4" s="3276"/>
      <c r="K4" s="1373"/>
      <c r="L4" s="2728" t="s">
        <v>2824</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2825</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2826</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2827</v>
      </c>
      <c r="B6" s="2742" t="s">
        <v>2828</v>
      </c>
      <c r="C6" s="918">
        <f>SUMIF(L1:L12,G2,M1:M12)</f>
        <v>0</v>
      </c>
      <c r="D6" s="2743" t="s">
        <v>2829</v>
      </c>
      <c r="E6" s="2744"/>
      <c r="F6" s="2744"/>
      <c r="G6" s="2745"/>
      <c r="H6" s="2745"/>
      <c r="I6" s="2745"/>
      <c r="J6" s="2746"/>
      <c r="K6" s="1844"/>
      <c r="L6" s="2728" t="s">
        <v>2830</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77" t="str">
        <f>IF(E2="商业",IF(C8="不临58条商业街","",2),"")</f>
        <v/>
      </c>
      <c r="B7" s="2747" t="s">
        <v>2831</v>
      </c>
      <c r="C7" s="919" t="e">
        <f>IF(C8="不临58条商业街",1,ROUND(1+(1.6*E8+1.2*E9+0.8*E10+0.4*E11)*C9,4))</f>
        <v>#DIV/0!</v>
      </c>
      <c r="D7" s="2748" t="s">
        <v>2832</v>
      </c>
      <c r="E7" s="948"/>
      <c r="F7" s="2749"/>
      <c r="G7" s="2750"/>
      <c r="H7" s="2750"/>
      <c r="I7" s="2750"/>
      <c r="J7" s="2751"/>
      <c r="K7" s="1844"/>
      <c r="L7" s="2728" t="s">
        <v>2833</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2834</v>
      </c>
      <c r="X7" s="1606">
        <f>G2</f>
        <v>0</v>
      </c>
      <c r="Y7" s="1606" t="s">
        <v>2835</v>
      </c>
      <c r="Z7" s="1607">
        <f>G3</f>
        <v>2.63</v>
      </c>
      <c r="AA7" s="1608"/>
      <c r="AB7" s="1608"/>
      <c r="AC7" s="1609"/>
      <c r="AD7" s="1610"/>
      <c r="AE7" s="1610"/>
      <c r="AF7" s="1610"/>
      <c r="AG7" s="1610"/>
      <c r="AH7" s="1610"/>
      <c r="AI7" s="1610"/>
      <c r="AJ7" s="1611"/>
    </row>
    <row r="8" spans="1:36" ht="15">
      <c r="A8" s="3278"/>
      <c r="B8" s="198" t="s">
        <v>2836</v>
      </c>
      <c r="C8" s="2752"/>
      <c r="D8" s="920" t="s">
        <v>139</v>
      </c>
      <c r="E8" s="921" t="e">
        <f>ROUND(C11/E7,4)</f>
        <v>#DIV/0!</v>
      </c>
      <c r="F8" s="2753" t="s">
        <v>2837</v>
      </c>
      <c r="G8" s="2754"/>
      <c r="H8" s="2754"/>
      <c r="I8" s="2754"/>
      <c r="J8" s="2755"/>
      <c r="K8" s="1373"/>
      <c r="L8" s="2728" t="s">
        <v>2838</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70" t="s">
        <v>2839</v>
      </c>
      <c r="X8" s="3271"/>
      <c r="Y8" s="1612" t="s">
        <v>2840</v>
      </c>
      <c r="Z8" s="1612" t="s">
        <v>2841</v>
      </c>
      <c r="AA8" s="1612" t="s">
        <v>2842</v>
      </c>
      <c r="AB8" s="1612" t="s">
        <v>2843</v>
      </c>
      <c r="AC8" s="1612" t="s">
        <v>2844</v>
      </c>
      <c r="AD8" s="1612" t="s">
        <v>2845</v>
      </c>
      <c r="AE8" s="1612" t="s">
        <v>2846</v>
      </c>
      <c r="AF8" s="1612" t="s">
        <v>2847</v>
      </c>
      <c r="AG8" s="1612" t="s">
        <v>2848</v>
      </c>
      <c r="AH8" s="1612" t="s">
        <v>2849</v>
      </c>
      <c r="AI8" s="1612" t="s">
        <v>2850</v>
      </c>
      <c r="AJ8" s="1612" t="s">
        <v>2851</v>
      </c>
    </row>
    <row r="9" spans="1:36" ht="15">
      <c r="A9" s="3278"/>
      <c r="B9" s="198" t="s">
        <v>2852</v>
      </c>
      <c r="C9" s="922">
        <f>SUMIF(修正!C59:C119,C8,修正!E59:E119)</f>
        <v>0</v>
      </c>
      <c r="D9" s="200" t="s">
        <v>140</v>
      </c>
      <c r="E9" s="200" t="e">
        <f>ROUND(C11/E7,4)</f>
        <v>#DIV/0!</v>
      </c>
      <c r="F9" s="2753" t="s">
        <v>2853</v>
      </c>
      <c r="G9" s="2754"/>
      <c r="H9" s="2754"/>
      <c r="I9" s="2754"/>
      <c r="J9" s="2755"/>
      <c r="K9" s="1373"/>
      <c r="L9" s="2728" t="s">
        <v>2854</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72" t="s">
        <v>2855</v>
      </c>
      <c r="X9" s="1613" t="s">
        <v>2856</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8"/>
      <c r="B10" s="198" t="s">
        <v>2857</v>
      </c>
      <c r="C10" s="200">
        <f>SUMIF(修正!C59:C119,C8,修正!F59:F119)</f>
        <v>0</v>
      </c>
      <c r="D10" s="200" t="s">
        <v>141</v>
      </c>
      <c r="E10" s="200" t="e">
        <f>ROUND(C11/E7,4)</f>
        <v>#DIV/0!</v>
      </c>
      <c r="F10" s="2753" t="s">
        <v>2858</v>
      </c>
      <c r="G10" s="2754"/>
      <c r="H10" s="2754"/>
      <c r="I10" s="2754"/>
      <c r="J10" s="2755"/>
      <c r="K10" s="1373"/>
      <c r="L10" s="2728" t="s">
        <v>2859</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7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8"/>
      <c r="B11" s="2756" t="s">
        <v>2860</v>
      </c>
      <c r="C11" s="923">
        <f>C10/4</f>
        <v>0</v>
      </c>
      <c r="D11" s="923" t="s">
        <v>142</v>
      </c>
      <c r="E11" s="923" t="e">
        <f>ROUND(C11/E7,4)</f>
        <v>#DIV/0!</v>
      </c>
      <c r="F11" s="2757" t="s">
        <v>2861</v>
      </c>
      <c r="G11" s="2758"/>
      <c r="H11" s="2758"/>
      <c r="I11" s="2758"/>
      <c r="J11" s="2759"/>
      <c r="K11" s="1373"/>
      <c r="L11" s="2728" t="s">
        <v>2862</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72" t="s">
        <v>2863</v>
      </c>
      <c r="X11" s="1616" t="s">
        <v>2864</v>
      </c>
      <c r="Y11" s="1617">
        <f>$G$3</f>
        <v>2.63</v>
      </c>
      <c r="Z11" s="1617">
        <f t="shared" ref="Z11:AJ11" si="3">$G$3</f>
        <v>2.63</v>
      </c>
      <c r="AA11" s="1617">
        <f t="shared" si="3"/>
        <v>2.63</v>
      </c>
      <c r="AB11" s="1617">
        <f t="shared" si="3"/>
        <v>2.63</v>
      </c>
      <c r="AC11" s="1617">
        <f t="shared" si="3"/>
        <v>2.63</v>
      </c>
      <c r="AD11" s="1617">
        <f t="shared" si="3"/>
        <v>2.63</v>
      </c>
      <c r="AE11" s="1617">
        <f t="shared" si="3"/>
        <v>2.63</v>
      </c>
      <c r="AF11" s="1617">
        <f t="shared" si="3"/>
        <v>2.63</v>
      </c>
      <c r="AG11" s="1617">
        <f t="shared" si="3"/>
        <v>2.63</v>
      </c>
      <c r="AH11" s="1617">
        <f t="shared" si="3"/>
        <v>2.63</v>
      </c>
      <c r="AI11" s="1617">
        <f t="shared" si="3"/>
        <v>2.63</v>
      </c>
      <c r="AJ11" s="1617">
        <f t="shared" si="3"/>
        <v>2.63</v>
      </c>
    </row>
    <row r="12" spans="1:36" ht="25.5" thickBot="1">
      <c r="A12" s="3277" t="s">
        <v>2865</v>
      </c>
      <c r="B12" s="2760" t="s">
        <v>2866</v>
      </c>
      <c r="C12" s="919">
        <f>ROUND(C15*D15*E15*F15*G15*H15*I15*J15,4)</f>
        <v>1</v>
      </c>
      <c r="D12" s="2761" t="s">
        <v>2867</v>
      </c>
      <c r="E12" s="2762"/>
      <c r="F12" s="2762"/>
      <c r="G12" s="2763"/>
      <c r="H12" s="2763"/>
      <c r="I12" s="2763"/>
      <c r="J12" s="2764"/>
      <c r="K12" s="1373"/>
      <c r="L12" s="2765" t="s">
        <v>2868</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72"/>
      <c r="X12" s="1618" t="s">
        <v>2869</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9"/>
      <c r="B13" s="2766" t="s">
        <v>2870</v>
      </c>
      <c r="C13" s="2767" t="s">
        <v>2871</v>
      </c>
      <c r="D13" s="1810" t="s">
        <v>2872</v>
      </c>
      <c r="E13" s="1810" t="s">
        <v>2873</v>
      </c>
      <c r="F13" s="30" t="s">
        <v>2874</v>
      </c>
      <c r="G13" s="2768" t="s">
        <v>2875</v>
      </c>
      <c r="H13" s="2768" t="s">
        <v>2875</v>
      </c>
      <c r="I13" s="2768" t="s">
        <v>2875</v>
      </c>
      <c r="J13" s="2769" t="s">
        <v>2875</v>
      </c>
      <c r="K13" s="1373"/>
      <c r="L13" s="1373"/>
      <c r="M13" s="1373"/>
      <c r="N13" s="1373"/>
      <c r="O13" s="1373"/>
      <c r="P13" s="1373"/>
      <c r="Q13" s="1373"/>
      <c r="R13" s="1604">
        <v>12</v>
      </c>
      <c r="S13" s="1605"/>
      <c r="T13" s="1604" t="e">
        <f t="shared" si="0"/>
        <v>#DIV/0!</v>
      </c>
      <c r="U13" s="1605"/>
      <c r="V13" s="1604" t="e">
        <f t="shared" si="1"/>
        <v>#DIV/0!</v>
      </c>
      <c r="W13" s="3272"/>
      <c r="X13" s="1618"/>
      <c r="Y13" s="1615">
        <f>(-0.163*(Y12^2)-0.59*Y12+7617)*(10^(-4))/Y11</f>
        <v>0.28961977186311788</v>
      </c>
      <c r="Z13" s="1615">
        <f t="shared" ref="Z13:AJ13" si="5">(-0.163*(Z12^2)-0.59*Z12+7617)*(10^(-4))/Z11</f>
        <v>0.28961977186311788</v>
      </c>
      <c r="AA13" s="1615">
        <f t="shared" si="5"/>
        <v>0.28961977186311788</v>
      </c>
      <c r="AB13" s="1615">
        <f t="shared" si="5"/>
        <v>0.28961977186311788</v>
      </c>
      <c r="AC13" s="1615">
        <f t="shared" si="5"/>
        <v>0.28961977186311788</v>
      </c>
      <c r="AD13" s="1615">
        <f t="shared" si="5"/>
        <v>0.28961977186311788</v>
      </c>
      <c r="AE13" s="1615">
        <f t="shared" si="5"/>
        <v>0.28961977186311788</v>
      </c>
      <c r="AF13" s="1615">
        <f t="shared" si="5"/>
        <v>0.28961977186311788</v>
      </c>
      <c r="AG13" s="1615">
        <f t="shared" si="5"/>
        <v>0.28961977186311788</v>
      </c>
      <c r="AH13" s="1615">
        <f t="shared" si="5"/>
        <v>0.28961977186311788</v>
      </c>
      <c r="AI13" s="1615">
        <f t="shared" si="5"/>
        <v>0.28961977186311788</v>
      </c>
      <c r="AJ13" s="1615">
        <f t="shared" si="5"/>
        <v>0.28961977186311788</v>
      </c>
    </row>
    <row r="14" spans="1:36" ht="15">
      <c r="A14" s="3279"/>
      <c r="B14" s="2770"/>
      <c r="C14" s="2771"/>
      <c r="D14" s="2772"/>
      <c r="E14" s="2772"/>
      <c r="F14" s="2773"/>
      <c r="G14" s="2774" t="s">
        <v>2876</v>
      </c>
      <c r="H14" s="2775"/>
      <c r="I14" s="2776"/>
      <c r="J14" s="2777"/>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0"/>
      <c r="B15" s="2778" t="s">
        <v>2877</v>
      </c>
      <c r="C15" s="229">
        <f>IF(C14="有",1.1,1)</f>
        <v>1</v>
      </c>
      <c r="D15" s="229">
        <f>IF(D14="有",1.1,1)</f>
        <v>1</v>
      </c>
      <c r="E15" s="229">
        <f>IF(E14="有",1.1,1)</f>
        <v>1</v>
      </c>
      <c r="F15" s="229">
        <f>IF(F14="500米范围内",1.2,IF(F14="500-1000米",1.1,1))</f>
        <v>1</v>
      </c>
      <c r="G15" s="949">
        <v>1</v>
      </c>
      <c r="H15" s="949">
        <v>1</v>
      </c>
      <c r="I15" s="949">
        <v>1</v>
      </c>
      <c r="J15" s="950">
        <v>1</v>
      </c>
      <c r="K15" s="1373"/>
      <c r="L15" s="2779" t="s">
        <v>2813</v>
      </c>
      <c r="M15" s="920" t="s">
        <v>2878</v>
      </c>
      <c r="N15" s="920" t="s">
        <v>2879</v>
      </c>
      <c r="O15" s="920" t="s">
        <v>2880</v>
      </c>
      <c r="P15" s="2780" t="s">
        <v>2881</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7" t="s">
        <v>2882</v>
      </c>
      <c r="B16" s="2747" t="s">
        <v>2883</v>
      </c>
      <c r="C16" s="1803" t="e">
        <f>ROUND(SUM(G17:J17)/C17,0)</f>
        <v>#DIV/0!</v>
      </c>
      <c r="D16" s="2781" t="s">
        <v>2884</v>
      </c>
      <c r="E16" s="2782"/>
      <c r="F16" s="2783"/>
      <c r="G16" s="2784"/>
      <c r="H16" s="2784"/>
      <c r="I16" s="2784"/>
      <c r="J16" s="2785"/>
      <c r="K16" s="1373"/>
      <c r="L16" s="2786" t="s">
        <v>2885</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8"/>
      <c r="B17" s="2787" t="s">
        <v>2886</v>
      </c>
      <c r="C17" s="924">
        <f>SUMPRODUCT((修正!A2:A5=E2)*(修正!B1:M1=G2)*(修正!B2:M5))</f>
        <v>0</v>
      </c>
      <c r="D17" s="2788"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2890</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2891</v>
      </c>
      <c r="C19" s="927" t="e">
        <f>ROUND(IF(H19="按公示增长率计算",SUMPRODUCT((地价!A3:A22=YEAR(G19)&amp;"-"&amp;ROUNDUP(MONTH(G19)/3,0))*(地价!X2:AB2=E2)*(地价!X3:AB22)),IF(H19="地价指数",M20/M19,(1+I19)^O19)),4)</f>
        <v>#DIV/0!</v>
      </c>
      <c r="D19" s="2799" t="s">
        <v>2892</v>
      </c>
      <c r="E19" s="928">
        <v>41640</v>
      </c>
      <c r="F19" s="2799" t="s">
        <v>2893</v>
      </c>
      <c r="G19" s="929">
        <f>'数据-取费表'!B2</f>
        <v>43262</v>
      </c>
      <c r="H19" s="2800" t="s">
        <v>2894</v>
      </c>
      <c r="I19" s="930" t="str">
        <f>IF(H19="季度增幅（自定义）",SUMIF(N21:N24,E2,O21:O24),"")</f>
        <v/>
      </c>
      <c r="J19" s="2797"/>
      <c r="K19" s="1380"/>
      <c r="L19" s="2801" t="s">
        <v>2895</v>
      </c>
      <c r="M19" s="1736">
        <f>ROUND(SUMIF(地价!B2:F2,E2,地价!B22:F22),0)</f>
        <v>0</v>
      </c>
      <c r="N19" s="2802" t="s">
        <v>2896</v>
      </c>
      <c r="O19" s="931">
        <f>ROUNDDOWN(DATEDIF(E19,G19,"M")/3,0)</f>
        <v>17</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2897</v>
      </c>
      <c r="C20" s="932" t="e">
        <f>ROUND(POWER(1+G20,J20-I20)*(POWER(1+G20,I20)-1)/(POWER(1+G20,J20)-1),4)</f>
        <v>#DIV/0!</v>
      </c>
      <c r="D20" s="2808" t="s">
        <v>2898</v>
      </c>
      <c r="E20" s="1770">
        <f ca="1">存贷款利率!D4/100</f>
        <v>4.3499999999999997E-2</v>
      </c>
      <c r="F20" s="2808" t="s">
        <v>2889</v>
      </c>
      <c r="G20" s="937">
        <f>SUMIF(M15:P15,E2,M17:P17)</f>
        <v>0</v>
      </c>
      <c r="H20" s="2808" t="s">
        <v>2899</v>
      </c>
      <c r="I20" s="938" t="e">
        <f>SUMIF('数据-取费表'!C6:C15,E2,'数据-取费表'!F6:F15)/COUNTIF('数据-取费表'!C6:C15,E2)</f>
        <v>#DIV/0!</v>
      </c>
      <c r="J20" s="939">
        <f>IF(E2="住宅",70,IF(E2="商业",40,50))</f>
        <v>50</v>
      </c>
      <c r="K20" s="1380"/>
      <c r="L20" s="2809" t="s">
        <v>2900</v>
      </c>
      <c r="M20" s="1737">
        <f>ROUND(SUMPRODUCT((地价!A4:A22=YEAR(G19)&amp;"-"&amp;ROUNDUP(MONTH(G19)/3,0))*(地价!B2:F2=E2)*(地价!B4:F22)),0)</f>
        <v>0</v>
      </c>
      <c r="N20" s="2810" t="s">
        <v>2901</v>
      </c>
      <c r="O20" s="2811" t="s">
        <v>2902</v>
      </c>
      <c r="P20" s="2812" t="s">
        <v>2903</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2904</v>
      </c>
      <c r="C21" s="940">
        <f>IF(B21="容积率修正",IF(G3&lt;=10,D22,J22),C23)</f>
        <v>0</v>
      </c>
      <c r="D21" s="2815"/>
      <c r="E21" s="2815"/>
      <c r="F21" s="2815"/>
      <c r="G21" s="2815"/>
      <c r="H21" s="2815"/>
      <c r="I21" s="2815"/>
      <c r="J21" s="2816"/>
      <c r="K21" s="1380"/>
      <c r="N21" s="2817" t="s">
        <v>2905</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0" customFormat="1" ht="14.25">
      <c r="A22" s="2666" t="s">
        <v>2906</v>
      </c>
      <c r="B22" s="2818" t="s">
        <v>2907</v>
      </c>
      <c r="C22" s="1812" t="s">
        <v>2908</v>
      </c>
      <c r="D22" s="1812">
        <f>IF(E22=G22,F22,IF(G3&lt;=10,ROUND(F22+(H22-F22)*(G3-E22)/(G22-E22),4),"——"))</f>
        <v>0</v>
      </c>
      <c r="E22" s="916">
        <f>ROUNDDOWN(G3,1)</f>
        <v>2.6</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7" t="s">
        <v>2909</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6" t="s">
        <v>2910</v>
      </c>
      <c r="B23" s="2819" t="s">
        <v>2911</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2912</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2913</v>
      </c>
      <c r="C24" s="927">
        <f>SUMIF(A45:A88,E2,B45:B88)</f>
        <v>0</v>
      </c>
      <c r="D24" s="2795"/>
      <c r="E24" s="2825"/>
      <c r="F24" s="2825"/>
      <c r="G24" s="2825"/>
      <c r="H24" s="2825"/>
      <c r="I24" s="2825"/>
      <c r="J24" s="2826"/>
      <c r="K24" s="1380"/>
      <c r="N24" s="2827" t="s">
        <v>2914</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2915</v>
      </c>
      <c r="C25" s="933"/>
      <c r="D25" s="2750"/>
      <c r="E25" s="2750"/>
      <c r="F25" s="2829"/>
      <c r="G25" s="2750"/>
      <c r="H25" s="2750"/>
      <c r="I25" s="2750"/>
      <c r="J25" s="2751"/>
      <c r="K25" s="1373"/>
      <c r="N25" s="2830" t="s">
        <v>2916</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1"/>
      <c r="B26" s="2818" t="s">
        <v>2917</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2918</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2919</v>
      </c>
      <c r="C28" s="2842" t="s">
        <v>2920</v>
      </c>
      <c r="D28" s="2842" t="s">
        <v>2921</v>
      </c>
      <c r="E28" s="2843" t="s">
        <v>2922</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2923</v>
      </c>
      <c r="C29" s="206" t="e">
        <f>ROUND(C5*C18*C19*C20*C21*C24,0)</f>
        <v>#DIV/0!</v>
      </c>
      <c r="D29" s="2847"/>
      <c r="E29" s="945" t="e">
        <f>ROUND(C29*D29/10000,0)</f>
        <v>#DIV/0!</v>
      </c>
      <c r="F29" s="2848" t="s">
        <v>2924</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2925</v>
      </c>
      <c r="C30" s="229" t="e">
        <f>ROUND(IF(E2="工业",C29*M39,C29*M38),0)</f>
        <v>#DIV/0!</v>
      </c>
      <c r="D30" s="2853"/>
      <c r="E30" s="945" t="e">
        <f>ROUND(C30*D30/10000,0)</f>
        <v>#DIV/0!</v>
      </c>
      <c r="F30" s="2854" t="s">
        <v>2926</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2927</v>
      </c>
      <c r="C31" s="2859" t="s">
        <v>2928</v>
      </c>
      <c r="D31" s="2763"/>
      <c r="E31" s="2859"/>
      <c r="F31" s="2859"/>
      <c r="G31" s="2761" t="s">
        <v>2929</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2920</v>
      </c>
      <c r="D32" s="498" t="s">
        <v>2921</v>
      </c>
      <c r="E32" s="498" t="s">
        <v>2922</v>
      </c>
      <c r="F32" s="388" t="s">
        <v>2930</v>
      </c>
      <c r="G32" s="2862" t="s">
        <v>2920</v>
      </c>
      <c r="H32" s="2862" t="s">
        <v>2921</v>
      </c>
      <c r="I32" s="2862"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87" t="s">
        <v>2931</v>
      </c>
      <c r="B33" s="2863" t="s">
        <v>2932</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8"/>
      <c r="B34" s="2767" t="s">
        <v>2933</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8"/>
      <c r="B35" s="2767" t="s">
        <v>2934</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89"/>
      <c r="B36" s="2767" t="s">
        <v>2935</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2936</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3"/>
      <c r="L37" s="2866" t="s">
        <v>2937</v>
      </c>
      <c r="M37" s="2867"/>
      <c r="N37" s="1373"/>
      <c r="O37" s="1373"/>
      <c r="P37" s="1373"/>
      <c r="Q37" s="1373"/>
      <c r="R37" s="1373"/>
      <c r="S37" s="1373"/>
      <c r="T37" s="1373"/>
      <c r="U37" s="1373"/>
      <c r="V37" s="1373"/>
      <c r="W37" s="1373"/>
      <c r="X37" s="1373"/>
      <c r="Y37" s="1373"/>
      <c r="Z37" s="1374"/>
    </row>
    <row r="38" spans="1:37">
      <c r="A38" s="2865"/>
      <c r="B38" s="2767" t="s">
        <v>2938</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3"/>
      <c r="L38" s="1889" t="s">
        <v>2939</v>
      </c>
      <c r="M38" s="2868">
        <v>0.25</v>
      </c>
      <c r="N38" s="1373"/>
      <c r="O38" s="1373"/>
      <c r="P38" s="1373"/>
      <c r="Q38" s="1373"/>
      <c r="R38" s="1373"/>
      <c r="S38" s="1373"/>
      <c r="T38" s="1373"/>
      <c r="U38" s="1373"/>
      <c r="V38" s="1373"/>
      <c r="W38" s="1373"/>
      <c r="X38" s="1373"/>
      <c r="Y38" s="1373"/>
      <c r="Z38" s="1374"/>
    </row>
    <row r="39" spans="1:37" ht="13.5" thickBot="1">
      <c r="A39" s="2851"/>
      <c r="B39" s="2869" t="s">
        <v>2940</v>
      </c>
      <c r="C39" s="229" t="e">
        <f>ROUND(C5*C19*C20*C24*F39,0)</f>
        <v>#DIV/0!</v>
      </c>
      <c r="D39" s="2853"/>
      <c r="E39" s="229" t="e">
        <f t="shared" si="7"/>
        <v>#DIV/0!</v>
      </c>
      <c r="F39" s="935">
        <f>SUMIF(修正!A45:A56,G2,修正!H45:H56)</f>
        <v>0</v>
      </c>
      <c r="G39" s="229" t="e">
        <f t="shared" si="6"/>
        <v>#DIV/0!</v>
      </c>
      <c r="H39" s="229">
        <f t="shared" si="8"/>
        <v>0</v>
      </c>
      <c r="I39" s="229" t="e">
        <f t="shared" si="9"/>
        <v>#DIV/0!</v>
      </c>
      <c r="J39" s="2870"/>
      <c r="K39" s="1373"/>
      <c r="L39" s="2871" t="s">
        <v>2881</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2941</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2942</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2943</v>
      </c>
      <c r="B47" s="1811" t="s">
        <v>2944</v>
      </c>
      <c r="C47" s="1811" t="s">
        <v>2945</v>
      </c>
      <c r="D47" s="1811" t="s">
        <v>2946</v>
      </c>
      <c r="E47" s="819" t="s">
        <v>2947</v>
      </c>
      <c r="F47" s="2881" t="s">
        <v>2948</v>
      </c>
      <c r="G47" s="1811" t="s">
        <v>754</v>
      </c>
      <c r="H47" s="2882" t="s">
        <v>2949</v>
      </c>
      <c r="I47" s="1811" t="s">
        <v>2950</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0" t="s">
        <v>2951</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2952</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2953</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2954</v>
      </c>
      <c r="B51" s="2885" t="s">
        <v>2955</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2956</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2957</v>
      </c>
      <c r="B53" s="2886" t="s">
        <v>2958</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2959</v>
      </c>
      <c r="B54" s="1727"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2960</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2961</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2962</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2943</v>
      </c>
      <c r="B58" s="1811"/>
      <c r="C58" s="1811" t="s">
        <v>2945</v>
      </c>
      <c r="D58" s="1811" t="s">
        <v>2946</v>
      </c>
      <c r="E58" s="819" t="s">
        <v>2947</v>
      </c>
      <c r="F58" s="2881" t="s">
        <v>2963</v>
      </c>
      <c r="G58" s="1811" t="s">
        <v>754</v>
      </c>
      <c r="H58" s="2882" t="s">
        <v>2949</v>
      </c>
      <c r="I58" s="1811" t="s">
        <v>2950</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0" t="s">
        <v>2964</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2952</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2953</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2954</v>
      </c>
      <c r="B62" s="2885" t="s">
        <v>2955</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2956</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2957</v>
      </c>
      <c r="B64" s="2886" t="s">
        <v>2958</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2959</v>
      </c>
      <c r="B65" s="1727"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2960</v>
      </c>
      <c r="B66" s="1727"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2961</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2965</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2943</v>
      </c>
      <c r="B69" s="1811"/>
      <c r="C69" s="1811" t="s">
        <v>2945</v>
      </c>
      <c r="D69" s="1811" t="s">
        <v>2946</v>
      </c>
      <c r="E69" s="819" t="s">
        <v>2947</v>
      </c>
      <c r="F69" s="2881" t="s">
        <v>2963</v>
      </c>
      <c r="G69" s="1811" t="s">
        <v>754</v>
      </c>
      <c r="H69" s="2882" t="s">
        <v>2949</v>
      </c>
      <c r="I69" s="1811" t="s">
        <v>2950</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0" t="s">
        <v>2966</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2952</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2953</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2967</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2959</v>
      </c>
      <c r="B74" s="1727"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2960</v>
      </c>
      <c r="B75" s="1727"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2957</v>
      </c>
      <c r="B76" s="2886" t="s">
        <v>2958</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2961</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2968</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2969</v>
      </c>
      <c r="B79" s="2877">
        <f>1+E81</f>
        <v>1</v>
      </c>
      <c r="C79" s="814"/>
      <c r="D79" s="814"/>
      <c r="E79" s="815"/>
      <c r="F79" s="2879"/>
      <c r="G79" s="6"/>
      <c r="H79" s="6"/>
      <c r="I79" s="6"/>
      <c r="J79" s="7"/>
      <c r="K79" s="7"/>
      <c r="L79" s="7"/>
      <c r="M79" s="7"/>
      <c r="N79" s="7"/>
      <c r="Z79" s="2722"/>
      <c r="AA79" s="2798"/>
      <c r="AG79" s="1375"/>
      <c r="AK79" s="2798"/>
    </row>
    <row r="80" spans="1:37" ht="24.75">
      <c r="A80" s="2880" t="s">
        <v>2943</v>
      </c>
      <c r="B80" s="1811"/>
      <c r="C80" s="1811" t="s">
        <v>2945</v>
      </c>
      <c r="D80" s="1811" t="s">
        <v>2946</v>
      </c>
      <c r="E80" s="819" t="s">
        <v>2947</v>
      </c>
      <c r="F80" s="2881" t="s">
        <v>2963</v>
      </c>
      <c r="G80" s="1811" t="s">
        <v>754</v>
      </c>
      <c r="H80" s="2882" t="s">
        <v>2949</v>
      </c>
      <c r="I80" s="1811" t="s">
        <v>2950</v>
      </c>
      <c r="J80" s="603" t="s">
        <v>2596</v>
      </c>
      <c r="K80" s="603" t="s">
        <v>2597</v>
      </c>
      <c r="L80" s="603" t="s">
        <v>2598</v>
      </c>
      <c r="M80" s="603" t="s">
        <v>2599</v>
      </c>
      <c r="N80" s="603" t="s">
        <v>2600</v>
      </c>
      <c r="Z80" s="2722"/>
      <c r="AA80" s="2798"/>
      <c r="AG80" s="1375"/>
      <c r="AK80" s="2798"/>
    </row>
    <row r="81" spans="1:37" ht="38.25">
      <c r="A81" s="2880" t="s">
        <v>2970</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2952</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2953</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2967</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2959</v>
      </c>
      <c r="B85" s="1727"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2960</v>
      </c>
      <c r="B86" s="1727"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2957</v>
      </c>
      <c r="B87" s="2886" t="s">
        <v>2971</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2972</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81" t="s">
        <v>2973</v>
      </c>
      <c r="B90" s="3281"/>
      <c r="C90" s="3281"/>
      <c r="D90" s="3281"/>
      <c r="E90" s="3281"/>
      <c r="F90" s="3281"/>
      <c r="G90" s="3281"/>
      <c r="H90" s="3281"/>
      <c r="I90" s="3281"/>
      <c r="J90" s="3281"/>
      <c r="K90" s="2894"/>
      <c r="L90" s="2894"/>
      <c r="M90" s="2894"/>
      <c r="N90" s="2894"/>
    </row>
    <row r="91" spans="1:37">
      <c r="A91" s="3283" t="s">
        <v>2974</v>
      </c>
      <c r="B91" s="3283" t="s">
        <v>2975</v>
      </c>
      <c r="C91" s="2848" t="s">
        <v>2976</v>
      </c>
      <c r="D91" s="2849"/>
      <c r="E91" s="2849"/>
      <c r="F91" s="2849"/>
      <c r="G91" s="2849"/>
      <c r="H91" s="2849"/>
      <c r="I91" s="2849"/>
      <c r="J91" s="2895"/>
      <c r="K91" s="2896"/>
      <c r="L91" s="2896"/>
      <c r="M91" s="2896"/>
      <c r="N91" s="2896"/>
    </row>
    <row r="92" spans="1:37">
      <c r="A92" s="3283"/>
      <c r="B92" s="3283"/>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84" t="s">
        <v>2977</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85"/>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85"/>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85"/>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85"/>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85"/>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85"/>
      <c r="B99" s="2897" t="s">
        <v>2856</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86"/>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84" t="s">
        <v>2978</v>
      </c>
      <c r="B101" s="2901" t="s">
        <v>2979</v>
      </c>
      <c r="C101" s="2902">
        <f>$G$3</f>
        <v>2.63</v>
      </c>
      <c r="D101" s="2902">
        <f t="shared" ref="D101:N101" si="31">$G$3</f>
        <v>2.63</v>
      </c>
      <c r="E101" s="2902">
        <f t="shared" si="31"/>
        <v>2.63</v>
      </c>
      <c r="F101" s="2902">
        <f t="shared" si="31"/>
        <v>2.63</v>
      </c>
      <c r="G101" s="2902">
        <f t="shared" si="31"/>
        <v>2.63</v>
      </c>
      <c r="H101" s="2902">
        <f t="shared" si="31"/>
        <v>2.63</v>
      </c>
      <c r="I101" s="2902">
        <f t="shared" si="31"/>
        <v>2.63</v>
      </c>
      <c r="J101" s="2902">
        <f t="shared" si="31"/>
        <v>2.63</v>
      </c>
      <c r="K101" s="2902">
        <f t="shared" si="31"/>
        <v>2.63</v>
      </c>
      <c r="L101" s="2902">
        <f t="shared" si="31"/>
        <v>2.63</v>
      </c>
      <c r="M101" s="2902">
        <f t="shared" si="31"/>
        <v>2.63</v>
      </c>
      <c r="N101" s="2902">
        <f t="shared" si="31"/>
        <v>2.63</v>
      </c>
    </row>
    <row r="102" spans="1:14">
      <c r="A102" s="3285"/>
      <c r="B102" s="2897">
        <v>1</v>
      </c>
      <c r="C102" s="2898">
        <f>1.9362/C101</f>
        <v>0.73619771863117867</v>
      </c>
      <c r="D102" s="2898">
        <f>1.9362/D101</f>
        <v>0.73619771863117867</v>
      </c>
      <c r="E102" s="2898">
        <f>1.8629/E101</f>
        <v>0.70832699619771866</v>
      </c>
      <c r="F102" s="2898">
        <f>1.8629/F101</f>
        <v>0.70832699619771866</v>
      </c>
      <c r="G102" s="2898">
        <f>1.8629/G101</f>
        <v>0.70832699619771866</v>
      </c>
      <c r="H102" s="2898">
        <f>1.8629/H101</f>
        <v>0.70832699619771866</v>
      </c>
      <c r="I102" s="2898">
        <f>1.8629/I101</f>
        <v>0.70832699619771866</v>
      </c>
      <c r="J102" s="2898">
        <f>1.942/J101</f>
        <v>0.73840304182509509</v>
      </c>
      <c r="K102" s="2898">
        <f>1.942/K101</f>
        <v>0.73840304182509509</v>
      </c>
      <c r="L102" s="2898">
        <f>1.942/L101</f>
        <v>0.73840304182509509</v>
      </c>
      <c r="M102" s="2898">
        <f>1.942/M101</f>
        <v>0.73840304182509509</v>
      </c>
      <c r="N102" s="2898">
        <f>1.942/N101</f>
        <v>0.73840304182509509</v>
      </c>
    </row>
    <row r="103" spans="1:14">
      <c r="A103" s="3285"/>
      <c r="B103" s="2897">
        <v>2</v>
      </c>
      <c r="C103" s="2898">
        <f>1.4198/C101</f>
        <v>0.53984790874524713</v>
      </c>
      <c r="D103" s="2898">
        <f>1.4198/D101</f>
        <v>0.53984790874524713</v>
      </c>
      <c r="E103" s="2898">
        <f>1.3372/E101</f>
        <v>0.50844106463878325</v>
      </c>
      <c r="F103" s="2898">
        <f>1.3372/F101</f>
        <v>0.50844106463878325</v>
      </c>
      <c r="G103" s="2898">
        <f>1.3372/G101</f>
        <v>0.50844106463878325</v>
      </c>
      <c r="H103" s="2898">
        <f>1.3372/H101</f>
        <v>0.50844106463878325</v>
      </c>
      <c r="I103" s="2898">
        <f>1.3372/I101</f>
        <v>0.50844106463878325</v>
      </c>
      <c r="J103" s="2898">
        <f>1.2799/J101</f>
        <v>0.48665399239543727</v>
      </c>
      <c r="K103" s="2898">
        <f>1.2799/K101</f>
        <v>0.48665399239543727</v>
      </c>
      <c r="L103" s="2898">
        <f>1.2799/L101</f>
        <v>0.48665399239543727</v>
      </c>
      <c r="M103" s="2898">
        <f>1.2799/M101</f>
        <v>0.48665399239543727</v>
      </c>
      <c r="N103" s="2898">
        <f>1.2799/N101</f>
        <v>0.48665399239543727</v>
      </c>
    </row>
    <row r="104" spans="1:14">
      <c r="A104" s="3285"/>
      <c r="B104" s="2897">
        <v>3</v>
      </c>
      <c r="C104" s="2898">
        <f>1.1594/C101</f>
        <v>0.44083650190114071</v>
      </c>
      <c r="D104" s="2898">
        <f>1.1594/D101</f>
        <v>0.44083650190114071</v>
      </c>
      <c r="E104" s="2898">
        <f>1.0788/E101</f>
        <v>0.41019011406844108</v>
      </c>
      <c r="F104" s="2898">
        <f>1.0788/F101</f>
        <v>0.41019011406844108</v>
      </c>
      <c r="G104" s="2898">
        <f>1.0788/G101</f>
        <v>0.41019011406844108</v>
      </c>
      <c r="H104" s="2898">
        <f>1.0788/H101</f>
        <v>0.41019011406844108</v>
      </c>
      <c r="I104" s="2898">
        <f>1.0788/I101</f>
        <v>0.41019011406844108</v>
      </c>
      <c r="J104" s="2898">
        <f>1.0072/J101</f>
        <v>0.38296577946768068</v>
      </c>
      <c r="K104" s="2898">
        <f>1.0072/K101</f>
        <v>0.38296577946768068</v>
      </c>
      <c r="L104" s="2898">
        <f>1.0072/L101</f>
        <v>0.38296577946768068</v>
      </c>
      <c r="M104" s="2898">
        <f>1.0072/M101</f>
        <v>0.38296577946768068</v>
      </c>
      <c r="N104" s="2898">
        <f>1.0072/N101</f>
        <v>0.38296577946768068</v>
      </c>
    </row>
    <row r="105" spans="1:14">
      <c r="A105" s="3285"/>
      <c r="B105" s="2897">
        <v>4</v>
      </c>
      <c r="C105" s="2898">
        <f>0.9622/C101</f>
        <v>0.36585551330798483</v>
      </c>
      <c r="D105" s="2898">
        <f>0.9622/D101</f>
        <v>0.36585551330798483</v>
      </c>
      <c r="E105" s="2898">
        <f>0.8656/E101</f>
        <v>0.32912547528517111</v>
      </c>
      <c r="F105" s="2898">
        <f>0.8656/F101</f>
        <v>0.32912547528517111</v>
      </c>
      <c r="G105" s="2898">
        <f>0.8656/G101</f>
        <v>0.32912547528517111</v>
      </c>
      <c r="H105" s="2898">
        <f>0.8656/H101</f>
        <v>0.32912547528517111</v>
      </c>
      <c r="I105" s="2898">
        <f>0.8656/I101</f>
        <v>0.32912547528517111</v>
      </c>
      <c r="J105" s="2898">
        <f>0.7525/J101</f>
        <v>0.28612167300380226</v>
      </c>
      <c r="K105" s="2898">
        <f>0.7525/K101</f>
        <v>0.28612167300380226</v>
      </c>
      <c r="L105" s="2898">
        <f>0.7525/L101</f>
        <v>0.28612167300380226</v>
      </c>
      <c r="M105" s="2898">
        <f>0.7525/M101</f>
        <v>0.28612167300380226</v>
      </c>
      <c r="N105" s="2898">
        <f>0.7525/N101</f>
        <v>0.28612167300380226</v>
      </c>
    </row>
    <row r="106" spans="1:14">
      <c r="A106" s="3285"/>
      <c r="B106" s="2897">
        <v>5</v>
      </c>
      <c r="C106" s="2898">
        <f>0.8417/C101</f>
        <v>0.32003802281368821</v>
      </c>
      <c r="D106" s="2898">
        <f>0.8417/D101</f>
        <v>0.32003802281368821</v>
      </c>
      <c r="E106" s="2898">
        <f>0.7371/E101</f>
        <v>0.28026615969581747</v>
      </c>
      <c r="F106" s="2898">
        <f>0.7371/F101</f>
        <v>0.28026615969581747</v>
      </c>
      <c r="G106" s="2898">
        <f>0.7371/G101</f>
        <v>0.28026615969581747</v>
      </c>
      <c r="H106" s="2898">
        <f>0.7371/H101</f>
        <v>0.28026615969581747</v>
      </c>
      <c r="I106" s="2898">
        <f>0.7371/I101</f>
        <v>0.28026615969581747</v>
      </c>
      <c r="J106" s="2898">
        <f>0.5659/J101</f>
        <v>0.21517110266159695</v>
      </c>
      <c r="K106" s="2898">
        <f>0.5659/K101</f>
        <v>0.21517110266159695</v>
      </c>
      <c r="L106" s="2898">
        <f>0.5659/L101</f>
        <v>0.21517110266159695</v>
      </c>
      <c r="M106" s="2898">
        <f>0.5659/M101</f>
        <v>0.21517110266159695</v>
      </c>
      <c r="N106" s="2898">
        <f>0.5659/N101</f>
        <v>0.21517110266159695</v>
      </c>
    </row>
    <row r="107" spans="1:14">
      <c r="A107" s="3285"/>
      <c r="B107" s="2897">
        <v>6</v>
      </c>
      <c r="C107" s="2898">
        <f>0.7608/C101</f>
        <v>0.28927756653992398</v>
      </c>
      <c r="D107" s="2898">
        <f>0.7608/D101</f>
        <v>0.28927756653992398</v>
      </c>
      <c r="E107" s="2898">
        <f>0.6482/E101</f>
        <v>0.24646387832699621</v>
      </c>
      <c r="F107" s="2898">
        <f>0.6482/F101</f>
        <v>0.24646387832699621</v>
      </c>
      <c r="G107" s="2898">
        <f>0.6482/G101</f>
        <v>0.24646387832699621</v>
      </c>
      <c r="H107" s="2898">
        <f>0.6482/H101</f>
        <v>0.24646387832699621</v>
      </c>
      <c r="I107" s="2898">
        <f>0.6482/I101</f>
        <v>0.24646387832699621</v>
      </c>
      <c r="J107" s="2898">
        <f>0.4525/J101</f>
        <v>0.1720532319391635</v>
      </c>
      <c r="K107" s="2898">
        <f>0.4525/K101</f>
        <v>0.1720532319391635</v>
      </c>
      <c r="L107" s="2898">
        <f>0.4525/L101</f>
        <v>0.1720532319391635</v>
      </c>
      <c r="M107" s="2898">
        <f>0.4525/M101</f>
        <v>0.1720532319391635</v>
      </c>
      <c r="N107" s="2898">
        <f>0.4525/N101</f>
        <v>0.1720532319391635</v>
      </c>
    </row>
    <row r="108" spans="1:14">
      <c r="A108" s="3285"/>
      <c r="B108" s="3139" t="s">
        <v>2980</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86"/>
      <c r="B109" s="3140"/>
      <c r="C109" s="2900">
        <f>(-0.163*(C108^2)-0.59*C108+7617)*(10^(-4))/C101</f>
        <v>0.28961977186311788</v>
      </c>
      <c r="D109" s="2900">
        <f>(-0.163*(D108^2)-0.59*D108+7617)*(10^(-4))/D101</f>
        <v>0.28961977186311788</v>
      </c>
      <c r="E109" s="2900">
        <f>(-0.161*(E108^2)-7.509*E108+6533)*(10^(-4))/E101</f>
        <v>0.24840304182509507</v>
      </c>
      <c r="F109" s="2900">
        <f>(-0.161*(F108^2)-7.509*F108+6533)*(10^(-4))/F101</f>
        <v>0.24840304182509507</v>
      </c>
      <c r="G109" s="2900">
        <f>(-0.161*(G108^2)-7.509*G108+6533)*(10^(-4))/G101</f>
        <v>0.24840304182509507</v>
      </c>
      <c r="H109" s="2900">
        <f>(-0.161*(H108^2)-7.509*H108+6533)*(10^(-4))/H101</f>
        <v>0.24840304182509507</v>
      </c>
      <c r="I109" s="2900">
        <f>(-0.161*(I108^2)-7.509*I108+6533)*(10^(-4))/I101</f>
        <v>0.24840304182509507</v>
      </c>
      <c r="J109" s="2900">
        <f>(-0.214*(J108^2)-21.991*J108+4665)*(10^(-4))/J101</f>
        <v>0.17737642585551333</v>
      </c>
      <c r="K109" s="2900">
        <f>(-0.214*(K108^2)-21.991*K108+4665)*(10^(-4))/K101</f>
        <v>0.17737642585551333</v>
      </c>
      <c r="L109" s="2900">
        <f>(-0.214*(L108^2)-21.991*L108+4665)*(10^(-4))/L101</f>
        <v>0.17737642585551333</v>
      </c>
      <c r="M109" s="2900">
        <f>(-0.214*(M108^2)-21.991*M108+4665)*(10^(-4))/M101</f>
        <v>0.17737642585551333</v>
      </c>
      <c r="N109" s="2900">
        <f>(-0.214*(N108^2)-21.991*N108+4665)*(10^(-4))/N101</f>
        <v>0.17737642585551333</v>
      </c>
    </row>
    <row r="110" spans="1:14">
      <c r="A110" s="3282" t="s">
        <v>2981</v>
      </c>
      <c r="B110" s="3282"/>
      <c r="C110" s="3282"/>
      <c r="D110" s="3282"/>
      <c r="E110" s="3282"/>
      <c r="F110" s="3282"/>
      <c r="G110" s="3282"/>
      <c r="H110" s="3282"/>
      <c r="I110" s="3282"/>
      <c r="J110" s="3282"/>
      <c r="K110" s="2903"/>
      <c r="L110" s="2903"/>
      <c r="M110" s="2903"/>
      <c r="N110" s="2903"/>
    </row>
    <row r="112" spans="1:14" ht="13.5" thickBot="1"/>
    <row r="113" spans="1:13" ht="25.5" thickBot="1">
      <c r="A113" s="903" t="s">
        <v>2982</v>
      </c>
      <c r="B113" s="1290">
        <f>G3</f>
        <v>2.63</v>
      </c>
      <c r="C113" s="904" t="s">
        <v>2983</v>
      </c>
      <c r="D113" s="905">
        <f>SUMPRODUCT((A115:A118=F113)*(B114:M114=H113)*B115:M118)</f>
        <v>0</v>
      </c>
      <c r="E113" s="2726" t="s">
        <v>2813</v>
      </c>
      <c r="F113" s="2905">
        <f>E2</f>
        <v>0</v>
      </c>
      <c r="G113" s="2726" t="s">
        <v>2814</v>
      </c>
      <c r="H113" s="2905">
        <f>G2</f>
        <v>0</v>
      </c>
      <c r="I113" s="2726"/>
      <c r="J113" s="2906"/>
      <c r="K113" s="2906"/>
      <c r="L113" s="2906"/>
      <c r="M113" s="2906"/>
    </row>
    <row r="114" spans="1:13">
      <c r="A114" s="908"/>
      <c r="B114" s="2907" t="s">
        <v>2984</v>
      </c>
      <c r="C114" s="2907" t="s">
        <v>2985</v>
      </c>
      <c r="D114" s="2907" t="s">
        <v>2986</v>
      </c>
      <c r="E114" s="2908" t="s">
        <v>2987</v>
      </c>
      <c r="F114" s="2908" t="s">
        <v>2988</v>
      </c>
      <c r="G114" s="2908" t="s">
        <v>2989</v>
      </c>
      <c r="H114" s="2909" t="s">
        <v>2990</v>
      </c>
      <c r="I114" s="2909" t="s">
        <v>2991</v>
      </c>
      <c r="J114" s="2910" t="s">
        <v>2992</v>
      </c>
      <c r="K114" s="2910" t="s">
        <v>2993</v>
      </c>
      <c r="L114" s="2910" t="s">
        <v>2994</v>
      </c>
      <c r="M114" s="2911" t="s">
        <v>2995</v>
      </c>
    </row>
    <row r="115" spans="1:13">
      <c r="A115" s="909" t="s">
        <v>2878</v>
      </c>
      <c r="B115" s="910">
        <f>ROUND(0.9335-0.0094*B113,4)</f>
        <v>0.90880000000000005</v>
      </c>
      <c r="C115" s="910">
        <f>B115</f>
        <v>0.90880000000000005</v>
      </c>
      <c r="D115" s="910">
        <f>ROUND(0.8331-0.0109*B113,4)</f>
        <v>0.8044</v>
      </c>
      <c r="E115" s="910">
        <f>D115</f>
        <v>0.8044</v>
      </c>
      <c r="F115" s="910">
        <f>E115</f>
        <v>0.8044</v>
      </c>
      <c r="G115" s="910">
        <f>F115</f>
        <v>0.8044</v>
      </c>
      <c r="H115" s="910">
        <f>G115</f>
        <v>0.8044</v>
      </c>
      <c r="I115" s="910">
        <f>ROUND(0.689-0.0155*B113,4)</f>
        <v>0.6482</v>
      </c>
      <c r="J115" s="910">
        <f t="shared" ref="J115:M118" si="33">I115</f>
        <v>0.6482</v>
      </c>
      <c r="K115" s="910">
        <f t="shared" si="33"/>
        <v>0.6482</v>
      </c>
      <c r="L115" s="910">
        <f t="shared" si="33"/>
        <v>0.6482</v>
      </c>
      <c r="M115" s="911">
        <f t="shared" si="33"/>
        <v>0.6482</v>
      </c>
    </row>
    <row r="116" spans="1:13">
      <c r="A116" s="909" t="s">
        <v>2879</v>
      </c>
      <c r="B116" s="910">
        <f>ROUND(0.949-0.012*B113,4)</f>
        <v>0.91739999999999999</v>
      </c>
      <c r="C116" s="910">
        <f>B116</f>
        <v>0.91739999999999999</v>
      </c>
      <c r="D116" s="910">
        <f>ROUND(0.8567-0.013*B113,4)</f>
        <v>0.82250000000000001</v>
      </c>
      <c r="E116" s="910">
        <f t="shared" ref="E116:H117" si="34">D116</f>
        <v>0.82250000000000001</v>
      </c>
      <c r="F116" s="910">
        <f t="shared" si="34"/>
        <v>0.82250000000000001</v>
      </c>
      <c r="G116" s="910">
        <f t="shared" si="34"/>
        <v>0.82250000000000001</v>
      </c>
      <c r="H116" s="910">
        <f t="shared" si="34"/>
        <v>0.82250000000000001</v>
      </c>
      <c r="I116" s="910">
        <f>ROUND(0.7694-0.014*B113,4)</f>
        <v>0.73260000000000003</v>
      </c>
      <c r="J116" s="910">
        <f t="shared" si="33"/>
        <v>0.73260000000000003</v>
      </c>
      <c r="K116" s="910">
        <f t="shared" si="33"/>
        <v>0.73260000000000003</v>
      </c>
      <c r="L116" s="910">
        <f t="shared" si="33"/>
        <v>0.73260000000000003</v>
      </c>
      <c r="M116" s="911">
        <f t="shared" si="33"/>
        <v>0.73260000000000003</v>
      </c>
    </row>
    <row r="117" spans="1:13">
      <c r="A117" s="909" t="s">
        <v>2880</v>
      </c>
      <c r="B117" s="910">
        <f>ROUND(0.8808-0.006*B113,4)</f>
        <v>0.86499999999999999</v>
      </c>
      <c r="C117" s="910">
        <f>B117</f>
        <v>0.86499999999999999</v>
      </c>
      <c r="D117" s="910">
        <f>ROUND(0.8748-0.008*B113,4)</f>
        <v>0.8538</v>
      </c>
      <c r="E117" s="910">
        <f t="shared" si="34"/>
        <v>0.8538</v>
      </c>
      <c r="F117" s="910">
        <f t="shared" si="34"/>
        <v>0.8538</v>
      </c>
      <c r="G117" s="910">
        <f t="shared" si="34"/>
        <v>0.8538</v>
      </c>
      <c r="H117" s="910">
        <f t="shared" si="34"/>
        <v>0.8538</v>
      </c>
      <c r="I117" s="910">
        <f>ROUND(0.7412-0.0095*B113,4)</f>
        <v>0.71619999999999995</v>
      </c>
      <c r="J117" s="910">
        <f t="shared" si="33"/>
        <v>0.71619999999999995</v>
      </c>
      <c r="K117" s="910">
        <f t="shared" si="33"/>
        <v>0.71619999999999995</v>
      </c>
      <c r="L117" s="910">
        <f t="shared" si="33"/>
        <v>0.71619999999999995</v>
      </c>
      <c r="M117" s="911">
        <f t="shared" si="33"/>
        <v>0.71619999999999995</v>
      </c>
    </row>
    <row r="118" spans="1:13" ht="13.5" thickBot="1">
      <c r="A118" s="714" t="s">
        <v>2881</v>
      </c>
      <c r="B118" s="912">
        <f>ROUND(0.7275-0.01*B113,4)</f>
        <v>0.70120000000000005</v>
      </c>
      <c r="C118" s="912">
        <f>B118</f>
        <v>0.70120000000000005</v>
      </c>
      <c r="D118" s="912">
        <f>ROUND(0.7043-0.012*B113,4)</f>
        <v>0.67269999999999996</v>
      </c>
      <c r="E118" s="912">
        <f>D118</f>
        <v>0.67269999999999996</v>
      </c>
      <c r="F118" s="912">
        <f>E118</f>
        <v>0.67269999999999996</v>
      </c>
      <c r="G118" s="912">
        <f>ROUND(0.6299-0.0122*B113,4)</f>
        <v>0.5978</v>
      </c>
      <c r="H118" s="912">
        <f>G118</f>
        <v>0.5978</v>
      </c>
      <c r="I118" s="912">
        <f>ROUND(0.5667-0.0136*B113,4)</f>
        <v>0.53090000000000004</v>
      </c>
      <c r="J118" s="912">
        <f t="shared" si="33"/>
        <v>0.53090000000000004</v>
      </c>
      <c r="K118" s="912">
        <f t="shared" si="33"/>
        <v>0.53090000000000004</v>
      </c>
      <c r="L118" s="912">
        <f t="shared" si="33"/>
        <v>0.53090000000000004</v>
      </c>
      <c r="M118" s="913">
        <f t="shared" si="33"/>
        <v>0.53090000000000004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0" t="s">
        <v>183</v>
      </c>
      <c r="B18" s="882" t="s">
        <v>560</v>
      </c>
      <c r="C18" s="883" t="s">
        <v>561</v>
      </c>
      <c r="D18" s="884"/>
      <c r="E18" s="882">
        <v>1</v>
      </c>
      <c r="F18" s="885" t="s">
        <v>562</v>
      </c>
      <c r="G18" s="886"/>
      <c r="H18" s="878"/>
      <c r="I18" s="878"/>
    </row>
    <row r="19" spans="1:9" s="887" customFormat="1" ht="19.5" customHeight="1">
      <c r="A19" s="3290"/>
      <c r="B19" s="3290" t="s">
        <v>563</v>
      </c>
      <c r="C19" s="883" t="s">
        <v>564</v>
      </c>
      <c r="D19" s="884"/>
      <c r="E19" s="882">
        <v>0.9</v>
      </c>
      <c r="F19" s="885" t="s">
        <v>565</v>
      </c>
      <c r="G19" s="886"/>
      <c r="H19" s="878"/>
      <c r="I19" s="878"/>
    </row>
    <row r="20" spans="1:9" s="887" customFormat="1" ht="19.5" customHeight="1">
      <c r="A20" s="3290"/>
      <c r="B20" s="3290"/>
      <c r="C20" s="883" t="s">
        <v>566</v>
      </c>
      <c r="D20" s="884"/>
      <c r="E20" s="882">
        <v>1.1000000000000001</v>
      </c>
      <c r="F20" s="885" t="s">
        <v>567</v>
      </c>
      <c r="G20" s="886"/>
      <c r="H20" s="878"/>
      <c r="I20" s="878"/>
    </row>
    <row r="21" spans="1:9" s="887" customFormat="1" ht="19.5" customHeight="1">
      <c r="A21" s="3290"/>
      <c r="B21" s="3290"/>
      <c r="C21" s="883" t="s">
        <v>568</v>
      </c>
      <c r="D21" s="884"/>
      <c r="E21" s="882">
        <v>0.8</v>
      </c>
      <c r="F21" s="885" t="s">
        <v>569</v>
      </c>
      <c r="G21" s="886"/>
      <c r="H21" s="878"/>
      <c r="I21" s="878"/>
    </row>
    <row r="22" spans="1:9" s="887" customFormat="1" ht="19.5" customHeight="1">
      <c r="A22" s="3290"/>
      <c r="B22" s="3290"/>
      <c r="C22" s="883" t="s">
        <v>570</v>
      </c>
      <c r="D22" s="884"/>
      <c r="E22" s="882">
        <v>0.5</v>
      </c>
      <c r="F22" s="885"/>
      <c r="G22" s="886"/>
      <c r="H22" s="878"/>
      <c r="I22" s="878"/>
    </row>
    <row r="23" spans="1:9" s="887" customFormat="1" ht="19.5" customHeight="1">
      <c r="A23" s="3290" t="s">
        <v>184</v>
      </c>
      <c r="B23" s="882" t="s">
        <v>560</v>
      </c>
      <c r="C23" s="883" t="s">
        <v>571</v>
      </c>
      <c r="D23" s="884"/>
      <c r="E23" s="882">
        <v>1</v>
      </c>
      <c r="F23" s="885" t="s">
        <v>572</v>
      </c>
      <c r="G23" s="886"/>
      <c r="H23" s="878"/>
      <c r="I23" s="878"/>
    </row>
    <row r="24" spans="1:9" s="887" customFormat="1" ht="19.5" customHeight="1">
      <c r="A24" s="3290"/>
      <c r="B24" s="3290" t="s">
        <v>563</v>
      </c>
      <c r="C24" s="883" t="s">
        <v>573</v>
      </c>
      <c r="D24" s="884"/>
      <c r="E24" s="882">
        <v>0.5</v>
      </c>
      <c r="F24" s="885"/>
      <c r="G24" s="886"/>
      <c r="H24" s="878"/>
      <c r="I24" s="878"/>
    </row>
    <row r="25" spans="1:9" s="887" customFormat="1" ht="19.5" customHeight="1">
      <c r="A25" s="3290"/>
      <c r="B25" s="3290"/>
      <c r="C25" s="883" t="s">
        <v>574</v>
      </c>
      <c r="D25" s="884"/>
      <c r="E25" s="882">
        <v>1.1000000000000001</v>
      </c>
      <c r="F25" s="885"/>
      <c r="G25" s="886"/>
      <c r="H25" s="878"/>
      <c r="I25" s="878"/>
    </row>
    <row r="26" spans="1:9" s="887" customFormat="1" ht="19.5" customHeight="1">
      <c r="A26" s="3290"/>
      <c r="B26" s="3290"/>
      <c r="C26" s="883" t="s">
        <v>575</v>
      </c>
      <c r="D26" s="884"/>
      <c r="E26" s="882">
        <v>1.1000000000000001</v>
      </c>
      <c r="F26" s="885"/>
      <c r="G26" s="886"/>
      <c r="H26" s="878"/>
      <c r="I26" s="878"/>
    </row>
    <row r="27" spans="1:9" s="887" customFormat="1" ht="19.5" customHeight="1">
      <c r="A27" s="3290"/>
      <c r="B27" s="3290"/>
      <c r="C27" s="883" t="s">
        <v>576</v>
      </c>
      <c r="D27" s="884"/>
      <c r="E27" s="882">
        <v>0.9</v>
      </c>
      <c r="F27" s="885" t="s">
        <v>577</v>
      </c>
      <c r="G27" s="886"/>
      <c r="H27" s="878"/>
      <c r="I27" s="878"/>
    </row>
    <row r="28" spans="1:9" s="887" customFormat="1" ht="19.5" customHeight="1">
      <c r="A28" s="3290"/>
      <c r="B28" s="3290"/>
      <c r="C28" s="883" t="s">
        <v>578</v>
      </c>
      <c r="D28" s="884"/>
      <c r="E28" s="882">
        <v>0.9</v>
      </c>
      <c r="F28" s="885" t="s">
        <v>579</v>
      </c>
      <c r="G28" s="886"/>
      <c r="H28" s="878"/>
      <c r="I28" s="878"/>
    </row>
    <row r="29" spans="1:9" s="887" customFormat="1" ht="19.5" customHeight="1">
      <c r="A29" s="3290"/>
      <c r="B29" s="3290"/>
      <c r="C29" s="883" t="s">
        <v>580</v>
      </c>
      <c r="D29" s="884"/>
      <c r="E29" s="882">
        <v>0.9</v>
      </c>
      <c r="F29" s="885" t="s">
        <v>581</v>
      </c>
      <c r="G29" s="886"/>
      <c r="H29" s="878"/>
      <c r="I29" s="878"/>
    </row>
    <row r="30" spans="1:9" s="887" customFormat="1" ht="19.5" customHeight="1">
      <c r="A30" s="3290"/>
      <c r="B30" s="3290"/>
      <c r="C30" s="883" t="s">
        <v>582</v>
      </c>
      <c r="D30" s="884"/>
      <c r="E30" s="882">
        <v>0.9</v>
      </c>
      <c r="F30" s="885" t="s">
        <v>583</v>
      </c>
      <c r="G30" s="886"/>
      <c r="H30" s="878"/>
      <c r="I30" s="878"/>
    </row>
    <row r="31" spans="1:9" s="887" customFormat="1" ht="19.5" customHeight="1">
      <c r="A31" s="3290"/>
      <c r="B31" s="3290"/>
      <c r="C31" s="883" t="s">
        <v>584</v>
      </c>
      <c r="D31" s="884"/>
      <c r="E31" s="882">
        <v>0.8</v>
      </c>
      <c r="F31" s="885" t="s">
        <v>585</v>
      </c>
      <c r="G31" s="886"/>
      <c r="H31" s="878"/>
      <c r="I31" s="878"/>
    </row>
    <row r="32" spans="1:9" s="887" customFormat="1" ht="19.5" customHeight="1">
      <c r="A32" s="3290"/>
      <c r="B32" s="3290"/>
      <c r="C32" s="883" t="s">
        <v>586</v>
      </c>
      <c r="D32" s="884"/>
      <c r="E32" s="882">
        <v>0.8</v>
      </c>
      <c r="F32" s="885" t="s">
        <v>587</v>
      </c>
      <c r="G32" s="886"/>
      <c r="H32" s="878"/>
      <c r="I32" s="878"/>
    </row>
    <row r="33" spans="1:9" s="887" customFormat="1" ht="19.5" customHeight="1">
      <c r="A33" s="3290" t="s">
        <v>185</v>
      </c>
      <c r="B33" s="882" t="s">
        <v>560</v>
      </c>
      <c r="C33" s="883" t="s">
        <v>588</v>
      </c>
      <c r="D33" s="884"/>
      <c r="E33" s="882">
        <v>1</v>
      </c>
      <c r="F33" s="885" t="s">
        <v>589</v>
      </c>
      <c r="G33" s="886"/>
      <c r="H33" s="878"/>
      <c r="I33" s="878"/>
    </row>
    <row r="34" spans="1:9" s="887" customFormat="1" ht="19.5" customHeight="1">
      <c r="A34" s="3290"/>
      <c r="B34" s="882" t="s">
        <v>563</v>
      </c>
      <c r="C34" s="883" t="s">
        <v>590</v>
      </c>
      <c r="D34" s="884"/>
      <c r="E34" s="882">
        <v>1.5</v>
      </c>
      <c r="F34" s="885" t="s">
        <v>591</v>
      </c>
      <c r="G34" s="886"/>
      <c r="H34" s="878"/>
      <c r="I34" s="878"/>
    </row>
    <row r="35" spans="1:9" s="887" customFormat="1" ht="19.5" customHeight="1">
      <c r="A35" s="3290" t="s">
        <v>186</v>
      </c>
      <c r="B35" s="882" t="s">
        <v>560</v>
      </c>
      <c r="C35" s="883" t="s">
        <v>592</v>
      </c>
      <c r="D35" s="884"/>
      <c r="E35" s="882">
        <v>1</v>
      </c>
      <c r="F35" s="885" t="s">
        <v>593</v>
      </c>
      <c r="G35" s="886"/>
      <c r="H35" s="878"/>
      <c r="I35" s="878"/>
    </row>
    <row r="36" spans="1:9" s="887" customFormat="1" ht="19.5" customHeight="1">
      <c r="A36" s="3290"/>
      <c r="B36" s="3290" t="s">
        <v>563</v>
      </c>
      <c r="C36" s="883" t="s">
        <v>594</v>
      </c>
      <c r="D36" s="884"/>
      <c r="E36" s="882">
        <v>1</v>
      </c>
      <c r="F36" s="885" t="s">
        <v>595</v>
      </c>
      <c r="G36" s="886"/>
      <c r="H36" s="878"/>
      <c r="I36" s="878"/>
    </row>
    <row r="37" spans="1:9" s="887" customFormat="1" ht="19.5" customHeight="1">
      <c r="A37" s="3290"/>
      <c r="B37" s="3290"/>
      <c r="C37" s="883" t="s">
        <v>596</v>
      </c>
      <c r="D37" s="884"/>
      <c r="E37" s="882">
        <v>1.5</v>
      </c>
      <c r="F37" s="885" t="s">
        <v>597</v>
      </c>
      <c r="G37" s="886"/>
      <c r="H37" s="878"/>
      <c r="I37" s="878"/>
    </row>
    <row r="38" spans="1:9" s="887" customFormat="1" ht="19.5" customHeight="1">
      <c r="A38" s="3290"/>
      <c r="B38" s="3290"/>
      <c r="C38" s="883" t="s">
        <v>598</v>
      </c>
      <c r="D38" s="884"/>
      <c r="E38" s="882">
        <v>1</v>
      </c>
      <c r="F38" s="885" t="s">
        <v>599</v>
      </c>
      <c r="G38" s="886"/>
      <c r="H38" s="878"/>
      <c r="I38" s="878"/>
    </row>
    <row r="39" spans="1:9" s="887" customFormat="1" ht="19.5" customHeight="1">
      <c r="A39" s="3290"/>
      <c r="B39" s="329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0" t="s">
        <v>614</v>
      </c>
      <c r="C61" s="818" t="s">
        <v>615</v>
      </c>
      <c r="D61" s="818" t="s">
        <v>616</v>
      </c>
      <c r="E61" s="895">
        <v>0.5</v>
      </c>
      <c r="F61" s="882">
        <v>80</v>
      </c>
    </row>
    <row r="62" spans="1:8" s="878" customFormat="1" ht="24">
      <c r="A62" s="882">
        <v>2</v>
      </c>
      <c r="B62" s="3290"/>
      <c r="C62" s="818" t="s">
        <v>617</v>
      </c>
      <c r="D62" s="818" t="s">
        <v>618</v>
      </c>
      <c r="E62" s="895">
        <v>0.5</v>
      </c>
      <c r="F62" s="882">
        <v>80</v>
      </c>
    </row>
    <row r="63" spans="1:8" s="878" customFormat="1" ht="36">
      <c r="A63" s="882">
        <v>3</v>
      </c>
      <c r="B63" s="3290"/>
      <c r="C63" s="818" t="s">
        <v>619</v>
      </c>
      <c r="D63" s="818" t="s">
        <v>620</v>
      </c>
      <c r="E63" s="895">
        <v>0.5</v>
      </c>
      <c r="F63" s="882">
        <v>80</v>
      </c>
    </row>
    <row r="64" spans="1:8" s="878" customFormat="1" ht="36">
      <c r="A64" s="882">
        <v>4</v>
      </c>
      <c r="B64" s="3290"/>
      <c r="C64" s="818" t="s">
        <v>621</v>
      </c>
      <c r="D64" s="818" t="s">
        <v>622</v>
      </c>
      <c r="E64" s="895">
        <v>0.4</v>
      </c>
      <c r="F64" s="882">
        <v>60</v>
      </c>
    </row>
    <row r="65" spans="1:6" s="878" customFormat="1" ht="36">
      <c r="A65" s="882">
        <v>5</v>
      </c>
      <c r="B65" s="3290"/>
      <c r="C65" s="818" t="s">
        <v>623</v>
      </c>
      <c r="D65" s="818" t="s">
        <v>624</v>
      </c>
      <c r="E65" s="895">
        <v>0.2</v>
      </c>
      <c r="F65" s="882">
        <v>30</v>
      </c>
    </row>
    <row r="66" spans="1:6" s="878" customFormat="1" ht="36">
      <c r="A66" s="882">
        <v>6</v>
      </c>
      <c r="B66" s="3290"/>
      <c r="C66" s="818" t="s">
        <v>625</v>
      </c>
      <c r="D66" s="818" t="s">
        <v>626</v>
      </c>
      <c r="E66" s="895">
        <v>0.3</v>
      </c>
      <c r="F66" s="882">
        <v>50</v>
      </c>
    </row>
    <row r="67" spans="1:6" s="878" customFormat="1" ht="36">
      <c r="A67" s="882">
        <v>7</v>
      </c>
      <c r="B67" s="3290"/>
      <c r="C67" s="818" t="s">
        <v>627</v>
      </c>
      <c r="D67" s="818" t="s">
        <v>628</v>
      </c>
      <c r="E67" s="895">
        <v>0.2</v>
      </c>
      <c r="F67" s="882">
        <v>30</v>
      </c>
    </row>
    <row r="68" spans="1:6" s="878" customFormat="1" ht="36">
      <c r="A68" s="882">
        <v>8</v>
      </c>
      <c r="B68" s="3290"/>
      <c r="C68" s="818" t="s">
        <v>629</v>
      </c>
      <c r="D68" s="818" t="s">
        <v>630</v>
      </c>
      <c r="E68" s="895">
        <v>0.2</v>
      </c>
      <c r="F68" s="882">
        <v>30</v>
      </c>
    </row>
    <row r="69" spans="1:6" s="878" customFormat="1" ht="36">
      <c r="A69" s="882">
        <v>9</v>
      </c>
      <c r="B69" s="3290"/>
      <c r="C69" s="818" t="s">
        <v>631</v>
      </c>
      <c r="D69" s="818" t="s">
        <v>632</v>
      </c>
      <c r="E69" s="895">
        <v>0.2</v>
      </c>
      <c r="F69" s="882">
        <v>30</v>
      </c>
    </row>
    <row r="70" spans="1:6" s="878" customFormat="1" ht="48">
      <c r="A70" s="882">
        <v>10</v>
      </c>
      <c r="B70" s="3290"/>
      <c r="C70" s="818" t="s">
        <v>633</v>
      </c>
      <c r="D70" s="818" t="s">
        <v>634</v>
      </c>
      <c r="E70" s="895">
        <v>0.2</v>
      </c>
      <c r="F70" s="882">
        <v>30</v>
      </c>
    </row>
    <row r="71" spans="1:6" s="878" customFormat="1" ht="48">
      <c r="A71" s="882">
        <v>11</v>
      </c>
      <c r="B71" s="3290"/>
      <c r="C71" s="818" t="s">
        <v>635</v>
      </c>
      <c r="D71" s="818" t="s">
        <v>636</v>
      </c>
      <c r="E71" s="895">
        <v>0.2</v>
      </c>
      <c r="F71" s="882">
        <v>30</v>
      </c>
    </row>
    <row r="72" spans="1:6" s="878" customFormat="1" ht="36">
      <c r="A72" s="882">
        <v>12</v>
      </c>
      <c r="B72" s="3290"/>
      <c r="C72" s="818" t="s">
        <v>637</v>
      </c>
      <c r="D72" s="818" t="s">
        <v>638</v>
      </c>
      <c r="E72" s="895">
        <v>0.5</v>
      </c>
      <c r="F72" s="882">
        <v>80</v>
      </c>
    </row>
    <row r="73" spans="1:6" s="878" customFormat="1" ht="24">
      <c r="A73" s="882">
        <v>13</v>
      </c>
      <c r="B73" s="3290"/>
      <c r="C73" s="818" t="s">
        <v>639</v>
      </c>
      <c r="D73" s="818" t="s">
        <v>640</v>
      </c>
      <c r="E73" s="895">
        <v>0.4</v>
      </c>
      <c r="F73" s="882">
        <v>60</v>
      </c>
    </row>
    <row r="74" spans="1:6" s="878" customFormat="1" ht="24">
      <c r="A74" s="882">
        <v>14</v>
      </c>
      <c r="B74" s="3290"/>
      <c r="C74" s="818" t="s">
        <v>641</v>
      </c>
      <c r="D74" s="818" t="s">
        <v>642</v>
      </c>
      <c r="E74" s="895">
        <v>0.2</v>
      </c>
      <c r="F74" s="882">
        <v>30</v>
      </c>
    </row>
    <row r="75" spans="1:6" s="878" customFormat="1" ht="24">
      <c r="A75" s="882">
        <v>15</v>
      </c>
      <c r="B75" s="3290"/>
      <c r="C75" s="818" t="s">
        <v>643</v>
      </c>
      <c r="D75" s="818" t="s">
        <v>644</v>
      </c>
      <c r="E75" s="895">
        <v>0.2</v>
      </c>
      <c r="F75" s="882">
        <v>30</v>
      </c>
    </row>
    <row r="76" spans="1:6" s="878" customFormat="1" ht="24">
      <c r="A76" s="882">
        <v>16</v>
      </c>
      <c r="B76" s="3290" t="s">
        <v>645</v>
      </c>
      <c r="C76" s="818" t="s">
        <v>646</v>
      </c>
      <c r="D76" s="818" t="s">
        <v>647</v>
      </c>
      <c r="E76" s="895">
        <v>0.5</v>
      </c>
      <c r="F76" s="882">
        <v>80</v>
      </c>
    </row>
    <row r="77" spans="1:6" s="878" customFormat="1" ht="24">
      <c r="A77" s="882">
        <v>17</v>
      </c>
      <c r="B77" s="3290"/>
      <c r="C77" s="818" t="s">
        <v>648</v>
      </c>
      <c r="D77" s="818" t="s">
        <v>649</v>
      </c>
      <c r="E77" s="895">
        <v>0.5</v>
      </c>
      <c r="F77" s="882">
        <v>80</v>
      </c>
    </row>
    <row r="78" spans="1:6" s="878" customFormat="1" ht="24">
      <c r="A78" s="882">
        <v>18</v>
      </c>
      <c r="B78" s="3290"/>
      <c r="C78" s="818" t="s">
        <v>650</v>
      </c>
      <c r="D78" s="818" t="s">
        <v>651</v>
      </c>
      <c r="E78" s="895">
        <v>0.2</v>
      </c>
      <c r="F78" s="882">
        <v>30</v>
      </c>
    </row>
    <row r="79" spans="1:6" s="878" customFormat="1" ht="24">
      <c r="A79" s="882">
        <v>19</v>
      </c>
      <c r="B79" s="3290"/>
      <c r="C79" s="818" t="s">
        <v>652</v>
      </c>
      <c r="D79" s="818" t="s">
        <v>653</v>
      </c>
      <c r="E79" s="895">
        <v>0.5</v>
      </c>
      <c r="F79" s="882">
        <v>80</v>
      </c>
    </row>
    <row r="80" spans="1:6" s="878" customFormat="1" ht="36">
      <c r="A80" s="882">
        <v>20</v>
      </c>
      <c r="B80" s="3290"/>
      <c r="C80" s="818" t="s">
        <v>654</v>
      </c>
      <c r="D80" s="818" t="s">
        <v>655</v>
      </c>
      <c r="E80" s="895">
        <v>0.2</v>
      </c>
      <c r="F80" s="882">
        <v>30</v>
      </c>
    </row>
    <row r="81" spans="1:6" s="878" customFormat="1" ht="36">
      <c r="A81" s="882">
        <v>21</v>
      </c>
      <c r="B81" s="3290"/>
      <c r="C81" s="818" t="s">
        <v>656</v>
      </c>
      <c r="D81" s="818" t="s">
        <v>657</v>
      </c>
      <c r="E81" s="895">
        <v>0.2</v>
      </c>
      <c r="F81" s="882">
        <v>30</v>
      </c>
    </row>
    <row r="82" spans="1:6" s="878" customFormat="1" ht="48">
      <c r="A82" s="882">
        <v>22</v>
      </c>
      <c r="B82" s="3290"/>
      <c r="C82" s="818" t="s">
        <v>658</v>
      </c>
      <c r="D82" s="818" t="s">
        <v>659</v>
      </c>
      <c r="E82" s="895">
        <v>0.2</v>
      </c>
      <c r="F82" s="882">
        <v>30</v>
      </c>
    </row>
    <row r="83" spans="1:6" s="878" customFormat="1" ht="48">
      <c r="A83" s="882">
        <v>23</v>
      </c>
      <c r="B83" s="3290"/>
      <c r="C83" s="818" t="s">
        <v>660</v>
      </c>
      <c r="D83" s="818" t="s">
        <v>661</v>
      </c>
      <c r="E83" s="895">
        <v>0.2</v>
      </c>
      <c r="F83" s="882">
        <v>30</v>
      </c>
    </row>
    <row r="84" spans="1:6" s="878" customFormat="1" ht="36">
      <c r="A84" s="882">
        <v>24</v>
      </c>
      <c r="B84" s="3290"/>
      <c r="C84" s="818" t="s">
        <v>662</v>
      </c>
      <c r="D84" s="818" t="s">
        <v>663</v>
      </c>
      <c r="E84" s="895">
        <v>0.2</v>
      </c>
      <c r="F84" s="882">
        <v>30</v>
      </c>
    </row>
    <row r="85" spans="1:6" s="878" customFormat="1" ht="36">
      <c r="A85" s="882">
        <v>25</v>
      </c>
      <c r="B85" s="3290"/>
      <c r="C85" s="818" t="s">
        <v>664</v>
      </c>
      <c r="D85" s="818" t="s">
        <v>665</v>
      </c>
      <c r="E85" s="895">
        <v>0.5</v>
      </c>
      <c r="F85" s="882">
        <v>80</v>
      </c>
    </row>
    <row r="86" spans="1:6" s="878" customFormat="1" ht="36">
      <c r="A86" s="882">
        <v>26</v>
      </c>
      <c r="B86" s="3290"/>
      <c r="C86" s="818" t="s">
        <v>666</v>
      </c>
      <c r="D86" s="818" t="s">
        <v>667</v>
      </c>
      <c r="E86" s="895">
        <v>0.2</v>
      </c>
      <c r="F86" s="882">
        <v>30</v>
      </c>
    </row>
    <row r="87" spans="1:6" s="878" customFormat="1" ht="36">
      <c r="A87" s="882">
        <v>27</v>
      </c>
      <c r="B87" s="3290"/>
      <c r="C87" s="818" t="s">
        <v>668</v>
      </c>
      <c r="D87" s="818" t="s">
        <v>669</v>
      </c>
      <c r="E87" s="895">
        <v>0.2</v>
      </c>
      <c r="F87" s="882">
        <v>30</v>
      </c>
    </row>
    <row r="88" spans="1:6" s="878" customFormat="1" ht="36">
      <c r="A88" s="882">
        <v>28</v>
      </c>
      <c r="B88" s="3290"/>
      <c r="C88" s="818" t="s">
        <v>670</v>
      </c>
      <c r="D88" s="818" t="s">
        <v>671</v>
      </c>
      <c r="E88" s="895">
        <v>0.2</v>
      </c>
      <c r="F88" s="882">
        <v>30</v>
      </c>
    </row>
    <row r="89" spans="1:6" s="878" customFormat="1" ht="24">
      <c r="A89" s="882">
        <v>29</v>
      </c>
      <c r="B89" s="3290"/>
      <c r="C89" s="818" t="s">
        <v>672</v>
      </c>
      <c r="D89" s="818" t="s">
        <v>673</v>
      </c>
      <c r="E89" s="895">
        <v>0.2</v>
      </c>
      <c r="F89" s="882">
        <v>30</v>
      </c>
    </row>
    <row r="90" spans="1:6" s="878" customFormat="1" ht="24">
      <c r="A90" s="882">
        <v>30</v>
      </c>
      <c r="B90" s="3290"/>
      <c r="C90" s="818" t="s">
        <v>674</v>
      </c>
      <c r="D90" s="818" t="s">
        <v>675</v>
      </c>
      <c r="E90" s="895">
        <v>0.2</v>
      </c>
      <c r="F90" s="882">
        <v>30</v>
      </c>
    </row>
    <row r="91" spans="1:6" s="878" customFormat="1" ht="36">
      <c r="A91" s="882">
        <v>31</v>
      </c>
      <c r="B91" s="3290"/>
      <c r="C91" s="818" t="s">
        <v>676</v>
      </c>
      <c r="D91" s="818" t="s">
        <v>677</v>
      </c>
      <c r="E91" s="895">
        <v>0.2</v>
      </c>
      <c r="F91" s="882">
        <v>30</v>
      </c>
    </row>
    <row r="92" spans="1:6" s="878" customFormat="1" ht="24">
      <c r="A92" s="882">
        <v>32</v>
      </c>
      <c r="B92" s="3290" t="s">
        <v>678</v>
      </c>
      <c r="C92" s="882" t="s">
        <v>679</v>
      </c>
      <c r="D92" s="818" t="s">
        <v>680</v>
      </c>
      <c r="E92" s="895">
        <v>0.2</v>
      </c>
      <c r="F92" s="882">
        <v>30</v>
      </c>
    </row>
    <row r="93" spans="1:6" s="878" customFormat="1" ht="36">
      <c r="A93" s="882">
        <v>33</v>
      </c>
      <c r="B93" s="3290"/>
      <c r="C93" s="882" t="s">
        <v>681</v>
      </c>
      <c r="D93" s="818" t="s">
        <v>682</v>
      </c>
      <c r="E93" s="895">
        <v>0.2</v>
      </c>
      <c r="F93" s="882">
        <v>30</v>
      </c>
    </row>
    <row r="94" spans="1:6" s="878" customFormat="1" ht="48">
      <c r="A94" s="882">
        <v>34</v>
      </c>
      <c r="B94" s="3290"/>
      <c r="C94" s="882" t="s">
        <v>683</v>
      </c>
      <c r="D94" s="818" t="s">
        <v>684</v>
      </c>
      <c r="E94" s="895">
        <v>0.2</v>
      </c>
      <c r="F94" s="882">
        <v>30</v>
      </c>
    </row>
    <row r="95" spans="1:6" s="878" customFormat="1" ht="36">
      <c r="A95" s="882">
        <v>35</v>
      </c>
      <c r="B95" s="3290"/>
      <c r="C95" s="882" t="s">
        <v>685</v>
      </c>
      <c r="D95" s="818" t="s">
        <v>686</v>
      </c>
      <c r="E95" s="895">
        <v>0.2</v>
      </c>
      <c r="F95" s="882">
        <v>30</v>
      </c>
    </row>
    <row r="96" spans="1:6" s="878" customFormat="1" ht="48">
      <c r="A96" s="882">
        <v>36</v>
      </c>
      <c r="B96" s="3290"/>
      <c r="C96" s="818" t="s">
        <v>687</v>
      </c>
      <c r="D96" s="818" t="s">
        <v>688</v>
      </c>
      <c r="E96" s="895">
        <v>0.2</v>
      </c>
      <c r="F96" s="882">
        <v>30</v>
      </c>
    </row>
    <row r="97" spans="1:6" s="878" customFormat="1" ht="36">
      <c r="A97" s="882">
        <v>37</v>
      </c>
      <c r="B97" s="3290"/>
      <c r="C97" s="882" t="s">
        <v>689</v>
      </c>
      <c r="D97" s="818" t="s">
        <v>690</v>
      </c>
      <c r="E97" s="895">
        <v>0.2</v>
      </c>
      <c r="F97" s="882">
        <v>30</v>
      </c>
    </row>
    <row r="98" spans="1:6" s="878" customFormat="1" ht="36">
      <c r="A98" s="882">
        <v>38</v>
      </c>
      <c r="B98" s="3290"/>
      <c r="C98" s="882" t="s">
        <v>691</v>
      </c>
      <c r="D98" s="818" t="s">
        <v>692</v>
      </c>
      <c r="E98" s="895">
        <v>0.2</v>
      </c>
      <c r="F98" s="882">
        <v>30</v>
      </c>
    </row>
    <row r="99" spans="1:6" s="878" customFormat="1" ht="36">
      <c r="A99" s="882">
        <v>39</v>
      </c>
      <c r="B99" s="3290" t="s">
        <v>693</v>
      </c>
      <c r="C99" s="882" t="s">
        <v>694</v>
      </c>
      <c r="D99" s="818" t="s">
        <v>695</v>
      </c>
      <c r="E99" s="895">
        <v>0.3</v>
      </c>
      <c r="F99" s="882">
        <v>50</v>
      </c>
    </row>
    <row r="100" spans="1:6" s="878" customFormat="1" ht="24">
      <c r="A100" s="882">
        <v>40</v>
      </c>
      <c r="B100" s="3290"/>
      <c r="C100" s="882" t="s">
        <v>696</v>
      </c>
      <c r="D100" s="818" t="s">
        <v>697</v>
      </c>
      <c r="E100" s="895">
        <v>0.2</v>
      </c>
      <c r="F100" s="882">
        <v>30</v>
      </c>
    </row>
    <row r="101" spans="1:6" s="878" customFormat="1" ht="36">
      <c r="A101" s="882">
        <v>41</v>
      </c>
      <c r="B101" s="329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0" t="s">
        <v>708</v>
      </c>
      <c r="C105" s="882" t="s">
        <v>709</v>
      </c>
      <c r="D105" s="818" t="s">
        <v>710</v>
      </c>
      <c r="E105" s="895">
        <v>0.2</v>
      </c>
      <c r="F105" s="882">
        <v>30</v>
      </c>
    </row>
    <row r="106" spans="1:6" s="878" customFormat="1" ht="36">
      <c r="A106" s="882">
        <v>46</v>
      </c>
      <c r="B106" s="3290"/>
      <c r="C106" s="882" t="s">
        <v>711</v>
      </c>
      <c r="D106" s="818" t="s">
        <v>712</v>
      </c>
      <c r="E106" s="895">
        <v>0.2</v>
      </c>
      <c r="F106" s="882">
        <v>30</v>
      </c>
    </row>
    <row r="107" spans="1:6" s="878" customFormat="1" ht="36">
      <c r="A107" s="882">
        <v>47</v>
      </c>
      <c r="B107" s="3290" t="s">
        <v>713</v>
      </c>
      <c r="C107" s="882" t="s">
        <v>714</v>
      </c>
      <c r="D107" s="818" t="s">
        <v>715</v>
      </c>
      <c r="E107" s="895">
        <v>0.3</v>
      </c>
      <c r="F107" s="882">
        <v>50</v>
      </c>
    </row>
    <row r="108" spans="1:6" s="878" customFormat="1" ht="36">
      <c r="A108" s="882">
        <v>48</v>
      </c>
      <c r="B108" s="329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0" t="s">
        <v>724</v>
      </c>
      <c r="C111" s="882" t="s">
        <v>725</v>
      </c>
      <c r="D111" s="818" t="s">
        <v>726</v>
      </c>
      <c r="E111" s="895">
        <v>0.2</v>
      </c>
      <c r="F111" s="882">
        <v>30</v>
      </c>
    </row>
    <row r="112" spans="1:6" s="878" customFormat="1" ht="24">
      <c r="A112" s="882">
        <v>52</v>
      </c>
      <c r="B112" s="3290"/>
      <c r="C112" s="882" t="s">
        <v>727</v>
      </c>
      <c r="D112" s="818" t="s">
        <v>728</v>
      </c>
      <c r="E112" s="895">
        <v>0.2</v>
      </c>
      <c r="F112" s="882">
        <v>30</v>
      </c>
    </row>
    <row r="113" spans="1:6" s="878" customFormat="1" ht="24">
      <c r="A113" s="882">
        <v>53</v>
      </c>
      <c r="B113" s="329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0" t="s">
        <v>737</v>
      </c>
      <c r="C116" s="882" t="s">
        <v>738</v>
      </c>
      <c r="D116" s="818" t="s">
        <v>739</v>
      </c>
      <c r="E116" s="895">
        <v>0.2</v>
      </c>
      <c r="F116" s="882">
        <v>30</v>
      </c>
    </row>
    <row r="117" spans="1:6" ht="36">
      <c r="A117" s="882">
        <v>57</v>
      </c>
      <c r="B117" s="329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3004</v>
      </c>
    </row>
    <row r="2" spans="1:5" ht="15.75">
      <c r="A2" s="2912" t="s">
        <v>2996</v>
      </c>
      <c r="B2" s="2913" t="e">
        <f ca="1">SUMIF(B6:B13,"&lt;&gt;#ref!",B6:B13)</f>
        <v>#DIV/0!</v>
      </c>
      <c r="C2" s="2912" t="s">
        <v>2997</v>
      </c>
      <c r="D2" s="2912" t="s">
        <v>2998</v>
      </c>
      <c r="E2" s="2913">
        <f ca="1">SUMIF(E6:E13,"&lt;&gt;#ref!",E6:E13)</f>
        <v>0</v>
      </c>
    </row>
    <row r="3" spans="1:5" ht="15.75">
      <c r="A3" s="2912" t="s">
        <v>2999</v>
      </c>
      <c r="B3" s="2913" t="e">
        <f ca="1">ROUND(B2*10000/E2,0)</f>
        <v>#DIV/0!</v>
      </c>
      <c r="C3" s="2912" t="s">
        <v>3005</v>
      </c>
      <c r="D3" s="2914"/>
      <c r="E3" s="2914"/>
    </row>
    <row r="4" spans="1:5" ht="15.75">
      <c r="A4" s="2915"/>
      <c r="B4" s="2914"/>
      <c r="C4" s="2914"/>
      <c r="D4" s="2914"/>
      <c r="E4" s="2914"/>
    </row>
    <row r="5" spans="1:5" ht="28.5">
      <c r="A5" s="2916" t="s">
        <v>3000</v>
      </c>
      <c r="B5" s="2912" t="s">
        <v>3001</v>
      </c>
      <c r="C5" s="2913"/>
      <c r="D5" s="2914"/>
      <c r="E5" s="2912" t="s">
        <v>3002</v>
      </c>
    </row>
    <row r="6" spans="1:5" ht="15.75">
      <c r="A6" s="2917" t="s">
        <v>3003</v>
      </c>
      <c r="B6" s="2913" t="e">
        <f ca="1">SUMIF(INDIRECT("'"&amp;A6&amp;"'"&amp;"!A:A"),"总价",INDIRECT("'"&amp;A6&amp;"'"&amp;"!B:B"))</f>
        <v>#DIV/0!</v>
      </c>
      <c r="C6" s="2912" t="s">
        <v>2997</v>
      </c>
      <c r="D6" s="2914"/>
      <c r="E6" s="2577">
        <f ca="1">SUMIF(INDIRECT("'"&amp;A6&amp;"'"&amp;"!C:C"),"建筑面积",INDIRECT("'"&amp;A6&amp;"'"&amp;"!D:D"))</f>
        <v>0</v>
      </c>
    </row>
    <row r="7" spans="1:5" ht="15.75">
      <c r="A7" s="2917"/>
      <c r="B7" s="2913" t="e">
        <f ca="1">SUMIF(INDIRECT("'"&amp;A7&amp;"'"&amp;"!A:A"),"总价",INDIRECT("'"&amp;A7&amp;"'"&amp;"!B:B"))</f>
        <v>#REF!</v>
      </c>
      <c r="C7" s="2912" t="s">
        <v>2997</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2997</v>
      </c>
      <c r="D8" s="2914"/>
      <c r="E8" s="2577" t="e">
        <f t="shared" ca="1" si="0"/>
        <v>#REF!</v>
      </c>
    </row>
    <row r="9" spans="1:5" ht="15.75">
      <c r="A9" s="2917"/>
      <c r="B9" s="2913" t="e">
        <f t="shared" ca="1" si="1"/>
        <v>#REF!</v>
      </c>
      <c r="C9" s="2912" t="s">
        <v>2997</v>
      </c>
      <c r="D9" s="2914"/>
      <c r="E9" s="2577" t="e">
        <f t="shared" ca="1" si="0"/>
        <v>#REF!</v>
      </c>
    </row>
    <row r="10" spans="1:5" ht="15.75">
      <c r="A10" s="2917"/>
      <c r="B10" s="2913" t="e">
        <f t="shared" ca="1" si="1"/>
        <v>#REF!</v>
      </c>
      <c r="C10" s="2912" t="s">
        <v>2997</v>
      </c>
      <c r="D10" s="2914"/>
      <c r="E10" s="2577" t="e">
        <f t="shared" ca="1" si="0"/>
        <v>#REF!</v>
      </c>
    </row>
    <row r="11" spans="1:5" ht="15.75">
      <c r="A11" s="2917"/>
      <c r="B11" s="2913" t="e">
        <f t="shared" ca="1" si="1"/>
        <v>#REF!</v>
      </c>
      <c r="C11" s="2912" t="s">
        <v>2997</v>
      </c>
      <c r="D11" s="2914"/>
      <c r="E11" s="2577" t="e">
        <f t="shared" ca="1" si="0"/>
        <v>#REF!</v>
      </c>
    </row>
    <row r="12" spans="1:5" ht="15.75">
      <c r="A12" s="2917"/>
      <c r="B12" s="2913" t="e">
        <f t="shared" ca="1" si="1"/>
        <v>#REF!</v>
      </c>
      <c r="C12" s="2912" t="s">
        <v>2997</v>
      </c>
      <c r="D12" s="2914"/>
      <c r="E12" s="2577" t="e">
        <f t="shared" ca="1" si="0"/>
        <v>#REF!</v>
      </c>
    </row>
    <row r="13" spans="1:5" ht="15.75">
      <c r="A13" s="2917"/>
      <c r="B13" s="2913" t="e">
        <f t="shared" ca="1" si="1"/>
        <v>#REF!</v>
      </c>
      <c r="C13" s="2912" t="s">
        <v>2997</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6" t="s">
        <v>1150</v>
      </c>
      <c r="C1" s="3296"/>
      <c r="D1" s="3296"/>
      <c r="E1" s="3296"/>
      <c r="F1" s="3296"/>
      <c r="G1" s="3295" t="s">
        <v>1151</v>
      </c>
      <c r="H1" s="3295"/>
      <c r="I1" s="3295"/>
      <c r="J1" s="3295"/>
      <c r="K1" s="3295"/>
      <c r="L1" s="3295"/>
      <c r="N1" s="3295" t="s">
        <v>1152</v>
      </c>
      <c r="O1" s="3295"/>
      <c r="P1" s="3295"/>
      <c r="Q1" s="3295"/>
      <c r="R1" s="1449"/>
      <c r="S1" s="3295" t="s">
        <v>1153</v>
      </c>
      <c r="T1" s="3295"/>
      <c r="U1" s="3295"/>
      <c r="V1" s="3295"/>
      <c r="X1" s="3294" t="s">
        <v>1154</v>
      </c>
      <c r="Y1" s="3295"/>
      <c r="Z1" s="3295"/>
      <c r="AA1" s="3295"/>
      <c r="AB1" s="3295"/>
      <c r="AD1" s="3294" t="s">
        <v>1155</v>
      </c>
      <c r="AE1" s="3295"/>
      <c r="AF1" s="3295"/>
      <c r="AG1" s="3295"/>
      <c r="AH1" s="329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3039</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1.4517</v>
      </c>
      <c r="Y3" s="2938">
        <f>ROUND(SUMPRODUCT(PRODUCT(1+O3:O$21)),4)</f>
        <v>1.2928999999999999</v>
      </c>
      <c r="Z3" s="2938">
        <f t="shared" ref="Z3:Z19" si="0">Y3</f>
        <v>1.2928999999999999</v>
      </c>
      <c r="AA3" s="2938">
        <f>ROUND(SUMPRODUCT(PRODUCT(1+P3:P$21)),4)</f>
        <v>1.5068999999999999</v>
      </c>
      <c r="AB3" s="2938">
        <f>ROUND(SUMPRODUCT(PRODUCT(1+Q3:Q$21)),4)</f>
        <v>1.2557</v>
      </c>
      <c r="AD3" s="2939">
        <f>ROUND(AVERAGE(I3:I$22)/100,4)</f>
        <v>2.2800000000000001E-2</v>
      </c>
      <c r="AE3" s="2939">
        <f>ROUND(AVERAGE(J3:J$22)/100,4)</f>
        <v>1.5699999999999999E-2</v>
      </c>
      <c r="AF3" s="2939">
        <f t="shared" ref="AF3:AF20" si="1">AE3</f>
        <v>1.5699999999999999E-2</v>
      </c>
      <c r="AG3" s="2939">
        <f>ROUND(AVERAGE(K3:K$22)/100,4)</f>
        <v>2.5100000000000001E-2</v>
      </c>
      <c r="AH3" s="2939">
        <f>ROUND(AVERAGE(L3:L$22)/100,4)</f>
        <v>1.35E-2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3045</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1">
        <v>2018</v>
      </c>
      <c r="H5" s="1732">
        <v>2</v>
      </c>
      <c r="I5" s="2926">
        <v>0</v>
      </c>
      <c r="J5" s="2926">
        <v>0</v>
      </c>
      <c r="K5" s="2926">
        <v>0</v>
      </c>
      <c r="L5" s="2926">
        <v>0</v>
      </c>
      <c r="N5" s="1470">
        <f t="shared" ref="N5" si="7">I5/100</f>
        <v>0</v>
      </c>
      <c r="O5" s="1470">
        <f t="shared" ref="O5" si="8">J5/100</f>
        <v>0</v>
      </c>
      <c r="P5" s="1470">
        <f t="shared" ref="P5" si="9">K5/100</f>
        <v>0</v>
      </c>
      <c r="Q5" s="1470">
        <f t="shared" ref="Q5" si="10">L5/100</f>
        <v>0</v>
      </c>
      <c r="R5" s="1734"/>
      <c r="S5" s="1735"/>
      <c r="T5" s="1734"/>
      <c r="U5" s="1734"/>
      <c r="V5" s="1734"/>
      <c r="W5" s="2930" t="s">
        <v>3040</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3038</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2">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4" t="s">
        <v>3035</v>
      </c>
      <c r="B7" s="1472">
        <v>439</v>
      </c>
      <c r="C7" s="1472">
        <v>327</v>
      </c>
      <c r="D7" s="1472">
        <f>C7</f>
        <v>327</v>
      </c>
      <c r="E7" s="1472">
        <v>627</v>
      </c>
      <c r="F7" s="1473">
        <v>283</v>
      </c>
      <c r="G7" s="2928">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3036</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4"/>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3"/>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6"/>
      <c r="AD9" s="1791">
        <f>ROUND(AVERAGE(I9:I$22)/100,4)</f>
        <v>2.46E-2</v>
      </c>
      <c r="AE9" s="1791">
        <f>ROUND(AVERAGE(J9:J$22)/100,4)</f>
        <v>1.6E-2</v>
      </c>
      <c r="AF9" s="1791">
        <f t="shared" si="1"/>
        <v>1.6E-2</v>
      </c>
      <c r="AG9" s="1791">
        <f>ROUND(AVERAGE(K9:K$22)/100,4)</f>
        <v>2.75E-2</v>
      </c>
      <c r="AH9" s="1791">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4"/>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4" t="s">
        <v>154</v>
      </c>
      <c r="B11" s="1472">
        <v>392</v>
      </c>
      <c r="C11" s="1472">
        <v>302</v>
      </c>
      <c r="D11" s="1472">
        <f>C11</f>
        <v>302</v>
      </c>
      <c r="E11" s="1472">
        <v>553</v>
      </c>
      <c r="F11" s="1473">
        <v>266</v>
      </c>
      <c r="G11" s="3297">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92"/>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92"/>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93"/>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91">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92"/>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92"/>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93"/>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91">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92"/>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92"/>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93"/>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4" t="s">
        <v>1163</v>
      </c>
      <c r="B23" s="1472">
        <v>299</v>
      </c>
      <c r="C23" s="1472">
        <v>252</v>
      </c>
      <c r="D23" s="1472">
        <f t="shared" si="44"/>
        <v>252</v>
      </c>
      <c r="E23" s="1472">
        <v>409</v>
      </c>
      <c r="F23" s="1473">
        <v>227</v>
      </c>
      <c r="G23" s="3298">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99"/>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99"/>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300"/>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91">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92"/>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92"/>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93"/>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91">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92">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92">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93">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91">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92">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92">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93">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91">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92">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92">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93">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91">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92">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92">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93">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91">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92">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92">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93">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91">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92">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92">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93">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91">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92">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92">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93">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91">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92">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92">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93">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91">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92">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92">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93">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91">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92">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92">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93">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302" t="s">
        <v>3007</v>
      </c>
      <c r="D1" s="3303"/>
      <c r="E1" s="3303"/>
      <c r="F1" s="3303"/>
      <c r="G1" s="3303"/>
      <c r="H1" s="3303"/>
      <c r="I1" s="3303"/>
      <c r="J1" s="3303"/>
      <c r="K1" s="3303"/>
      <c r="L1" s="3303"/>
      <c r="M1" s="3303"/>
      <c r="N1" s="3303"/>
      <c r="O1" s="3303"/>
      <c r="P1" s="3303"/>
      <c r="Q1" s="3303"/>
      <c r="R1" s="3303"/>
      <c r="S1" s="3304"/>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3010</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3011</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3012</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3016</v>
      </c>
      <c r="B17" s="2919"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3018</v>
      </c>
      <c r="E19" s="1794"/>
      <c r="F19" s="1794"/>
      <c r="G19" s="1794"/>
      <c r="H19" s="1283"/>
      <c r="I19" s="168"/>
      <c r="J19" s="168"/>
      <c r="K19" s="168"/>
      <c r="L19" s="168"/>
      <c r="M19" s="168"/>
      <c r="N19" s="168"/>
      <c r="O19" s="168"/>
      <c r="P19" s="168"/>
      <c r="Q19" s="168"/>
      <c r="R19" s="788"/>
      <c r="S19" s="138"/>
    </row>
    <row r="20" spans="1:45" ht="16.5" thickBot="1">
      <c r="A20" s="715" t="s">
        <v>3019</v>
      </c>
      <c r="B20" s="338" t="e">
        <f ca="1">IF(D20="——",S22,S22-F20)</f>
        <v>#REF!</v>
      </c>
      <c r="C20" s="168"/>
      <c r="D20" s="2921" t="s">
        <v>3020</v>
      </c>
      <c r="E20" s="1795"/>
      <c r="F20" s="1207" t="e">
        <f ca="1">SUMIF(INDIRECT("'"&amp;H20&amp;"'"&amp;"!A:A"),"承租人权益价值",INDIRECT("'"&amp;H20&amp;"'"&amp;"!c:c"))</f>
        <v>#REF!</v>
      </c>
      <c r="G20" s="1207" t="s">
        <v>3021</v>
      </c>
      <c r="H20" s="2922"/>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61" t="s">
        <v>33</v>
      </c>
      <c r="D22" s="3162"/>
      <c r="E22" s="3162"/>
      <c r="F22" s="3162"/>
      <c r="G22" s="3162"/>
      <c r="H22" s="3162"/>
      <c r="I22" s="3162"/>
      <c r="J22" s="3162"/>
      <c r="K22" s="3162"/>
      <c r="L22" s="3162"/>
      <c r="M22" s="3162"/>
      <c r="N22" s="3162"/>
      <c r="O22" s="3162"/>
      <c r="P22" s="3162"/>
      <c r="Q22" s="3301"/>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63"/>
      <c r="B4" s="2984" t="s">
        <v>1630</v>
      </c>
      <c r="C4" s="2984"/>
      <c r="D4" s="2984"/>
      <c r="E4" s="1963"/>
    </row>
    <row r="5" spans="1:5" ht="16.5" thickTop="1">
      <c r="A5" s="1961"/>
      <c r="B5" s="2982" t="s">
        <v>1622</v>
      </c>
      <c r="C5" s="1964" t="s">
        <v>1623</v>
      </c>
      <c r="D5" s="1043">
        <f ca="1">结果表!H101</f>
        <v>34506</v>
      </c>
      <c r="E5" s="1961"/>
    </row>
    <row r="6" spans="1:5" ht="15.75">
      <c r="A6" s="1961"/>
      <c r="B6" s="2982"/>
      <c r="C6" s="1964" t="s">
        <v>1624</v>
      </c>
      <c r="D6" s="1043" t="str">
        <f ca="1">NUMBERSTRING(INT(D5*10000),2)&amp;"元整"</f>
        <v>叁亿肆仟伍佰零陆万元整</v>
      </c>
      <c r="E6" s="1961"/>
    </row>
    <row r="7" spans="1:5" ht="15.75">
      <c r="A7" s="1961"/>
      <c r="B7" s="2987"/>
      <c r="C7" s="1965" t="s">
        <v>1625</v>
      </c>
      <c r="D7" s="1044">
        <f ca="1">结果表!H102</f>
        <v>7990</v>
      </c>
      <c r="E7" s="1961"/>
    </row>
    <row r="8" spans="1:5" ht="15.75">
      <c r="A8" s="1961"/>
      <c r="B8" s="2988" t="str">
        <f>结果表!E103</f>
        <v>2.估价师知悉的法定优先受偿款</v>
      </c>
      <c r="C8" s="1966" t="s">
        <v>1626</v>
      </c>
      <c r="D8" s="1044">
        <f>结果表!H103</f>
        <v>0</v>
      </c>
      <c r="E8" s="1961"/>
    </row>
    <row r="9" spans="1:5" ht="15.75">
      <c r="A9" s="1961"/>
      <c r="B9" s="2990"/>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81" t="str">
        <f>结果表!E107</f>
        <v>3.房地产抵押价值</v>
      </c>
      <c r="C13" s="1969" t="s">
        <v>1623</v>
      </c>
      <c r="D13" s="1046">
        <f ca="1">结果表!H107</f>
        <v>34506</v>
      </c>
      <c r="E13" s="1961"/>
    </row>
    <row r="14" spans="1:5" ht="15.75">
      <c r="A14" s="1961"/>
      <c r="B14" s="2982"/>
      <c r="C14" s="1964" t="s">
        <v>1624</v>
      </c>
      <c r="D14" s="1043" t="str">
        <f ca="1">NUMBERSTRING(INT(D13*10000),2)&amp;"元整"</f>
        <v>叁亿肆仟伍佰零陆万元整</v>
      </c>
      <c r="E14" s="1961"/>
    </row>
    <row r="15" spans="1:5" ht="15">
      <c r="A15" s="1961"/>
      <c r="B15" s="2987"/>
      <c r="C15" s="1965" t="s">
        <v>1634</v>
      </c>
      <c r="D15" s="1055">
        <f ca="1">结果表!H108</f>
        <v>7990</v>
      </c>
      <c r="E15" s="1961"/>
    </row>
    <row r="16" spans="1:5" ht="15">
      <c r="A16" s="1961"/>
      <c r="B16" s="2988" t="str">
        <f>结果表!E109</f>
        <v>——</v>
      </c>
      <c r="C16" s="1969" t="s">
        <v>1635</v>
      </c>
      <c r="D16" s="1970" t="str">
        <f>结果表!H109</f>
        <v>——</v>
      </c>
      <c r="E16" s="1961"/>
    </row>
    <row r="17" spans="1:5" ht="15.75">
      <c r="A17" s="1961"/>
      <c r="B17" s="2989"/>
      <c r="C17" s="1964" t="s">
        <v>1636</v>
      </c>
      <c r="D17" s="1043" t="e">
        <f>NUMBERSTRING(INT(D16*10000),2)&amp;"元整"</f>
        <v>#VALUE!</v>
      </c>
      <c r="E17" s="1961"/>
    </row>
    <row r="18" spans="1:5" ht="15">
      <c r="A18" s="1961"/>
      <c r="B18" s="2990"/>
      <c r="C18" s="1965" t="s">
        <v>1625</v>
      </c>
      <c r="D18" s="1055" t="str">
        <f>结果表!H110</f>
        <v>——</v>
      </c>
      <c r="E18" s="1961"/>
    </row>
    <row r="19" spans="1:5" ht="15.75">
      <c r="A19" s="1961"/>
      <c r="B19" s="2981" t="str">
        <f>结果表!E111</f>
        <v>——</v>
      </c>
      <c r="C19" s="1969" t="s">
        <v>1623</v>
      </c>
      <c r="D19" s="1044" t="str">
        <f>结果表!H111</f>
        <v>——</v>
      </c>
      <c r="E19" s="1961"/>
    </row>
    <row r="20" spans="1:5" ht="15.75">
      <c r="A20" s="1961"/>
      <c r="B20" s="2982"/>
      <c r="C20" s="1964" t="s">
        <v>1636</v>
      </c>
      <c r="D20" s="1043" t="e">
        <f>NUMBERSTRING(INT(D19*10000),2)&amp;"元整"</f>
        <v>#VALUE!</v>
      </c>
      <c r="E20" s="1961"/>
    </row>
    <row r="21" spans="1:5" ht="15.75" thickBot="1">
      <c r="A21" s="1961"/>
      <c r="B21" s="2983"/>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27833</v>
      </c>
      <c r="C2" s="2" t="s">
        <v>133</v>
      </c>
      <c r="D2" s="243"/>
      <c r="E2" s="243"/>
      <c r="F2" s="243"/>
      <c r="G2" s="243"/>
    </row>
    <row r="3" spans="1:7" s="244" customFormat="1" ht="18" customHeight="1" thickBot="1">
      <c r="A3" s="247" t="s">
        <v>85</v>
      </c>
      <c r="B3" s="248">
        <f ca="1">ROUND(B2*10000/'数据-汇总表'!E3,0)</f>
        <v>6444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255</v>
      </c>
      <c r="D9" s="1035">
        <f>'数据-汇总表'!E5</f>
        <v>42432.480000000003</v>
      </c>
      <c r="E9" s="269">
        <f>'数据-取费表'!B27</f>
        <v>60</v>
      </c>
      <c r="F9" s="265"/>
      <c r="G9" s="270"/>
    </row>
    <row r="10" spans="1:7" s="258" customFormat="1" ht="13.5" customHeight="1">
      <c r="A10" s="953" t="s">
        <v>801</v>
      </c>
      <c r="B10" s="268" t="s">
        <v>94</v>
      </c>
      <c r="C10" s="269">
        <f>ROUND(D10*E10/10000,0)</f>
        <v>5</v>
      </c>
      <c r="D10" s="1035">
        <f>'数据-汇总表'!E6</f>
        <v>756.54000000000087</v>
      </c>
      <c r="E10" s="269">
        <f>'数据-取费表'!B28</f>
        <v>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864</v>
      </c>
      <c r="D19" s="1039">
        <f>'数据-汇总表'!E3</f>
        <v>43189.020000000004</v>
      </c>
      <c r="E19" s="255">
        <f>'数据-取费表'!B31</f>
        <v>200</v>
      </c>
      <c r="F19" s="275"/>
      <c r="G19" s="1" t="s">
        <v>1074</v>
      </c>
    </row>
    <row r="20" spans="1:7" s="258" customFormat="1" ht="13.5" customHeight="1">
      <c r="A20" s="951" t="s">
        <v>1057</v>
      </c>
      <c r="B20" s="254" t="s">
        <v>104</v>
      </c>
      <c r="C20" s="276">
        <f>ROUND((C5+C19)*F20,0)</f>
        <v>433</v>
      </c>
      <c r="D20" s="276"/>
      <c r="E20" s="276"/>
      <c r="F20" s="277">
        <f>'数据-取费表'!B37</f>
        <v>0.02</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307</v>
      </c>
      <c r="D22" s="279">
        <f ca="1">C26</f>
        <v>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292</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12</v>
      </c>
      <c r="D24" s="282"/>
      <c r="E24" s="282"/>
      <c r="F24" s="283"/>
      <c r="G24" s="284" t="s">
        <v>109</v>
      </c>
    </row>
    <row r="25" spans="1:7" s="258" customFormat="1" ht="24">
      <c r="A25" s="954" t="s">
        <v>793</v>
      </c>
      <c r="B25" s="259" t="s">
        <v>1058</v>
      </c>
      <c r="C25" s="1358">
        <f ca="1">ROUND(IF('数据-取费表'!B22&lt;=1,C20*F22*'数据-取费表'!B23/2,C20*(POWER((1+F22),'数据-取费表'!B23/2)-1)),0)</f>
        <v>3</v>
      </c>
      <c r="D25" s="282"/>
      <c r="E25" s="285"/>
      <c r="F25" s="283"/>
      <c r="G25" s="286" t="s">
        <v>110</v>
      </c>
    </row>
    <row r="26" spans="1:7" s="258" customFormat="1">
      <c r="A26" s="954" t="s">
        <v>795</v>
      </c>
      <c r="B26" s="259" t="s">
        <v>1060</v>
      </c>
      <c r="C26" s="282">
        <f ca="1">ROUND(IF('数据-取费表'!B22&lt;=1,F21*F22*'数据-取费表'!B23/2,F21*(POWER((1+F22),'数据-取费表'!B23/2)-1)),4)</f>
        <v>1E-4</v>
      </c>
      <c r="D26" s="282"/>
      <c r="E26" s="285"/>
      <c r="F26" s="283"/>
      <c r="G26" s="287"/>
    </row>
    <row r="27" spans="1:7" s="258" customFormat="1" ht="24.75">
      <c r="A27" s="951" t="s">
        <v>787</v>
      </c>
      <c r="B27" s="288" t="s">
        <v>112</v>
      </c>
      <c r="C27" s="289">
        <f>C28</f>
        <v>221</v>
      </c>
      <c r="D27" s="279">
        <f>C29</f>
        <v>1E-4</v>
      </c>
      <c r="E27" s="280" t="s">
        <v>126</v>
      </c>
      <c r="F27" s="290">
        <f>'数据-取费表'!Q16</f>
        <v>0.05</v>
      </c>
      <c r="G27" s="291" t="s">
        <v>1069</v>
      </c>
    </row>
    <row r="28" spans="1:7" s="258" customFormat="1" ht="13.5" customHeight="1">
      <c r="A28" s="954" t="s">
        <v>794</v>
      </c>
      <c r="B28" s="292" t="s">
        <v>1062</v>
      </c>
      <c r="C28" s="293">
        <f>ROUND((C5+C19+C20)*F27*'数据-取费表'!B21/'数据-取费表'!B20,0)</f>
        <v>221</v>
      </c>
      <c r="D28" s="279"/>
      <c r="E28" s="280"/>
      <c r="F28" s="290"/>
      <c r="G28" s="291"/>
    </row>
    <row r="29" spans="1:7" s="258" customFormat="1" ht="13.5" customHeight="1">
      <c r="A29" s="954" t="s">
        <v>792</v>
      </c>
      <c r="B29" s="292" t="s">
        <v>1063</v>
      </c>
      <c r="C29" s="282">
        <f>ROUND(C21*F27*'数据-取费表'!B21/'数据-取费表'!B20,4)</f>
        <v>1E-4</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24171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3180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2719</v>
      </c>
      <c r="D34" s="261"/>
      <c r="E34" s="264"/>
      <c r="F34" s="301">
        <f>IF('数据-取费表'!B24=0,1,'数据-取费表'!N16)</f>
        <v>0.23499999999999999</v>
      </c>
      <c r="G34" s="263" t="s">
        <v>116</v>
      </c>
    </row>
    <row r="35" spans="1:7" ht="13.5" customHeight="1">
      <c r="A35" s="954" t="s">
        <v>796</v>
      </c>
      <c r="B35" s="259" t="s">
        <v>60</v>
      </c>
      <c r="C35" s="264">
        <f>ROUND(C34*F35,0)</f>
        <v>82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135</v>
      </c>
      <c r="D36" s="264"/>
      <c r="E36" s="264"/>
      <c r="F36" s="303">
        <f>'数据-取费表'!B34</f>
        <v>0.05</v>
      </c>
      <c r="G36" s="304" t="s">
        <v>62</v>
      </c>
    </row>
    <row r="37" spans="1:7" s="302" customFormat="1" ht="13.5" customHeight="1">
      <c r="A37" s="954" t="s">
        <v>798</v>
      </c>
      <c r="B37" s="259" t="s">
        <v>118</v>
      </c>
      <c r="C37" s="293">
        <f>ROUND(E37*D37*F34/10000,0)</f>
        <v>203</v>
      </c>
      <c r="D37" s="261">
        <f>'数据-汇总表'!E3</f>
        <v>43189.020000000004</v>
      </c>
      <c r="E37" s="293">
        <f>'数据-取费表'!B35</f>
        <v>200</v>
      </c>
      <c r="F37" s="303"/>
      <c r="G37" s="305" t="s">
        <v>119</v>
      </c>
    </row>
    <row r="38" spans="1:7" ht="13.5" customHeight="1">
      <c r="A38" s="954" t="s">
        <v>799</v>
      </c>
      <c r="B38" s="259" t="s">
        <v>63</v>
      </c>
      <c r="C38" s="264">
        <f>ROUND(C34*F38,0)</f>
        <v>41</v>
      </c>
      <c r="D38" s="264"/>
      <c r="E38" s="264"/>
      <c r="F38" s="303">
        <f>'数据-取费表'!B36</f>
        <v>1.4999999999999999E-2</v>
      </c>
      <c r="G38" s="263" t="s">
        <v>117</v>
      </c>
    </row>
    <row r="39" spans="1:7" s="258" customFormat="1" ht="13.5" customHeight="1">
      <c r="A39" s="951" t="s">
        <v>783</v>
      </c>
      <c r="B39" s="254" t="s">
        <v>104</v>
      </c>
      <c r="C39" s="276">
        <f>ROUND(C33*F20,0)</f>
        <v>64</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22</v>
      </c>
      <c r="D41" s="279">
        <f ca="1">C44</f>
        <v>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22</v>
      </c>
      <c r="D42" s="282"/>
      <c r="E42" s="282"/>
      <c r="F42" s="283"/>
      <c r="G42" s="3166" t="s">
        <v>121</v>
      </c>
    </row>
    <row r="43" spans="1:7" ht="13.5" customHeight="1">
      <c r="A43" s="954" t="s">
        <v>792</v>
      </c>
      <c r="B43" s="259" t="s">
        <v>1064</v>
      </c>
      <c r="C43" s="282">
        <f ca="1">ROUND(IF('数据-取费表'!B22&lt;=1,C39*F22*'数据-取费表'!B21/2,C39*(POWER((1+F22),'数据-取费表'!B21/2)-1)),0)</f>
        <v>0</v>
      </c>
      <c r="D43" s="282"/>
      <c r="E43" s="282"/>
      <c r="F43" s="283"/>
      <c r="G43" s="3167"/>
    </row>
    <row r="44" spans="1:7" ht="13.5" customHeight="1">
      <c r="A44" s="954" t="s">
        <v>793</v>
      </c>
      <c r="B44" s="259" t="s">
        <v>1066</v>
      </c>
      <c r="C44" s="282">
        <f ca="1">ROUND(IF('数据-取费表'!B22&lt;=1,C40*F22*'数据-取费表'!B21/2,C40*(POWER((1+F22),'数据-取费表'!B21/2)-1)),4)</f>
        <v>1E-4</v>
      </c>
      <c r="D44" s="282"/>
      <c r="E44" s="282"/>
      <c r="F44" s="283"/>
      <c r="G44" s="3168"/>
    </row>
    <row r="45" spans="1:7" s="258" customFormat="1" ht="13.5" customHeight="1">
      <c r="A45" s="951" t="s">
        <v>786</v>
      </c>
      <c r="B45" s="288" t="s">
        <v>112</v>
      </c>
      <c r="C45" s="289">
        <f>C46</f>
        <v>162</v>
      </c>
      <c r="D45" s="279">
        <f>C47</f>
        <v>5.0000000000000001E-4</v>
      </c>
      <c r="E45" s="280" t="s">
        <v>129</v>
      </c>
      <c r="F45" s="290"/>
      <c r="G45" s="291" t="s">
        <v>1072</v>
      </c>
    </row>
    <row r="46" spans="1:7" s="258" customFormat="1" ht="13.5" customHeight="1">
      <c r="A46" s="954" t="s">
        <v>794</v>
      </c>
      <c r="B46" s="292" t="s">
        <v>1065</v>
      </c>
      <c r="C46" s="293">
        <f>ROUND((C33+C39)*F27,0)</f>
        <v>162</v>
      </c>
      <c r="D46" s="307"/>
      <c r="E46" s="280"/>
      <c r="F46" s="290"/>
      <c r="G46" s="291"/>
    </row>
    <row r="47" spans="1:7" s="258" customFormat="1" ht="13.5" customHeight="1">
      <c r="A47" s="954" t="s">
        <v>792</v>
      </c>
      <c r="B47" s="292" t="s">
        <v>1067</v>
      </c>
      <c r="C47" s="282">
        <f>ROUND(C40*F27,4)</f>
        <v>5.0000000000000001E-4</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3662</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3662</v>
      </c>
      <c r="D51" s="276"/>
      <c r="E51" s="276"/>
      <c r="F51" s="308"/>
      <c r="G51" s="278" t="s">
        <v>64</v>
      </c>
    </row>
    <row r="52" spans="1:7" s="252" customFormat="1" ht="16.5" thickBot="1">
      <c r="A52" s="309" t="s">
        <v>65</v>
      </c>
      <c r="B52" s="310"/>
      <c r="C52" s="311">
        <f ca="1">C31+C51</f>
        <v>27833</v>
      </c>
      <c r="D52" s="310"/>
      <c r="E52" s="310"/>
      <c r="F52" s="310"/>
      <c r="G52" s="312"/>
    </row>
    <row r="55" spans="1:7" ht="15">
      <c r="B55" s="314" t="s">
        <v>66</v>
      </c>
      <c r="C55" s="315"/>
    </row>
    <row r="56" spans="1:7">
      <c r="B56" s="317" t="s">
        <v>67</v>
      </c>
      <c r="C56" s="318">
        <f ca="1">ROUND(C51/C52,3)</f>
        <v>0.13200000000000001</v>
      </c>
    </row>
    <row r="57" spans="1:7">
      <c r="B57" s="317" t="s">
        <v>68</v>
      </c>
      <c r="C57" s="319">
        <f ca="1">1-C56</f>
        <v>0.86799999999999999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5" t="s">
        <v>156</v>
      </c>
      <c r="B1" s="3305"/>
      <c r="C1" s="3305"/>
      <c r="D1" s="3305"/>
      <c r="E1" s="3305"/>
      <c r="F1" s="330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6" t="s">
        <v>169</v>
      </c>
      <c r="B2" s="3306"/>
      <c r="C2" s="3306"/>
      <c r="D2" s="3306"/>
      <c r="E2" s="3306"/>
      <c r="F2" s="330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5" t="s">
        <v>871</v>
      </c>
      <c r="B1" s="330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43262</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13"/>
  <sheetViews>
    <sheetView topLeftCell="A118" workbookViewId="0">
      <selection activeCell="K107" sqref="K107"/>
    </sheetView>
  </sheetViews>
  <sheetFormatPr defaultRowHeight="13.5"/>
  <cols>
    <col min="4" max="4" width="11.75" customWidth="1"/>
    <col min="5" max="5" width="12.75" customWidth="1"/>
    <col min="6" max="6" width="12.125" customWidth="1"/>
    <col min="7" max="7" width="13.375" customWidth="1"/>
  </cols>
  <sheetData>
    <row r="2" spans="2:7">
      <c r="B2" s="2951" t="s">
        <v>3133</v>
      </c>
    </row>
    <row r="3" spans="2:7" ht="14.25" thickBot="1">
      <c r="B3" s="2952" t="s">
        <v>3134</v>
      </c>
      <c r="C3" s="2953" t="s">
        <v>3135</v>
      </c>
      <c r="D3" s="2953" t="s">
        <v>3136</v>
      </c>
      <c r="E3" s="2953" t="s">
        <v>3137</v>
      </c>
    </row>
    <row r="4" spans="2:7">
      <c r="B4" s="2954">
        <v>2017.1</v>
      </c>
      <c r="C4" s="2956">
        <v>7080</v>
      </c>
      <c r="D4" s="2956">
        <v>0.73</v>
      </c>
      <c r="E4" s="2955"/>
    </row>
    <row r="5" spans="2:7">
      <c r="B5" s="2957">
        <v>2017.2</v>
      </c>
      <c r="C5" s="2959">
        <v>7218</v>
      </c>
      <c r="D5" s="2959">
        <v>1.95</v>
      </c>
      <c r="E5" s="2958"/>
    </row>
    <row r="6" spans="2:7">
      <c r="B6" s="2954">
        <v>2017.3</v>
      </c>
      <c r="C6" s="2956">
        <v>7370</v>
      </c>
      <c r="D6" s="2956">
        <v>2.11</v>
      </c>
      <c r="E6" s="2955"/>
    </row>
    <row r="7" spans="2:7">
      <c r="B7" s="2957">
        <v>2017.4</v>
      </c>
      <c r="C7" s="2959">
        <v>7514</v>
      </c>
      <c r="D7" s="2959">
        <v>1.95</v>
      </c>
      <c r="E7" s="2958"/>
    </row>
    <row r="8" spans="2:7" ht="14.25">
      <c r="B8" s="2960">
        <v>2018.1</v>
      </c>
      <c r="C8" s="2961">
        <v>7626</v>
      </c>
      <c r="D8" s="2961">
        <v>1.49</v>
      </c>
    </row>
    <row r="9" spans="2:7">
      <c r="D9">
        <f>AVERAGE(D4:D8)</f>
        <v>1.6459999999999997</v>
      </c>
    </row>
    <row r="13" spans="2:7">
      <c r="D13" s="3350" t="s">
        <v>3163</v>
      </c>
      <c r="E13" s="3350" t="s">
        <v>3165</v>
      </c>
      <c r="F13" s="2965" t="s">
        <v>3164</v>
      </c>
      <c r="G13" s="2966"/>
    </row>
    <row r="14" spans="2:7">
      <c r="D14" s="3350"/>
      <c r="E14" s="3350"/>
      <c r="F14" s="2965" t="s">
        <v>3166</v>
      </c>
      <c r="G14" s="2965" t="s">
        <v>3167</v>
      </c>
    </row>
    <row r="15" spans="2:7">
      <c r="D15" s="2965" t="s">
        <v>3168</v>
      </c>
      <c r="E15" s="2966">
        <f>'数据-基础表'!E19</f>
        <v>6760.08</v>
      </c>
      <c r="F15" s="2966">
        <f>'数据-基础表'!I19</f>
        <v>21216.240000000002</v>
      </c>
      <c r="G15" s="2966">
        <f>'数据-基础表'!AC19</f>
        <v>378.63</v>
      </c>
    </row>
    <row r="16" spans="2:7">
      <c r="D16" s="2965" t="s">
        <v>3169</v>
      </c>
      <c r="E16" s="2966">
        <f>'数据-基础表'!E20</f>
        <v>6759.85</v>
      </c>
      <c r="F16" s="2966">
        <f>'数据-基础表'!I20</f>
        <v>21216.240000000002</v>
      </c>
      <c r="G16" s="2966">
        <f>'数据-基础表'!AC20</f>
        <v>377.91</v>
      </c>
    </row>
    <row r="17" spans="2:7">
      <c r="D17" s="2965" t="s">
        <v>3170</v>
      </c>
      <c r="E17" s="2966">
        <f>SUM(E15:E16)</f>
        <v>13519.93</v>
      </c>
      <c r="F17" s="2966">
        <f>SUM(F15:F16)</f>
        <v>42432.480000000003</v>
      </c>
      <c r="G17" s="2966">
        <f>SUM(G15:G16)</f>
        <v>756.54</v>
      </c>
    </row>
    <row r="20" spans="2:7" ht="14.25" thickBot="1"/>
    <row r="21" spans="2:7" ht="14.25" thickBot="1">
      <c r="B21" s="3324" t="s">
        <v>3172</v>
      </c>
      <c r="C21" s="3325"/>
      <c r="D21" s="2967" t="s">
        <v>3173</v>
      </c>
      <c r="E21" s="2968" t="s">
        <v>3174</v>
      </c>
      <c r="F21" s="2968" t="s">
        <v>3175</v>
      </c>
      <c r="G21" s="2968" t="s">
        <v>3176</v>
      </c>
    </row>
    <row r="22" spans="2:7" ht="14.25" thickBot="1">
      <c r="B22" s="3326"/>
      <c r="C22" s="3327"/>
      <c r="D22" s="2969" t="s">
        <v>3177</v>
      </c>
      <c r="E22" s="2969" t="s">
        <v>3201</v>
      </c>
      <c r="F22" s="2969" t="s">
        <v>3205</v>
      </c>
      <c r="G22" s="2969" t="s">
        <v>3208</v>
      </c>
    </row>
    <row r="23" spans="2:7" ht="26.25" thickBot="1">
      <c r="B23" s="3328"/>
      <c r="C23" s="3329"/>
      <c r="D23" s="2969" t="s">
        <v>3178</v>
      </c>
      <c r="E23" s="2969" t="s">
        <v>3203</v>
      </c>
      <c r="F23" s="2969" t="s">
        <v>3203</v>
      </c>
      <c r="G23" s="2969" t="s">
        <v>3203</v>
      </c>
    </row>
    <row r="24" spans="2:7" ht="14.25" thickBot="1">
      <c r="B24" s="3309" t="s">
        <v>3179</v>
      </c>
      <c r="C24" s="3310"/>
      <c r="D24" s="2970" t="s">
        <v>3180</v>
      </c>
      <c r="E24" s="2971">
        <v>6751</v>
      </c>
      <c r="F24" s="2971">
        <v>6102</v>
      </c>
      <c r="G24" s="2971">
        <v>6506</v>
      </c>
    </row>
    <row r="25" spans="2:7" ht="14.25" thickBot="1">
      <c r="B25" s="3316" t="s">
        <v>3181</v>
      </c>
      <c r="C25" s="3317"/>
      <c r="D25" s="2972">
        <v>43262</v>
      </c>
      <c r="E25" s="2972">
        <v>42992</v>
      </c>
      <c r="F25" s="2972">
        <v>42992</v>
      </c>
      <c r="G25" s="2972">
        <v>42992</v>
      </c>
    </row>
    <row r="26" spans="2:7" ht="14.25" thickBot="1">
      <c r="B26" s="3316" t="s">
        <v>3182</v>
      </c>
      <c r="C26" s="3317"/>
      <c r="D26" s="2973" t="s">
        <v>3068</v>
      </c>
      <c r="E26" s="2973" t="s">
        <v>3068</v>
      </c>
      <c r="F26" s="2973" t="s">
        <v>3068</v>
      </c>
      <c r="G26" s="2973" t="s">
        <v>3068</v>
      </c>
    </row>
    <row r="27" spans="2:7" ht="14.25" thickBot="1">
      <c r="B27" s="3345" t="s">
        <v>3183</v>
      </c>
      <c r="C27" s="2974" t="s">
        <v>1375</v>
      </c>
      <c r="D27" s="2973" t="s">
        <v>3209</v>
      </c>
      <c r="E27" s="2973" t="s">
        <v>3209</v>
      </c>
      <c r="F27" s="2973" t="s">
        <v>3209</v>
      </c>
      <c r="G27" s="2973" t="s">
        <v>3209</v>
      </c>
    </row>
    <row r="28" spans="2:7" ht="14.25" thickBot="1">
      <c r="B28" s="3346"/>
      <c r="C28" s="2974" t="s">
        <v>3184</v>
      </c>
      <c r="D28" s="2971">
        <v>58.89</v>
      </c>
      <c r="E28" s="2971">
        <v>70</v>
      </c>
      <c r="F28" s="2971">
        <v>70</v>
      </c>
      <c r="G28" s="2971">
        <v>70</v>
      </c>
    </row>
    <row r="29" spans="2:7" ht="14.25" thickBot="1">
      <c r="B29" s="3346"/>
      <c r="C29" s="2974" t="s">
        <v>3185</v>
      </c>
      <c r="D29" s="2971">
        <v>3.19</v>
      </c>
      <c r="E29" s="2971">
        <v>2.4</v>
      </c>
      <c r="F29" s="2971">
        <v>2.8</v>
      </c>
      <c r="G29" s="2971">
        <v>2.9</v>
      </c>
    </row>
    <row r="30" spans="2:7" ht="128.25" thickBot="1">
      <c r="B30" s="3347" t="s">
        <v>3186</v>
      </c>
      <c r="C30" s="2974" t="s">
        <v>3187</v>
      </c>
      <c r="D30" s="2973" t="s">
        <v>3213</v>
      </c>
      <c r="E30" s="2973" t="s">
        <v>3211</v>
      </c>
      <c r="F30" s="2973" t="s">
        <v>3211</v>
      </c>
      <c r="G30" s="2973" t="s">
        <v>3211</v>
      </c>
    </row>
    <row r="31" spans="2:7" ht="319.5" thickBot="1">
      <c r="B31" s="3348"/>
      <c r="C31" s="2974" t="s">
        <v>3188</v>
      </c>
      <c r="D31" s="2973" t="s">
        <v>3212</v>
      </c>
      <c r="E31" s="2973" t="s">
        <v>3214</v>
      </c>
      <c r="F31" s="2973" t="s">
        <v>3214</v>
      </c>
      <c r="G31" s="2973" t="s">
        <v>3214</v>
      </c>
    </row>
    <row r="32" spans="2:7" ht="14.25" thickBot="1">
      <c r="B32" s="3348"/>
      <c r="C32" s="2974" t="s">
        <v>3189</v>
      </c>
      <c r="D32" s="2973" t="s">
        <v>3215</v>
      </c>
      <c r="E32" s="2973" t="s">
        <v>3094</v>
      </c>
      <c r="F32" s="2973" t="s">
        <v>3094</v>
      </c>
      <c r="G32" s="2973" t="s">
        <v>3094</v>
      </c>
    </row>
    <row r="33" spans="2:9" ht="243" thickBot="1">
      <c r="B33" s="3348"/>
      <c r="C33" s="2974" t="s">
        <v>3216</v>
      </c>
      <c r="D33" s="2973" t="s">
        <v>3217</v>
      </c>
      <c r="E33" s="2973" t="s">
        <v>3217</v>
      </c>
      <c r="F33" s="2973" t="s">
        <v>3217</v>
      </c>
      <c r="G33" s="2973" t="s">
        <v>3217</v>
      </c>
    </row>
    <row r="34" spans="2:9" ht="204.75" thickBot="1">
      <c r="B34" s="3348"/>
      <c r="C34" s="2974" t="s">
        <v>3218</v>
      </c>
      <c r="D34" s="2973" t="s">
        <v>3219</v>
      </c>
      <c r="E34" s="2973" t="s">
        <v>3219</v>
      </c>
      <c r="F34" s="2973" t="s">
        <v>3219</v>
      </c>
      <c r="G34" s="2973" t="s">
        <v>3219</v>
      </c>
    </row>
    <row r="35" spans="2:9" ht="14.25" thickBot="1">
      <c r="B35" s="3348"/>
      <c r="C35" s="2974" t="s">
        <v>3220</v>
      </c>
      <c r="D35" s="2973" t="s">
        <v>3221</v>
      </c>
      <c r="E35" s="2973" t="s">
        <v>3221</v>
      </c>
      <c r="F35" s="2973" t="s">
        <v>3221</v>
      </c>
      <c r="G35" s="2973" t="s">
        <v>3221</v>
      </c>
    </row>
    <row r="36" spans="2:9" ht="14.25" thickBot="1">
      <c r="B36" s="3347" t="s">
        <v>3193</v>
      </c>
      <c r="C36" s="2974" t="s">
        <v>3194</v>
      </c>
      <c r="D36" s="2971">
        <v>301815.3</v>
      </c>
      <c r="E36" s="2971">
        <v>62392.87</v>
      </c>
      <c r="F36" s="2971">
        <v>64726.28</v>
      </c>
      <c r="G36" s="2971">
        <v>65547.7</v>
      </c>
    </row>
    <row r="37" spans="2:9" ht="14.25" thickBot="1">
      <c r="B37" s="3348"/>
      <c r="C37" s="2974" t="s">
        <v>3195</v>
      </c>
      <c r="D37" s="2973" t="s">
        <v>3222</v>
      </c>
      <c r="E37" s="2973" t="s">
        <v>3145</v>
      </c>
      <c r="F37" s="2973" t="s">
        <v>3145</v>
      </c>
      <c r="G37" s="2973" t="s">
        <v>3223</v>
      </c>
    </row>
    <row r="38" spans="2:9" ht="14.25" thickBot="1">
      <c r="B38" s="3348"/>
      <c r="C38" s="2974" t="s">
        <v>3196</v>
      </c>
      <c r="D38" s="2973" t="s">
        <v>3197</v>
      </c>
      <c r="E38" s="2973" t="s">
        <v>3197</v>
      </c>
      <c r="F38" s="2973" t="s">
        <v>3197</v>
      </c>
      <c r="G38" s="2973" t="s">
        <v>3197</v>
      </c>
    </row>
    <row r="39" spans="2:9" ht="14.25" thickBot="1">
      <c r="B39" s="3348"/>
      <c r="C39" s="2974" t="s">
        <v>3198</v>
      </c>
      <c r="D39" s="2973" t="s">
        <v>3225</v>
      </c>
      <c r="E39" s="2973" t="s">
        <v>3225</v>
      </c>
      <c r="F39" s="2973" t="s">
        <v>3225</v>
      </c>
      <c r="G39" s="2973" t="s">
        <v>3225</v>
      </c>
    </row>
    <row r="40" spans="2:9" ht="14.25" thickBot="1">
      <c r="B40" s="3349"/>
      <c r="C40" s="2974" t="s">
        <v>3199</v>
      </c>
      <c r="D40" s="2973" t="s">
        <v>3224</v>
      </c>
      <c r="E40" s="2973" t="s">
        <v>3224</v>
      </c>
      <c r="F40" s="2973" t="s">
        <v>3224</v>
      </c>
      <c r="G40" s="2973" t="s">
        <v>3224</v>
      </c>
    </row>
    <row r="43" spans="2:9" ht="14.25" thickBot="1"/>
    <row r="44" spans="2:9" ht="14.25" thickBot="1">
      <c r="B44" s="3309" t="s">
        <v>3172</v>
      </c>
      <c r="C44" s="3310"/>
      <c r="D44" s="3311" t="s">
        <v>3226</v>
      </c>
      <c r="E44" s="3312"/>
      <c r="F44" s="3311" t="s">
        <v>3227</v>
      </c>
      <c r="G44" s="3312"/>
      <c r="H44" s="3311" t="s">
        <v>3228</v>
      </c>
      <c r="I44" s="3312"/>
    </row>
    <row r="45" spans="2:9" ht="14.25" thickBot="1">
      <c r="B45" s="3309" t="s">
        <v>3234</v>
      </c>
      <c r="C45" s="3310"/>
      <c r="D45" s="2975" t="s">
        <v>3230</v>
      </c>
      <c r="E45" s="2976">
        <v>97</v>
      </c>
      <c r="F45" s="2975" t="s">
        <v>3230</v>
      </c>
      <c r="G45" s="2976">
        <v>97</v>
      </c>
      <c r="H45" s="2975" t="s">
        <v>3230</v>
      </c>
      <c r="I45" s="2976">
        <v>97</v>
      </c>
    </row>
    <row r="46" spans="2:9" ht="14.25" thickBot="1">
      <c r="B46" s="3309" t="s">
        <v>3182</v>
      </c>
      <c r="C46" s="3310"/>
      <c r="D46" s="2975" t="s">
        <v>3230</v>
      </c>
      <c r="E46" s="2976">
        <v>100</v>
      </c>
      <c r="F46" s="2975" t="s">
        <v>3230</v>
      </c>
      <c r="G46" s="2976">
        <v>100</v>
      </c>
      <c r="H46" s="2975" t="s">
        <v>3230</v>
      </c>
      <c r="I46" s="2976">
        <v>100</v>
      </c>
    </row>
    <row r="47" spans="2:9" ht="14.25" thickBot="1">
      <c r="B47" s="3342" t="s">
        <v>3183</v>
      </c>
      <c r="C47" s="2977" t="s">
        <v>1375</v>
      </c>
      <c r="D47" s="2975" t="s">
        <v>3230</v>
      </c>
      <c r="E47" s="2976">
        <v>100</v>
      </c>
      <c r="F47" s="2975" t="s">
        <v>3230</v>
      </c>
      <c r="G47" s="2976">
        <v>100</v>
      </c>
      <c r="H47" s="2975" t="s">
        <v>3230</v>
      </c>
      <c r="I47" s="2976">
        <v>100</v>
      </c>
    </row>
    <row r="48" spans="2:9" ht="14.25" thickBot="1">
      <c r="B48" s="3343"/>
      <c r="C48" s="2977" t="s">
        <v>3231</v>
      </c>
      <c r="D48" s="2975" t="s">
        <v>3230</v>
      </c>
      <c r="E48" s="2976">
        <v>103</v>
      </c>
      <c r="F48" s="2975" t="s">
        <v>3230</v>
      </c>
      <c r="G48" s="2976">
        <v>103</v>
      </c>
      <c r="H48" s="2975" t="s">
        <v>3230</v>
      </c>
      <c r="I48" s="2976">
        <v>103</v>
      </c>
    </row>
    <row r="49" spans="2:9" ht="14.25" thickBot="1">
      <c r="B49" s="3343"/>
      <c r="C49" s="2977" t="s">
        <v>3185</v>
      </c>
      <c r="D49" s="2975" t="s">
        <v>3230</v>
      </c>
      <c r="E49" s="2976">
        <v>100</v>
      </c>
      <c r="F49" s="2975" t="s">
        <v>3230</v>
      </c>
      <c r="G49" s="2976">
        <v>100</v>
      </c>
      <c r="H49" s="2975" t="s">
        <v>3230</v>
      </c>
      <c r="I49" s="2976">
        <v>100</v>
      </c>
    </row>
    <row r="50" spans="2:9" ht="14.25" thickBot="1">
      <c r="B50" s="3342" t="s">
        <v>3186</v>
      </c>
      <c r="C50" s="2974" t="s">
        <v>3187</v>
      </c>
      <c r="D50" s="2975" t="s">
        <v>3230</v>
      </c>
      <c r="E50" s="2976">
        <v>95</v>
      </c>
      <c r="F50" s="2975" t="s">
        <v>3230</v>
      </c>
      <c r="G50" s="2976">
        <v>95</v>
      </c>
      <c r="H50" s="2975" t="s">
        <v>3230</v>
      </c>
      <c r="I50" s="2976">
        <v>95</v>
      </c>
    </row>
    <row r="51" spans="2:9" ht="14.25" thickBot="1">
      <c r="B51" s="3343"/>
      <c r="C51" s="2974" t="s">
        <v>3188</v>
      </c>
      <c r="D51" s="2975" t="s">
        <v>3230</v>
      </c>
      <c r="E51" s="2976">
        <v>94</v>
      </c>
      <c r="F51" s="2975" t="s">
        <v>3230</v>
      </c>
      <c r="G51" s="2976">
        <v>94</v>
      </c>
      <c r="H51" s="2975" t="s">
        <v>3230</v>
      </c>
      <c r="I51" s="2976">
        <v>94</v>
      </c>
    </row>
    <row r="52" spans="2:9" ht="14.25" thickBot="1">
      <c r="B52" s="3343"/>
      <c r="C52" s="2974" t="s">
        <v>3189</v>
      </c>
      <c r="D52" s="2975" t="s">
        <v>3230</v>
      </c>
      <c r="E52" s="2976">
        <v>100</v>
      </c>
      <c r="F52" s="2975" t="s">
        <v>3230</v>
      </c>
      <c r="G52" s="2976">
        <v>100</v>
      </c>
      <c r="H52" s="2975" t="s">
        <v>3230</v>
      </c>
      <c r="I52" s="2976">
        <v>100</v>
      </c>
    </row>
    <row r="53" spans="2:9" ht="14.25" thickBot="1">
      <c r="B53" s="3343"/>
      <c r="C53" s="2974" t="s">
        <v>3190</v>
      </c>
      <c r="D53" s="2975" t="s">
        <v>3230</v>
      </c>
      <c r="E53" s="2976">
        <v>100</v>
      </c>
      <c r="F53" s="2975" t="s">
        <v>3230</v>
      </c>
      <c r="G53" s="2976">
        <v>100</v>
      </c>
      <c r="H53" s="2975" t="s">
        <v>3230</v>
      </c>
      <c r="I53" s="2976">
        <v>100</v>
      </c>
    </row>
    <row r="54" spans="2:9" ht="14.25" thickBot="1">
      <c r="B54" s="3343"/>
      <c r="C54" s="2974" t="s">
        <v>3191</v>
      </c>
      <c r="D54" s="2975" t="s">
        <v>3230</v>
      </c>
      <c r="E54" s="2976">
        <v>100</v>
      </c>
      <c r="F54" s="2975" t="s">
        <v>3230</v>
      </c>
      <c r="G54" s="2976">
        <v>100</v>
      </c>
      <c r="H54" s="2975" t="s">
        <v>3230</v>
      </c>
      <c r="I54" s="2976">
        <v>100</v>
      </c>
    </row>
    <row r="55" spans="2:9" ht="14.25" thickBot="1">
      <c r="B55" s="3343"/>
      <c r="C55" s="2974" t="s">
        <v>3192</v>
      </c>
      <c r="D55" s="2975" t="s">
        <v>3230</v>
      </c>
      <c r="E55" s="2976">
        <v>100</v>
      </c>
      <c r="F55" s="2975" t="s">
        <v>3230</v>
      </c>
      <c r="G55" s="2976">
        <v>100</v>
      </c>
      <c r="H55" s="2975" t="s">
        <v>3230</v>
      </c>
      <c r="I55" s="2976">
        <v>100</v>
      </c>
    </row>
    <row r="56" spans="2:9" ht="14.25" thickBot="1">
      <c r="B56" s="3342" t="s">
        <v>3193</v>
      </c>
      <c r="C56" s="2974" t="s">
        <v>3194</v>
      </c>
      <c r="D56" s="2975" t="s">
        <v>3230</v>
      </c>
      <c r="E56" s="2976">
        <v>98</v>
      </c>
      <c r="F56" s="2975" t="s">
        <v>3230</v>
      </c>
      <c r="G56" s="2976">
        <v>98</v>
      </c>
      <c r="H56" s="2975" t="s">
        <v>3230</v>
      </c>
      <c r="I56" s="2976">
        <v>98</v>
      </c>
    </row>
    <row r="57" spans="2:9" ht="14.25" thickBot="1">
      <c r="B57" s="3343"/>
      <c r="C57" s="2974" t="s">
        <v>3195</v>
      </c>
      <c r="D57" s="2975" t="s">
        <v>3230</v>
      </c>
      <c r="E57" s="2976">
        <v>110</v>
      </c>
      <c r="F57" s="2975" t="s">
        <v>3230</v>
      </c>
      <c r="G57" s="2976">
        <v>110</v>
      </c>
      <c r="H57" s="2975" t="s">
        <v>3230</v>
      </c>
      <c r="I57" s="2976">
        <v>115</v>
      </c>
    </row>
    <row r="58" spans="2:9" ht="14.25" thickBot="1">
      <c r="B58" s="3343"/>
      <c r="C58" s="2974" t="s">
        <v>3196</v>
      </c>
      <c r="D58" s="2975" t="s">
        <v>3230</v>
      </c>
      <c r="E58" s="2976">
        <v>100</v>
      </c>
      <c r="F58" s="2975" t="s">
        <v>3230</v>
      </c>
      <c r="G58" s="2976">
        <v>100</v>
      </c>
      <c r="H58" s="2975" t="s">
        <v>3230</v>
      </c>
      <c r="I58" s="2976">
        <v>100</v>
      </c>
    </row>
    <row r="59" spans="2:9" ht="14.25" thickBot="1">
      <c r="B59" s="3343"/>
      <c r="C59" s="2974" t="s">
        <v>3198</v>
      </c>
      <c r="D59" s="2975" t="s">
        <v>3230</v>
      </c>
      <c r="E59" s="2976">
        <v>99</v>
      </c>
      <c r="F59" s="2975" t="s">
        <v>3230</v>
      </c>
      <c r="G59" s="2976">
        <v>98</v>
      </c>
      <c r="H59" s="2975" t="s">
        <v>3230</v>
      </c>
      <c r="I59" s="2976">
        <v>100</v>
      </c>
    </row>
    <row r="60" spans="2:9" ht="14.25" thickBot="1">
      <c r="B60" s="3344"/>
      <c r="C60" s="2974" t="s">
        <v>3199</v>
      </c>
      <c r="D60" s="2975" t="s">
        <v>3230</v>
      </c>
      <c r="E60" s="2976">
        <v>100</v>
      </c>
      <c r="F60" s="2975" t="s">
        <v>3230</v>
      </c>
      <c r="G60" s="2976">
        <v>100</v>
      </c>
      <c r="H60" s="2975" t="s">
        <v>3230</v>
      </c>
      <c r="I60" s="2976">
        <v>100</v>
      </c>
    </row>
    <row r="61" spans="2:9" ht="14.25" thickBot="1">
      <c r="B61" s="3311" t="s">
        <v>3232</v>
      </c>
      <c r="C61" s="3312"/>
      <c r="D61" s="3340">
        <v>6751</v>
      </c>
      <c r="E61" s="3341"/>
      <c r="F61" s="3340">
        <v>6102</v>
      </c>
      <c r="G61" s="3341"/>
      <c r="H61" s="3340">
        <v>6506</v>
      </c>
      <c r="I61" s="3341"/>
    </row>
    <row r="62" spans="2:9" ht="14.25" thickBot="1">
      <c r="B62" s="3311" t="s">
        <v>3233</v>
      </c>
      <c r="C62" s="3312"/>
      <c r="D62" s="3340">
        <v>7019</v>
      </c>
      <c r="E62" s="3341"/>
      <c r="F62" s="3340">
        <v>6344</v>
      </c>
      <c r="G62" s="3341"/>
      <c r="H62" s="3340">
        <v>6470</v>
      </c>
      <c r="I62" s="3341"/>
    </row>
    <row r="65" spans="2:11" ht="14.25" thickBot="1"/>
    <row r="66" spans="2:11" ht="14.25" thickBot="1">
      <c r="B66" s="3324" t="s">
        <v>3172</v>
      </c>
      <c r="C66" s="3325"/>
      <c r="D66" s="3330" t="s">
        <v>3173</v>
      </c>
      <c r="E66" s="3331"/>
      <c r="F66" s="3332" t="s">
        <v>3235</v>
      </c>
      <c r="G66" s="3333"/>
      <c r="H66" s="3332" t="s">
        <v>3236</v>
      </c>
      <c r="I66" s="3333"/>
      <c r="J66" s="3332" t="s">
        <v>3237</v>
      </c>
      <c r="K66" s="3333"/>
    </row>
    <row r="67" spans="2:11" ht="24" customHeight="1" thickBot="1">
      <c r="B67" s="3326"/>
      <c r="C67" s="3327"/>
      <c r="D67" s="3336" t="s">
        <v>3238</v>
      </c>
      <c r="E67" s="3337"/>
      <c r="F67" s="3334" t="s">
        <v>3240</v>
      </c>
      <c r="G67" s="3335"/>
      <c r="H67" s="3338" t="s">
        <v>3243</v>
      </c>
      <c r="I67" s="3339"/>
      <c r="J67" s="3334" t="s">
        <v>3247</v>
      </c>
      <c r="K67" s="3335"/>
    </row>
    <row r="68" spans="2:11" ht="57" customHeight="1" thickBot="1">
      <c r="B68" s="3328"/>
      <c r="C68" s="3329"/>
      <c r="D68" s="3336" t="s">
        <v>3251</v>
      </c>
      <c r="E68" s="3337"/>
      <c r="F68" s="3334" t="s">
        <v>3250</v>
      </c>
      <c r="G68" s="3335"/>
      <c r="H68" s="3334" t="s">
        <v>3245</v>
      </c>
      <c r="I68" s="3335"/>
      <c r="J68" s="3334" t="s">
        <v>3249</v>
      </c>
      <c r="K68" s="3335"/>
    </row>
    <row r="69" spans="2:11" ht="14.25" thickBot="1">
      <c r="B69" s="3316" t="s">
        <v>3181</v>
      </c>
      <c r="C69" s="3317"/>
      <c r="D69" s="2979">
        <v>43262</v>
      </c>
      <c r="E69" s="2971">
        <v>100</v>
      </c>
      <c r="F69" s="2979">
        <v>43262</v>
      </c>
      <c r="G69" s="2971">
        <v>100</v>
      </c>
      <c r="H69" s="2979">
        <v>43262</v>
      </c>
      <c r="I69" s="2971">
        <v>100</v>
      </c>
      <c r="J69" s="2979">
        <v>43262</v>
      </c>
      <c r="K69" s="2971">
        <v>100</v>
      </c>
    </row>
    <row r="70" spans="2:11" ht="14.25" thickBot="1">
      <c r="B70" s="3316" t="s">
        <v>3182</v>
      </c>
      <c r="C70" s="3317"/>
      <c r="D70" s="2978" t="s">
        <v>3252</v>
      </c>
      <c r="E70" s="2971">
        <v>100</v>
      </c>
      <c r="F70" s="2978" t="s">
        <v>3252</v>
      </c>
      <c r="G70" s="2971">
        <v>100</v>
      </c>
      <c r="H70" s="2978" t="s">
        <v>3252</v>
      </c>
      <c r="I70" s="2971">
        <v>100</v>
      </c>
      <c r="J70" s="2978" t="s">
        <v>3252</v>
      </c>
      <c r="K70" s="2971">
        <v>100</v>
      </c>
    </row>
    <row r="71" spans="2:11" ht="14.25" thickBot="1">
      <c r="B71" s="3318" t="s">
        <v>3183</v>
      </c>
      <c r="C71" s="2973" t="s">
        <v>1375</v>
      </c>
      <c r="D71" s="2978" t="s">
        <v>3253</v>
      </c>
      <c r="E71" s="2971">
        <v>100</v>
      </c>
      <c r="F71" s="2978" t="s">
        <v>3253</v>
      </c>
      <c r="G71" s="2971">
        <v>100</v>
      </c>
      <c r="H71" s="2978" t="s">
        <v>3253</v>
      </c>
      <c r="I71" s="2971">
        <v>100</v>
      </c>
      <c r="J71" s="2978" t="s">
        <v>3253</v>
      </c>
      <c r="K71" s="2971">
        <v>100</v>
      </c>
    </row>
    <row r="72" spans="2:11" ht="26.25" thickBot="1">
      <c r="B72" s="3319"/>
      <c r="C72" s="2973" t="s">
        <v>3184</v>
      </c>
      <c r="D72" s="2971" t="s">
        <v>3254</v>
      </c>
      <c r="E72" s="2971">
        <v>100</v>
      </c>
      <c r="F72" s="2971" t="s">
        <v>3255</v>
      </c>
      <c r="G72" s="2971">
        <v>103</v>
      </c>
      <c r="H72" s="2971" t="s">
        <v>3255</v>
      </c>
      <c r="I72" s="2971">
        <v>103</v>
      </c>
      <c r="J72" s="2971" t="s">
        <v>3255</v>
      </c>
      <c r="K72" s="2971">
        <v>103</v>
      </c>
    </row>
    <row r="73" spans="2:11" ht="14.25" thickBot="1">
      <c r="B73" s="3320"/>
      <c r="C73" s="2973" t="s">
        <v>3185</v>
      </c>
      <c r="D73" s="2971">
        <v>3.19</v>
      </c>
      <c r="E73" s="2971">
        <v>100</v>
      </c>
      <c r="F73" s="2971">
        <v>2.68</v>
      </c>
      <c r="G73" s="2971">
        <v>100</v>
      </c>
      <c r="H73" s="2971">
        <v>2.1</v>
      </c>
      <c r="I73" s="2971">
        <v>100</v>
      </c>
      <c r="J73" s="2971">
        <v>2.56</v>
      </c>
      <c r="K73" s="2971">
        <v>100</v>
      </c>
    </row>
    <row r="74" spans="2:11" ht="24.75" thickBot="1">
      <c r="B74" s="3318" t="s">
        <v>3186</v>
      </c>
      <c r="C74" s="2971" t="str">
        <f>'比较法-住宅'!B15</f>
        <v>居住社区成熟度</v>
      </c>
      <c r="D74" s="2978" t="s">
        <v>3210</v>
      </c>
      <c r="E74" s="2971">
        <v>100</v>
      </c>
      <c r="F74" s="2978" t="s">
        <v>3210</v>
      </c>
      <c r="G74" s="2971">
        <v>100</v>
      </c>
      <c r="H74" s="2978" t="s">
        <v>3210</v>
      </c>
      <c r="I74" s="2971">
        <v>100</v>
      </c>
      <c r="J74" s="2978" t="s">
        <v>3210</v>
      </c>
      <c r="K74" s="2971">
        <v>100</v>
      </c>
    </row>
    <row r="75" spans="2:11" ht="14.25" thickBot="1">
      <c r="B75" s="3319"/>
      <c r="C75" s="2971" t="str">
        <f>'比较法-住宅'!B17</f>
        <v>交通便捷度</v>
      </c>
      <c r="D75" s="2978" t="s">
        <v>3257</v>
      </c>
      <c r="E75" s="2971">
        <v>100</v>
      </c>
      <c r="F75" s="2978" t="s">
        <v>3224</v>
      </c>
      <c r="G75" s="2971">
        <v>96</v>
      </c>
      <c r="H75" s="2978" t="s">
        <v>3224</v>
      </c>
      <c r="I75" s="2971">
        <v>96</v>
      </c>
      <c r="J75" s="2978" t="s">
        <v>3210</v>
      </c>
      <c r="K75" s="2971">
        <v>98</v>
      </c>
    </row>
    <row r="76" spans="2:11" ht="24.75" thickBot="1">
      <c r="B76" s="3319"/>
      <c r="C76" s="2971" t="str">
        <f>'比较法-住宅'!B19</f>
        <v>公共配套设施</v>
      </c>
      <c r="D76" s="2978" t="s">
        <v>3224</v>
      </c>
      <c r="E76" s="2971">
        <v>100</v>
      </c>
      <c r="F76" s="2978" t="s">
        <v>3224</v>
      </c>
      <c r="G76" s="2971">
        <v>100</v>
      </c>
      <c r="H76" s="2978" t="s">
        <v>3224</v>
      </c>
      <c r="I76" s="2971">
        <v>100</v>
      </c>
      <c r="J76" s="2978" t="s">
        <v>3224</v>
      </c>
      <c r="K76" s="2971">
        <v>100</v>
      </c>
    </row>
    <row r="77" spans="2:11" ht="24.75" thickBot="1">
      <c r="B77" s="3319"/>
      <c r="C77" s="2971" t="str">
        <f>'比较法-住宅'!B21</f>
        <v>基础设施水平</v>
      </c>
      <c r="D77" s="2978" t="s">
        <v>3258</v>
      </c>
      <c r="E77" s="2971">
        <v>100</v>
      </c>
      <c r="F77" s="2978" t="s">
        <v>3258</v>
      </c>
      <c r="G77" s="2971">
        <v>100</v>
      </c>
      <c r="H77" s="2978" t="s">
        <v>3258</v>
      </c>
      <c r="I77" s="2971">
        <v>100</v>
      </c>
      <c r="J77" s="2978" t="s">
        <v>3258</v>
      </c>
      <c r="K77" s="2971">
        <v>100</v>
      </c>
    </row>
    <row r="78" spans="2:11" ht="24.75" thickBot="1">
      <c r="B78" s="3319"/>
      <c r="C78" s="2971" t="str">
        <f>'比较法-住宅'!B23</f>
        <v>自然及人文环境</v>
      </c>
      <c r="D78" s="2978" t="s">
        <v>3210</v>
      </c>
      <c r="E78" s="2971">
        <v>100</v>
      </c>
      <c r="F78" s="2978" t="s">
        <v>3257</v>
      </c>
      <c r="G78" s="2971">
        <v>103</v>
      </c>
      <c r="H78" s="2978" t="s">
        <v>3210</v>
      </c>
      <c r="I78" s="2971">
        <v>100</v>
      </c>
      <c r="J78" s="2978" t="s">
        <v>3210</v>
      </c>
      <c r="K78" s="2971">
        <v>100</v>
      </c>
    </row>
    <row r="79" spans="2:11" ht="14.25" thickBot="1">
      <c r="B79" s="3321" t="s">
        <v>3193</v>
      </c>
      <c r="C79" s="2971" t="str">
        <f>'比较法-住宅'!B32</f>
        <v>建筑类型</v>
      </c>
      <c r="D79" s="2978" t="s">
        <v>3259</v>
      </c>
      <c r="E79" s="2971">
        <v>100</v>
      </c>
      <c r="F79" s="2978" t="s">
        <v>3259</v>
      </c>
      <c r="G79" s="2971">
        <v>100</v>
      </c>
      <c r="H79" s="2978" t="s">
        <v>3259</v>
      </c>
      <c r="I79" s="2971">
        <v>100</v>
      </c>
      <c r="J79" s="2978" t="s">
        <v>3259</v>
      </c>
      <c r="K79" s="2971">
        <v>100</v>
      </c>
    </row>
    <row r="80" spans="2:11" ht="24.75" thickBot="1">
      <c r="B80" s="3322"/>
      <c r="C80" s="2971" t="str">
        <f>'比较法-住宅'!B33</f>
        <v>项目建筑规模</v>
      </c>
      <c r="D80" s="2971">
        <v>964140.41</v>
      </c>
      <c r="E80" s="2971">
        <v>100</v>
      </c>
      <c r="F80" s="2971">
        <v>1100000</v>
      </c>
      <c r="G80" s="2971">
        <v>101</v>
      </c>
      <c r="H80" s="2971">
        <v>241915</v>
      </c>
      <c r="I80" s="2971">
        <v>98</v>
      </c>
      <c r="J80" s="2971">
        <v>595381</v>
      </c>
      <c r="K80" s="2971">
        <v>99</v>
      </c>
    </row>
    <row r="81" spans="2:11" ht="14.25" thickBot="1">
      <c r="B81" s="3322"/>
      <c r="C81" s="2971" t="str">
        <f>'比较法-住宅'!B34</f>
        <v>建筑结构</v>
      </c>
      <c r="D81" s="2978" t="s">
        <v>3260</v>
      </c>
      <c r="E81" s="2971">
        <v>100</v>
      </c>
      <c r="F81" s="2978" t="s">
        <v>3260</v>
      </c>
      <c r="G81" s="2971">
        <v>100</v>
      </c>
      <c r="H81" s="2978" t="s">
        <v>3260</v>
      </c>
      <c r="I81" s="2971">
        <v>100</v>
      </c>
      <c r="J81" s="2978" t="s">
        <v>3260</v>
      </c>
      <c r="K81" s="2971">
        <v>100</v>
      </c>
    </row>
    <row r="82" spans="2:11" ht="14.25" thickBot="1">
      <c r="B82" s="3322"/>
      <c r="C82" s="2971" t="str">
        <f>'比较法-住宅'!B35</f>
        <v>建筑品质</v>
      </c>
      <c r="D82" s="2978" t="s">
        <v>3261</v>
      </c>
      <c r="E82" s="2971">
        <v>100</v>
      </c>
      <c r="F82" s="2978" t="s">
        <v>3261</v>
      </c>
      <c r="G82" s="2971">
        <v>100</v>
      </c>
      <c r="H82" s="2978" t="s">
        <v>3261</v>
      </c>
      <c r="I82" s="2971">
        <v>100</v>
      </c>
      <c r="J82" s="2978" t="s">
        <v>3261</v>
      </c>
      <c r="K82" s="2971">
        <v>100</v>
      </c>
    </row>
    <row r="83" spans="2:11" ht="24.75" thickBot="1">
      <c r="B83" s="3322"/>
      <c r="C83" s="2971" t="str">
        <f>'比较法-住宅'!B36</f>
        <v>公共部分装修</v>
      </c>
      <c r="D83" s="2978" t="s">
        <v>3262</v>
      </c>
      <c r="E83" s="2971">
        <v>100</v>
      </c>
      <c r="F83" s="2978" t="s">
        <v>3262</v>
      </c>
      <c r="G83" s="2971">
        <v>100</v>
      </c>
      <c r="H83" s="2978" t="s">
        <v>3262</v>
      </c>
      <c r="I83" s="2971">
        <v>100</v>
      </c>
      <c r="J83" s="2978" t="s">
        <v>3262</v>
      </c>
      <c r="K83" s="2971">
        <v>100</v>
      </c>
    </row>
    <row r="84" spans="2:11" ht="14.25" thickBot="1">
      <c r="B84" s="3322"/>
      <c r="C84" s="2971" t="str">
        <f>'比较法-住宅'!B38</f>
        <v>物业管理</v>
      </c>
      <c r="D84" s="2978" t="s">
        <v>3263</v>
      </c>
      <c r="E84" s="2971">
        <v>100</v>
      </c>
      <c r="F84" s="2978" t="s">
        <v>3263</v>
      </c>
      <c r="G84" s="2971">
        <v>100</v>
      </c>
      <c r="H84" s="2978" t="s">
        <v>3263</v>
      </c>
      <c r="I84" s="2971">
        <v>100</v>
      </c>
      <c r="J84" s="2978" t="s">
        <v>3263</v>
      </c>
      <c r="K84" s="2971">
        <v>100</v>
      </c>
    </row>
    <row r="85" spans="2:11" ht="24.75" thickBot="1">
      <c r="B85" s="3322"/>
      <c r="C85" s="2971" t="str">
        <f>'比较法-住宅'!B39</f>
        <v>市政基础设施</v>
      </c>
      <c r="D85" s="2978" t="s">
        <v>3264</v>
      </c>
      <c r="E85" s="2971">
        <v>100</v>
      </c>
      <c r="F85" s="2978" t="s">
        <v>3264</v>
      </c>
      <c r="G85" s="2971">
        <v>100</v>
      </c>
      <c r="H85" s="2978" t="s">
        <v>3264</v>
      </c>
      <c r="I85" s="2971">
        <v>100</v>
      </c>
      <c r="J85" s="2978" t="s">
        <v>3264</v>
      </c>
      <c r="K85" s="2971">
        <v>100</v>
      </c>
    </row>
    <row r="86" spans="2:11" ht="23.25" customHeight="1" thickBot="1">
      <c r="B86" s="3322"/>
      <c r="C86" s="2978" t="s">
        <v>3256</v>
      </c>
      <c r="D86" s="2971" t="s">
        <v>3265</v>
      </c>
      <c r="E86" s="2971">
        <v>100</v>
      </c>
      <c r="F86" s="2971" t="s">
        <v>3266</v>
      </c>
      <c r="G86" s="2971">
        <v>102</v>
      </c>
      <c r="H86" s="2971" t="s">
        <v>3266</v>
      </c>
      <c r="I86" s="2971">
        <v>102</v>
      </c>
      <c r="J86" s="2971" t="s">
        <v>3266</v>
      </c>
      <c r="K86" s="2971">
        <v>102</v>
      </c>
    </row>
    <row r="87" spans="2:11" ht="14.25" thickBot="1">
      <c r="B87" s="3323"/>
      <c r="C87" s="2971" t="str">
        <f>'比较法-住宅'!B42</f>
        <v>内部装修</v>
      </c>
      <c r="D87" s="2978" t="s">
        <v>3262</v>
      </c>
      <c r="E87" s="2971">
        <v>100</v>
      </c>
      <c r="F87" s="2978" t="s">
        <v>3262</v>
      </c>
      <c r="G87" s="2971">
        <v>100</v>
      </c>
      <c r="H87" s="2978" t="s">
        <v>3262</v>
      </c>
      <c r="I87" s="2971">
        <v>100</v>
      </c>
      <c r="J87" s="2978" t="s">
        <v>3262</v>
      </c>
      <c r="K87" s="2971">
        <v>100</v>
      </c>
    </row>
    <row r="91" spans="2:11" ht="14.25" thickBot="1"/>
    <row r="92" spans="2:11" ht="14.25" thickBot="1">
      <c r="B92" s="3309" t="s">
        <v>3172</v>
      </c>
      <c r="C92" s="3310"/>
      <c r="D92" s="3311" t="s">
        <v>3235</v>
      </c>
      <c r="E92" s="3312"/>
      <c r="F92" s="3311" t="s">
        <v>3269</v>
      </c>
      <c r="G92" s="3312"/>
      <c r="H92" s="3311" t="s">
        <v>3270</v>
      </c>
      <c r="I92" s="3312"/>
    </row>
    <row r="93" spans="2:11" ht="14.25" thickBot="1">
      <c r="B93" s="3309" t="s">
        <v>3229</v>
      </c>
      <c r="C93" s="3310"/>
      <c r="D93" s="2975" t="s">
        <v>3230</v>
      </c>
      <c r="E93" s="2976">
        <f>G69</f>
        <v>100</v>
      </c>
      <c r="F93" s="2975" t="s">
        <v>3230</v>
      </c>
      <c r="G93" s="2976">
        <f>I69</f>
        <v>100</v>
      </c>
      <c r="H93" s="2975" t="s">
        <v>3230</v>
      </c>
      <c r="I93" s="2976">
        <f>K69</f>
        <v>100</v>
      </c>
    </row>
    <row r="94" spans="2:11" ht="14.25" thickBot="1">
      <c r="B94" s="3309" t="s">
        <v>3182</v>
      </c>
      <c r="C94" s="3310"/>
      <c r="D94" s="2975" t="s">
        <v>3230</v>
      </c>
      <c r="E94" s="2976">
        <f t="shared" ref="E94:E111" si="0">G70</f>
        <v>100</v>
      </c>
      <c r="F94" s="2975" t="s">
        <v>3230</v>
      </c>
      <c r="G94" s="2976">
        <f t="shared" ref="G94:G111" si="1">I70</f>
        <v>100</v>
      </c>
      <c r="H94" s="2975" t="s">
        <v>3230</v>
      </c>
      <c r="I94" s="2976">
        <f t="shared" ref="I94:I111" si="2">K70</f>
        <v>100</v>
      </c>
    </row>
    <row r="95" spans="2:11" ht="14.25" thickBot="1">
      <c r="B95" s="3313" t="s">
        <v>3183</v>
      </c>
      <c r="C95" s="2977" t="s">
        <v>1375</v>
      </c>
      <c r="D95" s="2975" t="s">
        <v>3230</v>
      </c>
      <c r="E95" s="2976">
        <f t="shared" si="0"/>
        <v>100</v>
      </c>
      <c r="F95" s="2975" t="s">
        <v>3230</v>
      </c>
      <c r="G95" s="2976">
        <f t="shared" si="1"/>
        <v>100</v>
      </c>
      <c r="H95" s="2975" t="s">
        <v>3230</v>
      </c>
      <c r="I95" s="2976">
        <f t="shared" si="2"/>
        <v>100</v>
      </c>
    </row>
    <row r="96" spans="2:11" ht="14.25" thickBot="1">
      <c r="B96" s="3314"/>
      <c r="C96" s="2977" t="s">
        <v>3231</v>
      </c>
      <c r="D96" s="2975" t="s">
        <v>3230</v>
      </c>
      <c r="E96" s="2976">
        <f t="shared" si="0"/>
        <v>103</v>
      </c>
      <c r="F96" s="2975" t="s">
        <v>3230</v>
      </c>
      <c r="G96" s="2976">
        <f t="shared" si="1"/>
        <v>103</v>
      </c>
      <c r="H96" s="2975" t="s">
        <v>3230</v>
      </c>
      <c r="I96" s="2976">
        <f t="shared" si="2"/>
        <v>103</v>
      </c>
    </row>
    <row r="97" spans="2:9" ht="14.25" thickBot="1">
      <c r="B97" s="3315"/>
      <c r="C97" s="2977" t="s">
        <v>3185</v>
      </c>
      <c r="D97" s="2975" t="s">
        <v>3230</v>
      </c>
      <c r="E97" s="2976">
        <f t="shared" si="0"/>
        <v>100</v>
      </c>
      <c r="F97" s="2975" t="s">
        <v>3230</v>
      </c>
      <c r="G97" s="2976">
        <f t="shared" si="1"/>
        <v>100</v>
      </c>
      <c r="H97" s="2975" t="s">
        <v>3230</v>
      </c>
      <c r="I97" s="2976">
        <f t="shared" si="2"/>
        <v>100</v>
      </c>
    </row>
    <row r="98" spans="2:9" ht="14.25" thickBot="1">
      <c r="B98" s="3313" t="s">
        <v>3186</v>
      </c>
      <c r="C98" s="2974" t="str">
        <f t="shared" ref="C98:C111" si="3">C74</f>
        <v>居住社区成熟度</v>
      </c>
      <c r="D98" s="2975" t="s">
        <v>3230</v>
      </c>
      <c r="E98" s="2976">
        <f t="shared" si="0"/>
        <v>100</v>
      </c>
      <c r="F98" s="2975" t="s">
        <v>3230</v>
      </c>
      <c r="G98" s="2976">
        <f t="shared" si="1"/>
        <v>100</v>
      </c>
      <c r="H98" s="2975" t="s">
        <v>3230</v>
      </c>
      <c r="I98" s="2976">
        <f t="shared" si="2"/>
        <v>100</v>
      </c>
    </row>
    <row r="99" spans="2:9" ht="14.25" thickBot="1">
      <c r="B99" s="3314"/>
      <c r="C99" s="2974" t="str">
        <f t="shared" si="3"/>
        <v>交通便捷度</v>
      </c>
      <c r="D99" s="2975" t="s">
        <v>3230</v>
      </c>
      <c r="E99" s="2976">
        <f t="shared" si="0"/>
        <v>96</v>
      </c>
      <c r="F99" s="2975" t="s">
        <v>3230</v>
      </c>
      <c r="G99" s="2976">
        <f t="shared" si="1"/>
        <v>96</v>
      </c>
      <c r="H99" s="2975" t="s">
        <v>3230</v>
      </c>
      <c r="I99" s="2976">
        <f t="shared" si="2"/>
        <v>98</v>
      </c>
    </row>
    <row r="100" spans="2:9" ht="14.25" thickBot="1">
      <c r="B100" s="3314"/>
      <c r="C100" s="2974" t="str">
        <f t="shared" si="3"/>
        <v>公共配套设施</v>
      </c>
      <c r="D100" s="2975" t="s">
        <v>3230</v>
      </c>
      <c r="E100" s="2976">
        <f t="shared" si="0"/>
        <v>100</v>
      </c>
      <c r="F100" s="2975" t="s">
        <v>3230</v>
      </c>
      <c r="G100" s="2976">
        <f t="shared" si="1"/>
        <v>100</v>
      </c>
      <c r="H100" s="2975" t="s">
        <v>3230</v>
      </c>
      <c r="I100" s="2976">
        <f t="shared" si="2"/>
        <v>100</v>
      </c>
    </row>
    <row r="101" spans="2:9" ht="14.25" thickBot="1">
      <c r="B101" s="3314"/>
      <c r="C101" s="2974" t="str">
        <f t="shared" si="3"/>
        <v>基础设施水平</v>
      </c>
      <c r="D101" s="2975" t="s">
        <v>3230</v>
      </c>
      <c r="E101" s="2976">
        <f t="shared" si="0"/>
        <v>100</v>
      </c>
      <c r="F101" s="2975" t="s">
        <v>3230</v>
      </c>
      <c r="G101" s="2976">
        <f t="shared" si="1"/>
        <v>100</v>
      </c>
      <c r="H101" s="2975" t="s">
        <v>3230</v>
      </c>
      <c r="I101" s="2976">
        <f t="shared" si="2"/>
        <v>100</v>
      </c>
    </row>
    <row r="102" spans="2:9" ht="14.25" thickBot="1">
      <c r="B102" s="3314"/>
      <c r="C102" s="2974" t="str">
        <f t="shared" si="3"/>
        <v>自然及人文环境</v>
      </c>
      <c r="D102" s="2975" t="s">
        <v>3230</v>
      </c>
      <c r="E102" s="2976">
        <f t="shared" si="0"/>
        <v>103</v>
      </c>
      <c r="F102" s="2975" t="s">
        <v>3230</v>
      </c>
      <c r="G102" s="2976">
        <f t="shared" si="1"/>
        <v>100</v>
      </c>
      <c r="H102" s="2975" t="s">
        <v>3230</v>
      </c>
      <c r="I102" s="2976">
        <f t="shared" si="2"/>
        <v>100</v>
      </c>
    </row>
    <row r="103" spans="2:9" ht="14.25" thickBot="1">
      <c r="B103" s="3313" t="s">
        <v>3193</v>
      </c>
      <c r="C103" s="2974" t="str">
        <f t="shared" si="3"/>
        <v>建筑类型</v>
      </c>
      <c r="D103" s="2975" t="s">
        <v>3230</v>
      </c>
      <c r="E103" s="2976">
        <f t="shared" si="0"/>
        <v>100</v>
      </c>
      <c r="F103" s="2975" t="s">
        <v>3230</v>
      </c>
      <c r="G103" s="2976">
        <f t="shared" si="1"/>
        <v>100</v>
      </c>
      <c r="H103" s="2975" t="s">
        <v>3230</v>
      </c>
      <c r="I103" s="2976">
        <f t="shared" si="2"/>
        <v>100</v>
      </c>
    </row>
    <row r="104" spans="2:9" ht="14.25" thickBot="1">
      <c r="B104" s="3314"/>
      <c r="C104" s="2974" t="str">
        <f t="shared" si="3"/>
        <v>项目建筑规模</v>
      </c>
      <c r="D104" s="2975" t="s">
        <v>3230</v>
      </c>
      <c r="E104" s="2976">
        <f t="shared" si="0"/>
        <v>101</v>
      </c>
      <c r="F104" s="2975" t="s">
        <v>3230</v>
      </c>
      <c r="G104" s="2976">
        <f t="shared" si="1"/>
        <v>98</v>
      </c>
      <c r="H104" s="2975" t="s">
        <v>3230</v>
      </c>
      <c r="I104" s="2976">
        <f t="shared" si="2"/>
        <v>99</v>
      </c>
    </row>
    <row r="105" spans="2:9" ht="14.25" thickBot="1">
      <c r="B105" s="3314"/>
      <c r="C105" s="2974" t="str">
        <f t="shared" si="3"/>
        <v>建筑结构</v>
      </c>
      <c r="D105" s="2975" t="s">
        <v>3230</v>
      </c>
      <c r="E105" s="2976">
        <f t="shared" si="0"/>
        <v>100</v>
      </c>
      <c r="F105" s="2975" t="s">
        <v>3230</v>
      </c>
      <c r="G105" s="2976">
        <f t="shared" si="1"/>
        <v>100</v>
      </c>
      <c r="H105" s="2975" t="s">
        <v>3230</v>
      </c>
      <c r="I105" s="2976">
        <f t="shared" si="2"/>
        <v>100</v>
      </c>
    </row>
    <row r="106" spans="2:9" ht="14.25" thickBot="1">
      <c r="B106" s="3314"/>
      <c r="C106" s="2974" t="str">
        <f t="shared" si="3"/>
        <v>建筑品质</v>
      </c>
      <c r="D106" s="2975" t="s">
        <v>3230</v>
      </c>
      <c r="E106" s="2976">
        <f t="shared" si="0"/>
        <v>100</v>
      </c>
      <c r="F106" s="2975" t="s">
        <v>3230</v>
      </c>
      <c r="G106" s="2976">
        <f t="shared" si="1"/>
        <v>100</v>
      </c>
      <c r="H106" s="2975" t="s">
        <v>3230</v>
      </c>
      <c r="I106" s="2976">
        <f t="shared" si="2"/>
        <v>100</v>
      </c>
    </row>
    <row r="107" spans="2:9" ht="14.25" thickBot="1">
      <c r="B107" s="3314"/>
      <c r="C107" s="2974" t="str">
        <f t="shared" si="3"/>
        <v>公共部分装修</v>
      </c>
      <c r="D107" s="2975" t="s">
        <v>3230</v>
      </c>
      <c r="E107" s="2976">
        <f t="shared" si="0"/>
        <v>100</v>
      </c>
      <c r="F107" s="2975" t="s">
        <v>3230</v>
      </c>
      <c r="G107" s="2976">
        <f t="shared" si="1"/>
        <v>100</v>
      </c>
      <c r="H107" s="2975" t="s">
        <v>3230</v>
      </c>
      <c r="I107" s="2976">
        <f t="shared" si="2"/>
        <v>100</v>
      </c>
    </row>
    <row r="108" spans="2:9" ht="14.25" thickBot="1">
      <c r="B108" s="3314"/>
      <c r="C108" s="2974" t="str">
        <f t="shared" si="3"/>
        <v>物业管理</v>
      </c>
      <c r="D108" s="2975" t="s">
        <v>3230</v>
      </c>
      <c r="E108" s="2976">
        <f t="shared" si="0"/>
        <v>100</v>
      </c>
      <c r="F108" s="2975" t="s">
        <v>3230</v>
      </c>
      <c r="G108" s="2976">
        <f t="shared" si="1"/>
        <v>100</v>
      </c>
      <c r="H108" s="2975" t="s">
        <v>3230</v>
      </c>
      <c r="I108" s="2976">
        <f t="shared" si="2"/>
        <v>100</v>
      </c>
    </row>
    <row r="109" spans="2:9" ht="14.25" thickBot="1">
      <c r="B109" s="3314"/>
      <c r="C109" s="2974" t="str">
        <f t="shared" si="3"/>
        <v>市政基础设施</v>
      </c>
      <c r="D109" s="2975" t="s">
        <v>3230</v>
      </c>
      <c r="E109" s="2976">
        <f t="shared" si="0"/>
        <v>100</v>
      </c>
      <c r="F109" s="2975" t="s">
        <v>3230</v>
      </c>
      <c r="G109" s="2976">
        <f t="shared" si="1"/>
        <v>100</v>
      </c>
      <c r="H109" s="2975" t="s">
        <v>3230</v>
      </c>
      <c r="I109" s="2976">
        <f t="shared" si="2"/>
        <v>100</v>
      </c>
    </row>
    <row r="110" spans="2:9" ht="14.25" thickBot="1">
      <c r="B110" s="3314"/>
      <c r="C110" s="2974" t="str">
        <f t="shared" si="3"/>
        <v>主力户型建筑面积</v>
      </c>
      <c r="D110" s="2975" t="s">
        <v>3230</v>
      </c>
      <c r="E110" s="2976">
        <f t="shared" si="0"/>
        <v>102</v>
      </c>
      <c r="F110" s="2975" t="s">
        <v>3230</v>
      </c>
      <c r="G110" s="2976">
        <f t="shared" si="1"/>
        <v>102</v>
      </c>
      <c r="H110" s="2975" t="s">
        <v>3230</v>
      </c>
      <c r="I110" s="2976">
        <f t="shared" si="2"/>
        <v>102</v>
      </c>
    </row>
    <row r="111" spans="2:9" ht="14.25" thickBot="1">
      <c r="B111" s="3314"/>
      <c r="C111" s="2974" t="str">
        <f t="shared" si="3"/>
        <v>内部装修</v>
      </c>
      <c r="D111" s="2975" t="s">
        <v>3230</v>
      </c>
      <c r="E111" s="2976">
        <f t="shared" si="0"/>
        <v>100</v>
      </c>
      <c r="F111" s="2975" t="s">
        <v>3230</v>
      </c>
      <c r="G111" s="2976">
        <f t="shared" si="1"/>
        <v>100</v>
      </c>
      <c r="H111" s="2975" t="s">
        <v>3230</v>
      </c>
      <c r="I111" s="2976">
        <f t="shared" si="2"/>
        <v>100</v>
      </c>
    </row>
    <row r="112" spans="2:9" ht="14.25" thickBot="1">
      <c r="B112" s="3311" t="s">
        <v>3267</v>
      </c>
      <c r="C112" s="3312"/>
      <c r="D112" s="3309">
        <v>12800</v>
      </c>
      <c r="E112" s="3310"/>
      <c r="F112" s="3309">
        <v>13000</v>
      </c>
      <c r="G112" s="3310"/>
      <c r="H112" s="3309">
        <v>11000</v>
      </c>
      <c r="I112" s="3310"/>
    </row>
    <row r="113" spans="2:9" ht="14.25" thickBot="1">
      <c r="B113" s="3311" t="s">
        <v>3268</v>
      </c>
      <c r="C113" s="3312"/>
      <c r="D113" s="3309">
        <v>12200</v>
      </c>
      <c r="E113" s="3310"/>
      <c r="F113" s="3309">
        <v>13153</v>
      </c>
      <c r="G113" s="3310"/>
      <c r="H113" s="3309">
        <v>10792</v>
      </c>
      <c r="I113" s="3310"/>
    </row>
  </sheetData>
  <mergeCells count="61">
    <mergeCell ref="E13:E14"/>
    <mergeCell ref="D13:D14"/>
    <mergeCell ref="B21:C23"/>
    <mergeCell ref="B24:C24"/>
    <mergeCell ref="B25:C25"/>
    <mergeCell ref="B26:C26"/>
    <mergeCell ref="B27:B29"/>
    <mergeCell ref="B30:B35"/>
    <mergeCell ref="B36:B40"/>
    <mergeCell ref="B44:C44"/>
    <mergeCell ref="D44:E44"/>
    <mergeCell ref="F44:G44"/>
    <mergeCell ref="H44:I44"/>
    <mergeCell ref="B45:C45"/>
    <mergeCell ref="B46:C46"/>
    <mergeCell ref="B47:B49"/>
    <mergeCell ref="B50:B55"/>
    <mergeCell ref="B56:B60"/>
    <mergeCell ref="B61:C61"/>
    <mergeCell ref="D61:E61"/>
    <mergeCell ref="F61:G61"/>
    <mergeCell ref="H61:I61"/>
    <mergeCell ref="B62:C62"/>
    <mergeCell ref="D62:E62"/>
    <mergeCell ref="F62:G62"/>
    <mergeCell ref="H62:I62"/>
    <mergeCell ref="B66:C68"/>
    <mergeCell ref="D66:E66"/>
    <mergeCell ref="F66:G66"/>
    <mergeCell ref="H66:I66"/>
    <mergeCell ref="J66:K66"/>
    <mergeCell ref="F67:G67"/>
    <mergeCell ref="F68:G68"/>
    <mergeCell ref="D67:E67"/>
    <mergeCell ref="D68:E68"/>
    <mergeCell ref="H67:I67"/>
    <mergeCell ref="H68:I68"/>
    <mergeCell ref="J67:K67"/>
    <mergeCell ref="J68:K68"/>
    <mergeCell ref="B69:C69"/>
    <mergeCell ref="B70:C70"/>
    <mergeCell ref="B71:B73"/>
    <mergeCell ref="B74:B78"/>
    <mergeCell ref="B79:B87"/>
    <mergeCell ref="B92:C92"/>
    <mergeCell ref="D92:E92"/>
    <mergeCell ref="F92:G92"/>
    <mergeCell ref="H92:I92"/>
    <mergeCell ref="B93:C93"/>
    <mergeCell ref="B94:C94"/>
    <mergeCell ref="B95:B97"/>
    <mergeCell ref="B98:B102"/>
    <mergeCell ref="B103:B111"/>
    <mergeCell ref="B112:C112"/>
    <mergeCell ref="D112:E112"/>
    <mergeCell ref="F112:G112"/>
    <mergeCell ref="H112:I112"/>
    <mergeCell ref="B113:C113"/>
    <mergeCell ref="D113:E113"/>
    <mergeCell ref="F113:G113"/>
    <mergeCell ref="H113:I113"/>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24"/>
  <sheetViews>
    <sheetView tabSelected="1" topLeftCell="A99" workbookViewId="0">
      <selection activeCell="H3" sqref="H3:H122"/>
    </sheetView>
  </sheetViews>
  <sheetFormatPr defaultRowHeight="13.5"/>
  <cols>
    <col min="3" max="3" width="9" style="3363"/>
  </cols>
  <sheetData>
    <row r="1" spans="2:11" ht="14.25" thickBot="1"/>
    <row r="2" spans="2:11" ht="23.25" thickBot="1">
      <c r="B2" s="3351" t="s">
        <v>3271</v>
      </c>
      <c r="C2" s="3364" t="s">
        <v>3272</v>
      </c>
      <c r="D2" s="3352" t="s">
        <v>3273</v>
      </c>
      <c r="E2" s="3352" t="s">
        <v>3274</v>
      </c>
      <c r="F2" s="3352" t="s">
        <v>3275</v>
      </c>
      <c r="G2" s="3352" t="s">
        <v>3276</v>
      </c>
      <c r="H2" s="3352" t="s">
        <v>3277</v>
      </c>
    </row>
    <row r="3" spans="2:11" ht="14.25" thickBot="1">
      <c r="B3" s="3353">
        <v>1</v>
      </c>
      <c r="C3" s="3365" t="s">
        <v>3280</v>
      </c>
      <c r="D3" s="3354">
        <v>2</v>
      </c>
      <c r="E3" s="3354">
        <v>1</v>
      </c>
      <c r="F3" s="3355" t="s">
        <v>3057</v>
      </c>
      <c r="G3" s="3354">
        <v>127.89</v>
      </c>
      <c r="H3" s="3356">
        <f ca="1">ROUND(G3/$G$123*$K$3,2)</f>
        <v>306.58</v>
      </c>
      <c r="I3">
        <f ca="1">ROUND(结果表!G19*10000/Sheet2!G123,2)</f>
        <v>23972.49</v>
      </c>
      <c r="K3">
        <f ca="1">结果表!G19</f>
        <v>34506</v>
      </c>
    </row>
    <row r="4" spans="2:11" ht="14.25" thickBot="1">
      <c r="B4" s="3353">
        <v>2</v>
      </c>
      <c r="C4" s="3365" t="s">
        <v>3280</v>
      </c>
      <c r="D4" s="3354">
        <v>2</v>
      </c>
      <c r="E4" s="3354">
        <v>2</v>
      </c>
      <c r="F4" s="3355" t="s">
        <v>3057</v>
      </c>
      <c r="G4" s="3354">
        <v>112.01</v>
      </c>
      <c r="H4" s="3356">
        <f t="shared" ref="H4:H67" ca="1" si="0">ROUND(G4/$G$123*$K$3,2)</f>
        <v>268.52</v>
      </c>
    </row>
    <row r="5" spans="2:11" ht="14.25" thickBot="1">
      <c r="B5" s="3353">
        <v>3</v>
      </c>
      <c r="C5" s="3365" t="s">
        <v>3280</v>
      </c>
      <c r="D5" s="3354">
        <v>2</v>
      </c>
      <c r="E5" s="3354">
        <v>3</v>
      </c>
      <c r="F5" s="3355" t="s">
        <v>3057</v>
      </c>
      <c r="G5" s="3354">
        <v>112.01</v>
      </c>
      <c r="H5" s="3356">
        <f t="shared" ca="1" si="0"/>
        <v>268.52</v>
      </c>
    </row>
    <row r="6" spans="2:11" ht="14.25" thickBot="1">
      <c r="B6" s="3353">
        <v>4</v>
      </c>
      <c r="C6" s="3365" t="s">
        <v>3280</v>
      </c>
      <c r="D6" s="3354">
        <v>2</v>
      </c>
      <c r="E6" s="3354">
        <v>4</v>
      </c>
      <c r="F6" s="3355" t="s">
        <v>3057</v>
      </c>
      <c r="G6" s="3354">
        <v>127.89</v>
      </c>
      <c r="H6" s="3356">
        <f t="shared" ca="1" si="0"/>
        <v>306.58</v>
      </c>
    </row>
    <row r="7" spans="2:11" ht="14.25" thickBot="1">
      <c r="B7" s="3353">
        <v>5</v>
      </c>
      <c r="C7" s="3365" t="s">
        <v>3280</v>
      </c>
      <c r="D7" s="3354">
        <v>3</v>
      </c>
      <c r="E7" s="3354">
        <v>1</v>
      </c>
      <c r="F7" s="3355" t="s">
        <v>3057</v>
      </c>
      <c r="G7" s="3354">
        <v>127.89</v>
      </c>
      <c r="H7" s="3356">
        <f t="shared" ca="1" si="0"/>
        <v>306.58</v>
      </c>
    </row>
    <row r="8" spans="2:11" ht="14.25" thickBot="1">
      <c r="B8" s="3353">
        <v>6</v>
      </c>
      <c r="C8" s="3365" t="s">
        <v>3280</v>
      </c>
      <c r="D8" s="3354">
        <v>3</v>
      </c>
      <c r="E8" s="3354">
        <v>2</v>
      </c>
      <c r="F8" s="3355" t="s">
        <v>3057</v>
      </c>
      <c r="G8" s="3354">
        <v>112.01</v>
      </c>
      <c r="H8" s="3356">
        <f t="shared" ca="1" si="0"/>
        <v>268.52</v>
      </c>
    </row>
    <row r="9" spans="2:11" ht="14.25" thickBot="1">
      <c r="B9" s="3353">
        <v>7</v>
      </c>
      <c r="C9" s="3365" t="s">
        <v>3280</v>
      </c>
      <c r="D9" s="3354">
        <v>3</v>
      </c>
      <c r="E9" s="3354">
        <v>3</v>
      </c>
      <c r="F9" s="3355" t="s">
        <v>3057</v>
      </c>
      <c r="G9" s="3354">
        <v>112.01</v>
      </c>
      <c r="H9" s="3356">
        <f t="shared" ca="1" si="0"/>
        <v>268.52</v>
      </c>
    </row>
    <row r="10" spans="2:11" ht="14.25" thickBot="1">
      <c r="B10" s="3353">
        <v>8</v>
      </c>
      <c r="C10" s="3365" t="s">
        <v>3280</v>
      </c>
      <c r="D10" s="3354">
        <v>3</v>
      </c>
      <c r="E10" s="3354">
        <v>4</v>
      </c>
      <c r="F10" s="3355" t="s">
        <v>3057</v>
      </c>
      <c r="G10" s="3354">
        <v>127.89</v>
      </c>
      <c r="H10" s="3356">
        <f t="shared" ca="1" si="0"/>
        <v>306.58</v>
      </c>
    </row>
    <row r="11" spans="2:11" ht="14.25" thickBot="1">
      <c r="B11" s="3353">
        <v>9</v>
      </c>
      <c r="C11" s="3365" t="s">
        <v>3280</v>
      </c>
      <c r="D11" s="3354">
        <v>4</v>
      </c>
      <c r="E11" s="3354">
        <v>1</v>
      </c>
      <c r="F11" s="3355" t="s">
        <v>3057</v>
      </c>
      <c r="G11" s="3354">
        <v>127.89</v>
      </c>
      <c r="H11" s="3356">
        <f t="shared" ca="1" si="0"/>
        <v>306.58</v>
      </c>
    </row>
    <row r="12" spans="2:11" ht="14.25" thickBot="1">
      <c r="B12" s="3353">
        <v>10</v>
      </c>
      <c r="C12" s="3365" t="s">
        <v>3280</v>
      </c>
      <c r="D12" s="3354">
        <v>4</v>
      </c>
      <c r="E12" s="3354">
        <v>2</v>
      </c>
      <c r="F12" s="3355" t="s">
        <v>3057</v>
      </c>
      <c r="G12" s="3354">
        <v>112.01</v>
      </c>
      <c r="H12" s="3356">
        <f t="shared" ca="1" si="0"/>
        <v>268.52</v>
      </c>
    </row>
    <row r="13" spans="2:11" ht="14.25" thickBot="1">
      <c r="B13" s="3353">
        <v>11</v>
      </c>
      <c r="C13" s="3365" t="s">
        <v>3280</v>
      </c>
      <c r="D13" s="3354">
        <v>4</v>
      </c>
      <c r="E13" s="3354">
        <v>3</v>
      </c>
      <c r="F13" s="3355" t="s">
        <v>3057</v>
      </c>
      <c r="G13" s="3354">
        <v>112.01</v>
      </c>
      <c r="H13" s="3356">
        <f t="shared" ca="1" si="0"/>
        <v>268.52</v>
      </c>
    </row>
    <row r="14" spans="2:11" ht="14.25" thickBot="1">
      <c r="B14" s="3353">
        <v>12</v>
      </c>
      <c r="C14" s="3365" t="s">
        <v>3280</v>
      </c>
      <c r="D14" s="3354">
        <v>4</v>
      </c>
      <c r="E14" s="3354">
        <v>4</v>
      </c>
      <c r="F14" s="3355" t="s">
        <v>3057</v>
      </c>
      <c r="G14" s="3354">
        <v>127.89</v>
      </c>
      <c r="H14" s="3356">
        <f t="shared" ca="1" si="0"/>
        <v>306.58</v>
      </c>
    </row>
    <row r="15" spans="2:11" ht="14.25" thickBot="1">
      <c r="B15" s="3353">
        <v>13</v>
      </c>
      <c r="C15" s="3365" t="s">
        <v>3280</v>
      </c>
      <c r="D15" s="3354">
        <v>5</v>
      </c>
      <c r="E15" s="3354">
        <v>4</v>
      </c>
      <c r="F15" s="3355" t="s">
        <v>3057</v>
      </c>
      <c r="G15" s="3354">
        <v>127.89</v>
      </c>
      <c r="H15" s="3356">
        <f t="shared" ca="1" si="0"/>
        <v>306.58</v>
      </c>
    </row>
    <row r="16" spans="2:11" ht="14.25" thickBot="1">
      <c r="B16" s="3353">
        <v>14</v>
      </c>
      <c r="C16" s="3365" t="s">
        <v>3280</v>
      </c>
      <c r="D16" s="3354">
        <v>5</v>
      </c>
      <c r="E16" s="3354">
        <v>1</v>
      </c>
      <c r="F16" s="3355" t="s">
        <v>3057</v>
      </c>
      <c r="G16" s="3354">
        <v>127.89</v>
      </c>
      <c r="H16" s="3356">
        <f t="shared" ca="1" si="0"/>
        <v>306.58</v>
      </c>
    </row>
    <row r="17" spans="2:8" ht="14.25" thickBot="1">
      <c r="B17" s="3353">
        <v>15</v>
      </c>
      <c r="C17" s="3365" t="s">
        <v>3280</v>
      </c>
      <c r="D17" s="3354">
        <v>5</v>
      </c>
      <c r="E17" s="3354">
        <v>2</v>
      </c>
      <c r="F17" s="3355" t="s">
        <v>3057</v>
      </c>
      <c r="G17" s="3354">
        <v>112.01</v>
      </c>
      <c r="H17" s="3356">
        <f t="shared" ca="1" si="0"/>
        <v>268.52</v>
      </c>
    </row>
    <row r="18" spans="2:8" ht="14.25" thickBot="1">
      <c r="B18" s="3353">
        <v>16</v>
      </c>
      <c r="C18" s="3365" t="s">
        <v>3280</v>
      </c>
      <c r="D18" s="3354">
        <v>5</v>
      </c>
      <c r="E18" s="3354">
        <v>3</v>
      </c>
      <c r="F18" s="3355" t="s">
        <v>3057</v>
      </c>
      <c r="G18" s="3354">
        <v>112.01</v>
      </c>
      <c r="H18" s="3356">
        <f t="shared" ca="1" si="0"/>
        <v>268.52</v>
      </c>
    </row>
    <row r="19" spans="2:8" ht="14.25" thickBot="1">
      <c r="B19" s="3353">
        <v>17</v>
      </c>
      <c r="C19" s="3365" t="s">
        <v>3280</v>
      </c>
      <c r="D19" s="3354">
        <v>6</v>
      </c>
      <c r="E19" s="3354">
        <v>1</v>
      </c>
      <c r="F19" s="3355" t="s">
        <v>3057</v>
      </c>
      <c r="G19" s="3354">
        <v>127.89</v>
      </c>
      <c r="H19" s="3356">
        <f t="shared" ca="1" si="0"/>
        <v>306.58</v>
      </c>
    </row>
    <row r="20" spans="2:8" ht="14.25" thickBot="1">
      <c r="B20" s="3353">
        <v>18</v>
      </c>
      <c r="C20" s="3365" t="s">
        <v>3280</v>
      </c>
      <c r="D20" s="3354">
        <v>6</v>
      </c>
      <c r="E20" s="3354">
        <v>2</v>
      </c>
      <c r="F20" s="3355" t="s">
        <v>3057</v>
      </c>
      <c r="G20" s="3354">
        <v>112.01</v>
      </c>
      <c r="H20" s="3356">
        <f t="shared" ca="1" si="0"/>
        <v>268.52</v>
      </c>
    </row>
    <row r="21" spans="2:8" ht="14.25" thickBot="1">
      <c r="B21" s="3353">
        <v>19</v>
      </c>
      <c r="C21" s="3365" t="s">
        <v>3280</v>
      </c>
      <c r="D21" s="3354">
        <v>6</v>
      </c>
      <c r="E21" s="3354">
        <v>3</v>
      </c>
      <c r="F21" s="3355" t="s">
        <v>3057</v>
      </c>
      <c r="G21" s="3354">
        <v>112.01</v>
      </c>
      <c r="H21" s="3356">
        <f t="shared" ca="1" si="0"/>
        <v>268.52</v>
      </c>
    </row>
    <row r="22" spans="2:8" ht="14.25" thickBot="1">
      <c r="B22" s="3353">
        <v>20</v>
      </c>
      <c r="C22" s="3365" t="s">
        <v>3280</v>
      </c>
      <c r="D22" s="3354">
        <v>6</v>
      </c>
      <c r="E22" s="3354">
        <v>4</v>
      </c>
      <c r="F22" s="3355" t="s">
        <v>3057</v>
      </c>
      <c r="G22" s="3354">
        <v>127.89</v>
      </c>
      <c r="H22" s="3356">
        <f t="shared" ca="1" si="0"/>
        <v>306.58</v>
      </c>
    </row>
    <row r="23" spans="2:8" ht="14.25" thickBot="1">
      <c r="B23" s="3353">
        <v>21</v>
      </c>
      <c r="C23" s="3365" t="s">
        <v>3280</v>
      </c>
      <c r="D23" s="3354">
        <v>7</v>
      </c>
      <c r="E23" s="3354">
        <v>1</v>
      </c>
      <c r="F23" s="3355" t="s">
        <v>3057</v>
      </c>
      <c r="G23" s="3354">
        <v>127.89</v>
      </c>
      <c r="H23" s="3356">
        <f t="shared" ca="1" si="0"/>
        <v>306.58</v>
      </c>
    </row>
    <row r="24" spans="2:8" ht="14.25" thickBot="1">
      <c r="B24" s="3353">
        <v>22</v>
      </c>
      <c r="C24" s="3365" t="s">
        <v>3280</v>
      </c>
      <c r="D24" s="3354">
        <v>7</v>
      </c>
      <c r="E24" s="3354">
        <v>2</v>
      </c>
      <c r="F24" s="3355" t="s">
        <v>3057</v>
      </c>
      <c r="G24" s="3354">
        <v>112.01</v>
      </c>
      <c r="H24" s="3356">
        <f t="shared" ca="1" si="0"/>
        <v>268.52</v>
      </c>
    </row>
    <row r="25" spans="2:8" ht="14.25" thickBot="1">
      <c r="B25" s="3353">
        <v>23</v>
      </c>
      <c r="C25" s="3365" t="s">
        <v>3280</v>
      </c>
      <c r="D25" s="3354">
        <v>7</v>
      </c>
      <c r="E25" s="3354">
        <v>3</v>
      </c>
      <c r="F25" s="3355" t="s">
        <v>3057</v>
      </c>
      <c r="G25" s="3354">
        <v>112.01</v>
      </c>
      <c r="H25" s="3356">
        <f t="shared" ca="1" si="0"/>
        <v>268.52</v>
      </c>
    </row>
    <row r="26" spans="2:8" ht="14.25" thickBot="1">
      <c r="B26" s="3353">
        <v>24</v>
      </c>
      <c r="C26" s="3365" t="s">
        <v>3280</v>
      </c>
      <c r="D26" s="3354">
        <v>7</v>
      </c>
      <c r="E26" s="3354">
        <v>4</v>
      </c>
      <c r="F26" s="3355" t="s">
        <v>3057</v>
      </c>
      <c r="G26" s="3354">
        <v>127.89</v>
      </c>
      <c r="H26" s="3356">
        <f t="shared" ca="1" si="0"/>
        <v>306.58</v>
      </c>
    </row>
    <row r="27" spans="2:8" ht="14.25" thickBot="1">
      <c r="B27" s="3353">
        <v>25</v>
      </c>
      <c r="C27" s="3365" t="s">
        <v>3280</v>
      </c>
      <c r="D27" s="3354">
        <v>8</v>
      </c>
      <c r="E27" s="3354">
        <v>1</v>
      </c>
      <c r="F27" s="3355" t="s">
        <v>3057</v>
      </c>
      <c r="G27" s="3354">
        <v>127.89</v>
      </c>
      <c r="H27" s="3356">
        <f t="shared" ca="1" si="0"/>
        <v>306.58</v>
      </c>
    </row>
    <row r="28" spans="2:8" ht="14.25" thickBot="1">
      <c r="B28" s="3353">
        <v>26</v>
      </c>
      <c r="C28" s="3365" t="s">
        <v>3280</v>
      </c>
      <c r="D28" s="3354">
        <v>8</v>
      </c>
      <c r="E28" s="3354">
        <v>2</v>
      </c>
      <c r="F28" s="3355" t="s">
        <v>3057</v>
      </c>
      <c r="G28" s="3354">
        <v>112.01</v>
      </c>
      <c r="H28" s="3356">
        <f t="shared" ca="1" si="0"/>
        <v>268.52</v>
      </c>
    </row>
    <row r="29" spans="2:8" ht="14.25" thickBot="1">
      <c r="B29" s="3353">
        <v>27</v>
      </c>
      <c r="C29" s="3365" t="s">
        <v>3280</v>
      </c>
      <c r="D29" s="3354">
        <v>8</v>
      </c>
      <c r="E29" s="3354">
        <v>3</v>
      </c>
      <c r="F29" s="3355" t="s">
        <v>3057</v>
      </c>
      <c r="G29" s="3354">
        <v>112.01</v>
      </c>
      <c r="H29" s="3356">
        <f t="shared" ca="1" si="0"/>
        <v>268.52</v>
      </c>
    </row>
    <row r="30" spans="2:8" ht="14.25" thickBot="1">
      <c r="B30" s="3353">
        <v>28</v>
      </c>
      <c r="C30" s="3365" t="s">
        <v>3280</v>
      </c>
      <c r="D30" s="3354">
        <v>8</v>
      </c>
      <c r="E30" s="3354">
        <v>4</v>
      </c>
      <c r="F30" s="3355" t="s">
        <v>3057</v>
      </c>
      <c r="G30" s="3354">
        <v>127.89</v>
      </c>
      <c r="H30" s="3356">
        <f t="shared" ca="1" si="0"/>
        <v>306.58</v>
      </c>
    </row>
    <row r="31" spans="2:8" ht="14.25" thickBot="1">
      <c r="B31" s="3353">
        <v>29</v>
      </c>
      <c r="C31" s="3365" t="s">
        <v>3280</v>
      </c>
      <c r="D31" s="3354">
        <v>9</v>
      </c>
      <c r="E31" s="3354">
        <v>1</v>
      </c>
      <c r="F31" s="3355" t="s">
        <v>3057</v>
      </c>
      <c r="G31" s="3354">
        <v>127.89</v>
      </c>
      <c r="H31" s="3356">
        <f t="shared" ca="1" si="0"/>
        <v>306.58</v>
      </c>
    </row>
    <row r="32" spans="2:8" ht="14.25" thickBot="1">
      <c r="B32" s="3353">
        <v>30</v>
      </c>
      <c r="C32" s="3365" t="s">
        <v>3280</v>
      </c>
      <c r="D32" s="3354">
        <v>9</v>
      </c>
      <c r="E32" s="3354">
        <v>2</v>
      </c>
      <c r="F32" s="3355" t="s">
        <v>3057</v>
      </c>
      <c r="G32" s="3354">
        <v>112.01</v>
      </c>
      <c r="H32" s="3356">
        <f t="shared" ca="1" si="0"/>
        <v>268.52</v>
      </c>
    </row>
    <row r="33" spans="2:8" ht="14.25" thickBot="1">
      <c r="B33" s="3353">
        <v>31</v>
      </c>
      <c r="C33" s="3365" t="s">
        <v>3280</v>
      </c>
      <c r="D33" s="3354">
        <v>9</v>
      </c>
      <c r="E33" s="3354">
        <v>3</v>
      </c>
      <c r="F33" s="3355" t="s">
        <v>3057</v>
      </c>
      <c r="G33" s="3354">
        <v>112.01</v>
      </c>
      <c r="H33" s="3356">
        <f t="shared" ca="1" si="0"/>
        <v>268.52</v>
      </c>
    </row>
    <row r="34" spans="2:8" ht="14.25" thickBot="1">
      <c r="B34" s="3353">
        <v>32</v>
      </c>
      <c r="C34" s="3365" t="s">
        <v>3280</v>
      </c>
      <c r="D34" s="3354">
        <v>9</v>
      </c>
      <c r="E34" s="3354">
        <v>4</v>
      </c>
      <c r="F34" s="3355" t="s">
        <v>3057</v>
      </c>
      <c r="G34" s="3354">
        <v>127.89</v>
      </c>
      <c r="H34" s="3356">
        <f t="shared" ca="1" si="0"/>
        <v>306.58</v>
      </c>
    </row>
    <row r="35" spans="2:8" ht="14.25" thickBot="1">
      <c r="B35" s="3353">
        <v>33</v>
      </c>
      <c r="C35" s="3365" t="s">
        <v>3280</v>
      </c>
      <c r="D35" s="3354">
        <v>10</v>
      </c>
      <c r="E35" s="3354">
        <v>1</v>
      </c>
      <c r="F35" s="3355" t="s">
        <v>3057</v>
      </c>
      <c r="G35" s="3354">
        <v>127.89</v>
      </c>
      <c r="H35" s="3356">
        <f t="shared" ca="1" si="0"/>
        <v>306.58</v>
      </c>
    </row>
    <row r="36" spans="2:8" ht="14.25" thickBot="1">
      <c r="B36" s="3353">
        <v>34</v>
      </c>
      <c r="C36" s="3365" t="s">
        <v>3280</v>
      </c>
      <c r="D36" s="3354">
        <v>10</v>
      </c>
      <c r="E36" s="3354">
        <v>2</v>
      </c>
      <c r="F36" s="3355" t="s">
        <v>3057</v>
      </c>
      <c r="G36" s="3354">
        <v>112.01</v>
      </c>
      <c r="H36" s="3356">
        <f t="shared" ca="1" si="0"/>
        <v>268.52</v>
      </c>
    </row>
    <row r="37" spans="2:8" ht="14.25" thickBot="1">
      <c r="B37" s="3353">
        <v>35</v>
      </c>
      <c r="C37" s="3365" t="s">
        <v>3280</v>
      </c>
      <c r="D37" s="3354">
        <v>10</v>
      </c>
      <c r="E37" s="3354">
        <v>3</v>
      </c>
      <c r="F37" s="3355" t="s">
        <v>3057</v>
      </c>
      <c r="G37" s="3354">
        <v>112.01</v>
      </c>
      <c r="H37" s="3356">
        <f t="shared" ca="1" si="0"/>
        <v>268.52</v>
      </c>
    </row>
    <row r="38" spans="2:8" ht="14.25" thickBot="1">
      <c r="B38" s="3353">
        <v>36</v>
      </c>
      <c r="C38" s="3365" t="s">
        <v>3280</v>
      </c>
      <c r="D38" s="3354">
        <v>10</v>
      </c>
      <c r="E38" s="3354">
        <v>4</v>
      </c>
      <c r="F38" s="3355" t="s">
        <v>3057</v>
      </c>
      <c r="G38" s="3354">
        <v>127.89</v>
      </c>
      <c r="H38" s="3356">
        <f t="shared" ca="1" si="0"/>
        <v>306.58</v>
      </c>
    </row>
    <row r="39" spans="2:8" ht="14.25" thickBot="1">
      <c r="B39" s="3353">
        <v>37</v>
      </c>
      <c r="C39" s="3365" t="s">
        <v>3280</v>
      </c>
      <c r="D39" s="3354">
        <v>11</v>
      </c>
      <c r="E39" s="3354">
        <v>1</v>
      </c>
      <c r="F39" s="3355" t="s">
        <v>3057</v>
      </c>
      <c r="G39" s="3354">
        <v>127.89</v>
      </c>
      <c r="H39" s="3356">
        <f t="shared" ca="1" si="0"/>
        <v>306.58</v>
      </c>
    </row>
    <row r="40" spans="2:8" ht="14.25" thickBot="1">
      <c r="B40" s="3353">
        <v>38</v>
      </c>
      <c r="C40" s="3365" t="s">
        <v>3280</v>
      </c>
      <c r="D40" s="3354">
        <v>11</v>
      </c>
      <c r="E40" s="3354">
        <v>2</v>
      </c>
      <c r="F40" s="3355" t="s">
        <v>3057</v>
      </c>
      <c r="G40" s="3354">
        <v>112.01</v>
      </c>
      <c r="H40" s="3356">
        <f t="shared" ca="1" si="0"/>
        <v>268.52</v>
      </c>
    </row>
    <row r="41" spans="2:8" ht="14.25" thickBot="1">
      <c r="B41" s="3353">
        <v>39</v>
      </c>
      <c r="C41" s="3365" t="s">
        <v>3280</v>
      </c>
      <c r="D41" s="3354">
        <v>11</v>
      </c>
      <c r="E41" s="3354">
        <v>3</v>
      </c>
      <c r="F41" s="3355" t="s">
        <v>3057</v>
      </c>
      <c r="G41" s="3354">
        <v>112.01</v>
      </c>
      <c r="H41" s="3356">
        <f t="shared" ca="1" si="0"/>
        <v>268.52</v>
      </c>
    </row>
    <row r="42" spans="2:8" ht="14.25" thickBot="1">
      <c r="B42" s="3353">
        <v>40</v>
      </c>
      <c r="C42" s="3365" t="s">
        <v>3280</v>
      </c>
      <c r="D42" s="3354">
        <v>11</v>
      </c>
      <c r="E42" s="3354">
        <v>4</v>
      </c>
      <c r="F42" s="3355" t="s">
        <v>3057</v>
      </c>
      <c r="G42" s="3354">
        <v>127.89</v>
      </c>
      <c r="H42" s="3356">
        <f t="shared" ca="1" si="0"/>
        <v>306.58</v>
      </c>
    </row>
    <row r="43" spans="2:8" ht="14.25" thickBot="1">
      <c r="B43" s="3353">
        <v>41</v>
      </c>
      <c r="C43" s="3365" t="s">
        <v>3280</v>
      </c>
      <c r="D43" s="3354">
        <v>12</v>
      </c>
      <c r="E43" s="3354">
        <v>1</v>
      </c>
      <c r="F43" s="3355" t="s">
        <v>3057</v>
      </c>
      <c r="G43" s="3354">
        <v>127.89</v>
      </c>
      <c r="H43" s="3356">
        <f t="shared" ca="1" si="0"/>
        <v>306.58</v>
      </c>
    </row>
    <row r="44" spans="2:8" ht="14.25" thickBot="1">
      <c r="B44" s="3353">
        <v>42</v>
      </c>
      <c r="C44" s="3365" t="s">
        <v>3280</v>
      </c>
      <c r="D44" s="3354">
        <v>12</v>
      </c>
      <c r="E44" s="3354">
        <v>2</v>
      </c>
      <c r="F44" s="3355" t="s">
        <v>3057</v>
      </c>
      <c r="G44" s="3354">
        <v>112.01</v>
      </c>
      <c r="H44" s="3356">
        <f t="shared" ca="1" si="0"/>
        <v>268.52</v>
      </c>
    </row>
    <row r="45" spans="2:8" ht="14.25" thickBot="1">
      <c r="B45" s="3353">
        <v>43</v>
      </c>
      <c r="C45" s="3365" t="s">
        <v>3280</v>
      </c>
      <c r="D45" s="3354">
        <v>12</v>
      </c>
      <c r="E45" s="3354">
        <v>3</v>
      </c>
      <c r="F45" s="3355" t="s">
        <v>3057</v>
      </c>
      <c r="G45" s="3354">
        <v>112.01</v>
      </c>
      <c r="H45" s="3356">
        <f t="shared" ca="1" si="0"/>
        <v>268.52</v>
      </c>
    </row>
    <row r="46" spans="2:8" ht="14.25" thickBot="1">
      <c r="B46" s="3353">
        <v>44</v>
      </c>
      <c r="C46" s="3365" t="s">
        <v>3280</v>
      </c>
      <c r="D46" s="3354">
        <v>12</v>
      </c>
      <c r="E46" s="3354">
        <v>4</v>
      </c>
      <c r="F46" s="3355" t="s">
        <v>3057</v>
      </c>
      <c r="G46" s="3354">
        <v>127.89</v>
      </c>
      <c r="H46" s="3356">
        <f t="shared" ca="1" si="0"/>
        <v>306.58</v>
      </c>
    </row>
    <row r="47" spans="2:8" ht="14.25" thickBot="1">
      <c r="B47" s="3353">
        <v>45</v>
      </c>
      <c r="C47" s="3365" t="s">
        <v>3280</v>
      </c>
      <c r="D47" s="3354">
        <v>13</v>
      </c>
      <c r="E47" s="3354">
        <v>1</v>
      </c>
      <c r="F47" s="3355" t="s">
        <v>3057</v>
      </c>
      <c r="G47" s="3354">
        <v>127.89</v>
      </c>
      <c r="H47" s="3356">
        <f t="shared" ca="1" si="0"/>
        <v>306.58</v>
      </c>
    </row>
    <row r="48" spans="2:8" ht="14.25" thickBot="1">
      <c r="B48" s="3353">
        <v>46</v>
      </c>
      <c r="C48" s="3365" t="s">
        <v>3280</v>
      </c>
      <c r="D48" s="3354">
        <v>13</v>
      </c>
      <c r="E48" s="3354">
        <v>2</v>
      </c>
      <c r="F48" s="3355" t="s">
        <v>3057</v>
      </c>
      <c r="G48" s="3354">
        <v>112.01</v>
      </c>
      <c r="H48" s="3356">
        <f t="shared" ca="1" si="0"/>
        <v>268.52</v>
      </c>
    </row>
    <row r="49" spans="2:8" ht="14.25" thickBot="1">
      <c r="B49" s="3353">
        <v>47</v>
      </c>
      <c r="C49" s="3365" t="s">
        <v>3280</v>
      </c>
      <c r="D49" s="3354">
        <v>13</v>
      </c>
      <c r="E49" s="3354">
        <v>3</v>
      </c>
      <c r="F49" s="3355" t="s">
        <v>3057</v>
      </c>
      <c r="G49" s="3354">
        <v>112.01</v>
      </c>
      <c r="H49" s="3356">
        <f t="shared" ca="1" si="0"/>
        <v>268.52</v>
      </c>
    </row>
    <row r="50" spans="2:8" ht="14.25" thickBot="1">
      <c r="B50" s="3353">
        <v>48</v>
      </c>
      <c r="C50" s="3365" t="s">
        <v>3280</v>
      </c>
      <c r="D50" s="3354">
        <v>13</v>
      </c>
      <c r="E50" s="3354">
        <v>4</v>
      </c>
      <c r="F50" s="3355" t="s">
        <v>3057</v>
      </c>
      <c r="G50" s="3354">
        <v>127.89</v>
      </c>
      <c r="H50" s="3356">
        <f t="shared" ca="1" si="0"/>
        <v>306.58</v>
      </c>
    </row>
    <row r="51" spans="2:8" ht="14.25" thickBot="1">
      <c r="B51" s="3353">
        <v>49</v>
      </c>
      <c r="C51" s="3365" t="s">
        <v>3280</v>
      </c>
      <c r="D51" s="3354">
        <v>14</v>
      </c>
      <c r="E51" s="3354">
        <v>1</v>
      </c>
      <c r="F51" s="3355" t="s">
        <v>3057</v>
      </c>
      <c r="G51" s="3354">
        <v>127.89</v>
      </c>
      <c r="H51" s="3356">
        <f t="shared" ca="1" si="0"/>
        <v>306.58</v>
      </c>
    </row>
    <row r="52" spans="2:8" ht="14.25" thickBot="1">
      <c r="B52" s="3353">
        <v>50</v>
      </c>
      <c r="C52" s="3365" t="s">
        <v>3280</v>
      </c>
      <c r="D52" s="3354">
        <v>14</v>
      </c>
      <c r="E52" s="3354">
        <v>2</v>
      </c>
      <c r="F52" s="3355" t="s">
        <v>3057</v>
      </c>
      <c r="G52" s="3354">
        <v>112.01</v>
      </c>
      <c r="H52" s="3356">
        <f t="shared" ca="1" si="0"/>
        <v>268.52</v>
      </c>
    </row>
    <row r="53" spans="2:8" ht="14.25" thickBot="1">
      <c r="B53" s="3353">
        <v>51</v>
      </c>
      <c r="C53" s="3365" t="s">
        <v>3280</v>
      </c>
      <c r="D53" s="3354">
        <v>14</v>
      </c>
      <c r="E53" s="3354">
        <v>3</v>
      </c>
      <c r="F53" s="3355" t="s">
        <v>3057</v>
      </c>
      <c r="G53" s="3354">
        <v>112.01</v>
      </c>
      <c r="H53" s="3356">
        <f t="shared" ca="1" si="0"/>
        <v>268.52</v>
      </c>
    </row>
    <row r="54" spans="2:8" ht="14.25" thickBot="1">
      <c r="B54" s="3353">
        <v>52</v>
      </c>
      <c r="C54" s="3365" t="s">
        <v>3280</v>
      </c>
      <c r="D54" s="3354">
        <v>14</v>
      </c>
      <c r="E54" s="3354">
        <v>4</v>
      </c>
      <c r="F54" s="3355" t="s">
        <v>3057</v>
      </c>
      <c r="G54" s="3354">
        <v>127.89</v>
      </c>
      <c r="H54" s="3356">
        <f t="shared" ca="1" si="0"/>
        <v>306.58</v>
      </c>
    </row>
    <row r="55" spans="2:8" ht="14.25" thickBot="1">
      <c r="B55" s="3353">
        <v>53</v>
      </c>
      <c r="C55" s="3365" t="s">
        <v>3280</v>
      </c>
      <c r="D55" s="3354">
        <v>15</v>
      </c>
      <c r="E55" s="3354">
        <v>1</v>
      </c>
      <c r="F55" s="3355" t="s">
        <v>3057</v>
      </c>
      <c r="G55" s="3354">
        <v>127.89</v>
      </c>
      <c r="H55" s="3356">
        <f t="shared" ca="1" si="0"/>
        <v>306.58</v>
      </c>
    </row>
    <row r="56" spans="2:8" ht="14.25" thickBot="1">
      <c r="B56" s="3353">
        <v>54</v>
      </c>
      <c r="C56" s="3365" t="s">
        <v>3280</v>
      </c>
      <c r="D56" s="3354">
        <v>15</v>
      </c>
      <c r="E56" s="3354">
        <v>2</v>
      </c>
      <c r="F56" s="3355" t="s">
        <v>3057</v>
      </c>
      <c r="G56" s="3354">
        <v>112.01</v>
      </c>
      <c r="H56" s="3356">
        <f t="shared" ca="1" si="0"/>
        <v>268.52</v>
      </c>
    </row>
    <row r="57" spans="2:8" ht="14.25" thickBot="1">
      <c r="B57" s="3353">
        <v>55</v>
      </c>
      <c r="C57" s="3365" t="s">
        <v>3280</v>
      </c>
      <c r="D57" s="3354">
        <v>15</v>
      </c>
      <c r="E57" s="3354">
        <v>3</v>
      </c>
      <c r="F57" s="3355" t="s">
        <v>3057</v>
      </c>
      <c r="G57" s="3354">
        <v>112.01</v>
      </c>
      <c r="H57" s="3356">
        <f t="shared" ca="1" si="0"/>
        <v>268.52</v>
      </c>
    </row>
    <row r="58" spans="2:8" ht="14.25" thickBot="1">
      <c r="B58" s="3353">
        <v>56</v>
      </c>
      <c r="C58" s="3365" t="s">
        <v>3280</v>
      </c>
      <c r="D58" s="3354">
        <v>15</v>
      </c>
      <c r="E58" s="3354">
        <v>4</v>
      </c>
      <c r="F58" s="3355" t="s">
        <v>3057</v>
      </c>
      <c r="G58" s="3354">
        <v>127.89</v>
      </c>
      <c r="H58" s="3356">
        <f t="shared" ca="1" si="0"/>
        <v>306.58</v>
      </c>
    </row>
    <row r="59" spans="2:8" ht="14.25" thickBot="1">
      <c r="B59" s="3353">
        <v>57</v>
      </c>
      <c r="C59" s="3365" t="s">
        <v>3281</v>
      </c>
      <c r="D59" s="3354">
        <v>2</v>
      </c>
      <c r="E59" s="3354">
        <v>1</v>
      </c>
      <c r="F59" s="3355" t="s">
        <v>3057</v>
      </c>
      <c r="G59" s="3354">
        <v>127.89</v>
      </c>
      <c r="H59" s="3356">
        <f t="shared" ca="1" si="0"/>
        <v>306.58</v>
      </c>
    </row>
    <row r="60" spans="2:8" ht="14.25" thickBot="1">
      <c r="B60" s="3353">
        <v>58</v>
      </c>
      <c r="C60" s="3365" t="s">
        <v>3281</v>
      </c>
      <c r="D60" s="3354">
        <v>2</v>
      </c>
      <c r="E60" s="3354">
        <v>2</v>
      </c>
      <c r="F60" s="3355" t="s">
        <v>3057</v>
      </c>
      <c r="G60" s="3354">
        <v>112.01</v>
      </c>
      <c r="H60" s="3356">
        <f t="shared" ca="1" si="0"/>
        <v>268.52</v>
      </c>
    </row>
    <row r="61" spans="2:8" ht="14.25" thickBot="1">
      <c r="B61" s="3353">
        <v>59</v>
      </c>
      <c r="C61" s="3365" t="s">
        <v>3281</v>
      </c>
      <c r="D61" s="3354">
        <v>2</v>
      </c>
      <c r="E61" s="3354">
        <v>3</v>
      </c>
      <c r="F61" s="3355" t="s">
        <v>3057</v>
      </c>
      <c r="G61" s="3354">
        <v>112.01</v>
      </c>
      <c r="H61" s="3356">
        <f t="shared" ca="1" si="0"/>
        <v>268.52</v>
      </c>
    </row>
    <row r="62" spans="2:8" ht="14.25" thickBot="1">
      <c r="B62" s="3353">
        <v>60</v>
      </c>
      <c r="C62" s="3365" t="s">
        <v>3281</v>
      </c>
      <c r="D62" s="3354">
        <v>2</v>
      </c>
      <c r="E62" s="3354">
        <v>4</v>
      </c>
      <c r="F62" s="3355" t="s">
        <v>3057</v>
      </c>
      <c r="G62" s="3354">
        <v>127.89</v>
      </c>
      <c r="H62" s="3356">
        <f t="shared" ca="1" si="0"/>
        <v>306.58</v>
      </c>
    </row>
    <row r="63" spans="2:8" ht="14.25" thickBot="1">
      <c r="B63" s="3353">
        <v>61</v>
      </c>
      <c r="C63" s="3365" t="s">
        <v>3281</v>
      </c>
      <c r="D63" s="3354">
        <v>3</v>
      </c>
      <c r="E63" s="3354">
        <v>1</v>
      </c>
      <c r="F63" s="3355" t="s">
        <v>3057</v>
      </c>
      <c r="G63" s="3354">
        <v>127.89</v>
      </c>
      <c r="H63" s="3356">
        <f t="shared" ca="1" si="0"/>
        <v>306.58</v>
      </c>
    </row>
    <row r="64" spans="2:8" ht="14.25" thickBot="1">
      <c r="B64" s="3353">
        <v>62</v>
      </c>
      <c r="C64" s="3365" t="s">
        <v>3281</v>
      </c>
      <c r="D64" s="3354">
        <v>3</v>
      </c>
      <c r="E64" s="3354">
        <v>2</v>
      </c>
      <c r="F64" s="3355" t="s">
        <v>3057</v>
      </c>
      <c r="G64" s="3354">
        <v>112.01</v>
      </c>
      <c r="H64" s="3356">
        <f t="shared" ca="1" si="0"/>
        <v>268.52</v>
      </c>
    </row>
    <row r="65" spans="2:8" ht="14.25" thickBot="1">
      <c r="B65" s="3353">
        <v>63</v>
      </c>
      <c r="C65" s="3365" t="s">
        <v>3281</v>
      </c>
      <c r="D65" s="3354">
        <v>3</v>
      </c>
      <c r="E65" s="3354">
        <v>3</v>
      </c>
      <c r="F65" s="3355" t="s">
        <v>3057</v>
      </c>
      <c r="G65" s="3354">
        <v>112.01</v>
      </c>
      <c r="H65" s="3356">
        <f t="shared" ca="1" si="0"/>
        <v>268.52</v>
      </c>
    </row>
    <row r="66" spans="2:8" ht="14.25" thickBot="1">
      <c r="B66" s="3353">
        <v>64</v>
      </c>
      <c r="C66" s="3365" t="s">
        <v>3281</v>
      </c>
      <c r="D66" s="3354">
        <v>3</v>
      </c>
      <c r="E66" s="3354">
        <v>4</v>
      </c>
      <c r="F66" s="3355" t="s">
        <v>3057</v>
      </c>
      <c r="G66" s="3354">
        <v>127.89</v>
      </c>
      <c r="H66" s="3356">
        <f t="shared" ca="1" si="0"/>
        <v>306.58</v>
      </c>
    </row>
    <row r="67" spans="2:8" ht="14.25" thickBot="1">
      <c r="B67" s="3353">
        <v>65</v>
      </c>
      <c r="C67" s="3365" t="s">
        <v>3281</v>
      </c>
      <c r="D67" s="3354">
        <v>4</v>
      </c>
      <c r="E67" s="3354">
        <v>1</v>
      </c>
      <c r="F67" s="3355" t="s">
        <v>3057</v>
      </c>
      <c r="G67" s="3354">
        <v>127.89</v>
      </c>
      <c r="H67" s="3356">
        <f t="shared" ca="1" si="0"/>
        <v>306.58</v>
      </c>
    </row>
    <row r="68" spans="2:8" ht="14.25" thickBot="1">
      <c r="B68" s="3353">
        <v>66</v>
      </c>
      <c r="C68" s="3365" t="s">
        <v>3281</v>
      </c>
      <c r="D68" s="3354">
        <v>4</v>
      </c>
      <c r="E68" s="3354">
        <v>2</v>
      </c>
      <c r="F68" s="3355" t="s">
        <v>3057</v>
      </c>
      <c r="G68" s="3354">
        <v>112.01</v>
      </c>
      <c r="H68" s="3356">
        <f t="shared" ref="H68:H122" ca="1" si="1">ROUND(G68/$G$123*$K$3,2)</f>
        <v>268.52</v>
      </c>
    </row>
    <row r="69" spans="2:8" ht="14.25" thickBot="1">
      <c r="B69" s="3353">
        <v>67</v>
      </c>
      <c r="C69" s="3365" t="s">
        <v>3281</v>
      </c>
      <c r="D69" s="3354">
        <v>4</v>
      </c>
      <c r="E69" s="3354">
        <v>3</v>
      </c>
      <c r="F69" s="3355" t="s">
        <v>3057</v>
      </c>
      <c r="G69" s="3354">
        <v>112.01</v>
      </c>
      <c r="H69" s="3356">
        <f t="shared" ca="1" si="1"/>
        <v>268.52</v>
      </c>
    </row>
    <row r="70" spans="2:8" ht="14.25" thickBot="1">
      <c r="B70" s="3353">
        <v>68</v>
      </c>
      <c r="C70" s="3365" t="s">
        <v>3281</v>
      </c>
      <c r="D70" s="3354">
        <v>4</v>
      </c>
      <c r="E70" s="3354">
        <v>4</v>
      </c>
      <c r="F70" s="3355" t="s">
        <v>3057</v>
      </c>
      <c r="G70" s="3354">
        <v>127.89</v>
      </c>
      <c r="H70" s="3356">
        <f t="shared" ca="1" si="1"/>
        <v>306.58</v>
      </c>
    </row>
    <row r="71" spans="2:8" ht="14.25" thickBot="1">
      <c r="B71" s="3353">
        <v>69</v>
      </c>
      <c r="C71" s="3365" t="s">
        <v>3281</v>
      </c>
      <c r="D71" s="3354">
        <v>5</v>
      </c>
      <c r="E71" s="3354">
        <v>1</v>
      </c>
      <c r="F71" s="3355" t="s">
        <v>3057</v>
      </c>
      <c r="G71" s="3354">
        <v>127.89</v>
      </c>
      <c r="H71" s="3356">
        <f t="shared" ca="1" si="1"/>
        <v>306.58</v>
      </c>
    </row>
    <row r="72" spans="2:8" ht="14.25" thickBot="1">
      <c r="B72" s="3353">
        <v>70</v>
      </c>
      <c r="C72" s="3365" t="s">
        <v>3281</v>
      </c>
      <c r="D72" s="3354">
        <v>5</v>
      </c>
      <c r="E72" s="3354">
        <v>2</v>
      </c>
      <c r="F72" s="3355" t="s">
        <v>3057</v>
      </c>
      <c r="G72" s="3354">
        <v>112.01</v>
      </c>
      <c r="H72" s="3356">
        <f t="shared" ca="1" si="1"/>
        <v>268.52</v>
      </c>
    </row>
    <row r="73" spans="2:8" ht="14.25" thickBot="1">
      <c r="B73" s="3353">
        <v>71</v>
      </c>
      <c r="C73" s="3365" t="s">
        <v>3281</v>
      </c>
      <c r="D73" s="3354">
        <v>5</v>
      </c>
      <c r="E73" s="3354">
        <v>3</v>
      </c>
      <c r="F73" s="3355" t="s">
        <v>3057</v>
      </c>
      <c r="G73" s="3354">
        <v>112.01</v>
      </c>
      <c r="H73" s="3356">
        <f t="shared" ca="1" si="1"/>
        <v>268.52</v>
      </c>
    </row>
    <row r="74" spans="2:8" ht="14.25" thickBot="1">
      <c r="B74" s="3353">
        <v>72</v>
      </c>
      <c r="C74" s="3365" t="s">
        <v>3281</v>
      </c>
      <c r="D74" s="3354">
        <v>5</v>
      </c>
      <c r="E74" s="3354">
        <v>4</v>
      </c>
      <c r="F74" s="3355" t="s">
        <v>3057</v>
      </c>
      <c r="G74" s="3354">
        <v>127.89</v>
      </c>
      <c r="H74" s="3356">
        <f t="shared" ca="1" si="1"/>
        <v>306.58</v>
      </c>
    </row>
    <row r="75" spans="2:8" ht="14.25" thickBot="1">
      <c r="B75" s="3353">
        <v>73</v>
      </c>
      <c r="C75" s="3365" t="s">
        <v>3281</v>
      </c>
      <c r="D75" s="3354">
        <v>6</v>
      </c>
      <c r="E75" s="3354">
        <v>1</v>
      </c>
      <c r="F75" s="3355" t="s">
        <v>3057</v>
      </c>
      <c r="G75" s="3354">
        <v>127.89</v>
      </c>
      <c r="H75" s="3356">
        <f t="shared" ca="1" si="1"/>
        <v>306.58</v>
      </c>
    </row>
    <row r="76" spans="2:8" ht="14.25" thickBot="1">
      <c r="B76" s="3353">
        <v>74</v>
      </c>
      <c r="C76" s="3365" t="s">
        <v>3281</v>
      </c>
      <c r="D76" s="3354">
        <v>6</v>
      </c>
      <c r="E76" s="3354">
        <v>2</v>
      </c>
      <c r="F76" s="3355" t="s">
        <v>3057</v>
      </c>
      <c r="G76" s="3354">
        <v>112.01</v>
      </c>
      <c r="H76" s="3356">
        <f t="shared" ca="1" si="1"/>
        <v>268.52</v>
      </c>
    </row>
    <row r="77" spans="2:8" ht="14.25" thickBot="1">
      <c r="B77" s="3353">
        <v>75</v>
      </c>
      <c r="C77" s="3365" t="s">
        <v>3281</v>
      </c>
      <c r="D77" s="3354">
        <v>6</v>
      </c>
      <c r="E77" s="3354">
        <v>3</v>
      </c>
      <c r="F77" s="3355" t="s">
        <v>3057</v>
      </c>
      <c r="G77" s="3354">
        <v>112.01</v>
      </c>
      <c r="H77" s="3356">
        <f t="shared" ca="1" si="1"/>
        <v>268.52</v>
      </c>
    </row>
    <row r="78" spans="2:8" ht="14.25" thickBot="1">
      <c r="B78" s="3353">
        <v>76</v>
      </c>
      <c r="C78" s="3365" t="s">
        <v>3281</v>
      </c>
      <c r="D78" s="3354">
        <v>6</v>
      </c>
      <c r="E78" s="3354">
        <v>4</v>
      </c>
      <c r="F78" s="3355" t="s">
        <v>3057</v>
      </c>
      <c r="G78" s="3354">
        <v>127.89</v>
      </c>
      <c r="H78" s="3356">
        <f t="shared" ca="1" si="1"/>
        <v>306.58</v>
      </c>
    </row>
    <row r="79" spans="2:8" ht="14.25" thickBot="1">
      <c r="B79" s="3353">
        <v>77</v>
      </c>
      <c r="C79" s="3365" t="s">
        <v>3281</v>
      </c>
      <c r="D79" s="3354">
        <v>7</v>
      </c>
      <c r="E79" s="3354">
        <v>1</v>
      </c>
      <c r="F79" s="3355" t="s">
        <v>3057</v>
      </c>
      <c r="G79" s="3354">
        <v>127.89</v>
      </c>
      <c r="H79" s="3356">
        <f t="shared" ca="1" si="1"/>
        <v>306.58</v>
      </c>
    </row>
    <row r="80" spans="2:8" ht="14.25" thickBot="1">
      <c r="B80" s="3353">
        <v>78</v>
      </c>
      <c r="C80" s="3365" t="s">
        <v>3281</v>
      </c>
      <c r="D80" s="3354">
        <v>7</v>
      </c>
      <c r="E80" s="3354">
        <v>2</v>
      </c>
      <c r="F80" s="3355" t="s">
        <v>3057</v>
      </c>
      <c r="G80" s="3354">
        <v>112.01</v>
      </c>
      <c r="H80" s="3356">
        <f t="shared" ca="1" si="1"/>
        <v>268.52</v>
      </c>
    </row>
    <row r="81" spans="2:8" ht="14.25" thickBot="1">
      <c r="B81" s="3353">
        <v>79</v>
      </c>
      <c r="C81" s="3365" t="s">
        <v>3281</v>
      </c>
      <c r="D81" s="3354">
        <v>7</v>
      </c>
      <c r="E81" s="3354">
        <v>3</v>
      </c>
      <c r="F81" s="3355" t="s">
        <v>3057</v>
      </c>
      <c r="G81" s="3354">
        <v>112.01</v>
      </c>
      <c r="H81" s="3356">
        <f t="shared" ca="1" si="1"/>
        <v>268.52</v>
      </c>
    </row>
    <row r="82" spans="2:8" ht="14.25" thickBot="1">
      <c r="B82" s="3353">
        <v>80</v>
      </c>
      <c r="C82" s="3365" t="s">
        <v>3281</v>
      </c>
      <c r="D82" s="3354">
        <v>7</v>
      </c>
      <c r="E82" s="3354">
        <v>4</v>
      </c>
      <c r="F82" s="3355" t="s">
        <v>3057</v>
      </c>
      <c r="G82" s="3354">
        <v>127.89</v>
      </c>
      <c r="H82" s="3356">
        <f t="shared" ca="1" si="1"/>
        <v>306.58</v>
      </c>
    </row>
    <row r="83" spans="2:8" ht="14.25" thickBot="1">
      <c r="B83" s="3353">
        <v>81</v>
      </c>
      <c r="C83" s="3365" t="s">
        <v>3281</v>
      </c>
      <c r="D83" s="3354">
        <v>8</v>
      </c>
      <c r="E83" s="3354">
        <v>1</v>
      </c>
      <c r="F83" s="3355" t="s">
        <v>3057</v>
      </c>
      <c r="G83" s="3354">
        <v>127.89</v>
      </c>
      <c r="H83" s="3356">
        <f t="shared" ca="1" si="1"/>
        <v>306.58</v>
      </c>
    </row>
    <row r="84" spans="2:8" ht="14.25" thickBot="1">
      <c r="B84" s="3353">
        <v>82</v>
      </c>
      <c r="C84" s="3365" t="s">
        <v>3281</v>
      </c>
      <c r="D84" s="3354">
        <v>8</v>
      </c>
      <c r="E84" s="3354">
        <v>2</v>
      </c>
      <c r="F84" s="3355" t="s">
        <v>3057</v>
      </c>
      <c r="G84" s="3354">
        <v>112.01</v>
      </c>
      <c r="H84" s="3356">
        <f t="shared" ca="1" si="1"/>
        <v>268.52</v>
      </c>
    </row>
    <row r="85" spans="2:8" ht="14.25" thickBot="1">
      <c r="B85" s="3353">
        <v>83</v>
      </c>
      <c r="C85" s="3365" t="s">
        <v>3281</v>
      </c>
      <c r="D85" s="3354">
        <v>8</v>
      </c>
      <c r="E85" s="3354">
        <v>3</v>
      </c>
      <c r="F85" s="3355" t="s">
        <v>3057</v>
      </c>
      <c r="G85" s="3354">
        <v>112.01</v>
      </c>
      <c r="H85" s="3356">
        <f t="shared" ca="1" si="1"/>
        <v>268.52</v>
      </c>
    </row>
    <row r="86" spans="2:8" ht="14.25" thickBot="1">
      <c r="B86" s="3353">
        <v>84</v>
      </c>
      <c r="C86" s="3365" t="s">
        <v>3281</v>
      </c>
      <c r="D86" s="3354">
        <v>8</v>
      </c>
      <c r="E86" s="3354">
        <v>4</v>
      </c>
      <c r="F86" s="3355" t="s">
        <v>3057</v>
      </c>
      <c r="G86" s="3354">
        <v>127.89</v>
      </c>
      <c r="H86" s="3356">
        <f t="shared" ca="1" si="1"/>
        <v>306.58</v>
      </c>
    </row>
    <row r="87" spans="2:8" ht="14.25" thickBot="1">
      <c r="B87" s="3353">
        <v>85</v>
      </c>
      <c r="C87" s="3365" t="s">
        <v>3281</v>
      </c>
      <c r="D87" s="3354">
        <v>9</v>
      </c>
      <c r="E87" s="3354">
        <v>1</v>
      </c>
      <c r="F87" s="3355" t="s">
        <v>3057</v>
      </c>
      <c r="G87" s="3354">
        <v>127.89</v>
      </c>
      <c r="H87" s="3356">
        <f t="shared" ca="1" si="1"/>
        <v>306.58</v>
      </c>
    </row>
    <row r="88" spans="2:8" ht="14.25" thickBot="1">
      <c r="B88" s="3353">
        <v>86</v>
      </c>
      <c r="C88" s="3365" t="s">
        <v>3281</v>
      </c>
      <c r="D88" s="3354">
        <v>9</v>
      </c>
      <c r="E88" s="3354">
        <v>2</v>
      </c>
      <c r="F88" s="3355" t="s">
        <v>3057</v>
      </c>
      <c r="G88" s="3354">
        <v>112.01</v>
      </c>
      <c r="H88" s="3356">
        <f t="shared" ca="1" si="1"/>
        <v>268.52</v>
      </c>
    </row>
    <row r="89" spans="2:8" ht="14.25" thickBot="1">
      <c r="B89" s="3353">
        <v>87</v>
      </c>
      <c r="C89" s="3365" t="s">
        <v>3281</v>
      </c>
      <c r="D89" s="3354">
        <v>9</v>
      </c>
      <c r="E89" s="3354">
        <v>3</v>
      </c>
      <c r="F89" s="3355" t="s">
        <v>3057</v>
      </c>
      <c r="G89" s="3354">
        <v>112.01</v>
      </c>
      <c r="H89" s="3356">
        <f t="shared" ca="1" si="1"/>
        <v>268.52</v>
      </c>
    </row>
    <row r="90" spans="2:8" ht="14.25" thickBot="1">
      <c r="B90" s="3353">
        <v>88</v>
      </c>
      <c r="C90" s="3365" t="s">
        <v>3281</v>
      </c>
      <c r="D90" s="3354">
        <v>9</v>
      </c>
      <c r="E90" s="3354">
        <v>4</v>
      </c>
      <c r="F90" s="3355" t="s">
        <v>3057</v>
      </c>
      <c r="G90" s="3354">
        <v>127.89</v>
      </c>
      <c r="H90" s="3356">
        <f t="shared" ca="1" si="1"/>
        <v>306.58</v>
      </c>
    </row>
    <row r="91" spans="2:8" ht="14.25" thickBot="1">
      <c r="B91" s="3353">
        <v>89</v>
      </c>
      <c r="C91" s="3365" t="s">
        <v>3281</v>
      </c>
      <c r="D91" s="3354">
        <v>10</v>
      </c>
      <c r="E91" s="3354">
        <v>1</v>
      </c>
      <c r="F91" s="3355" t="s">
        <v>3057</v>
      </c>
      <c r="G91" s="3354">
        <v>127.89</v>
      </c>
      <c r="H91" s="3356">
        <f t="shared" ca="1" si="1"/>
        <v>306.58</v>
      </c>
    </row>
    <row r="92" spans="2:8" ht="14.25" thickBot="1">
      <c r="B92" s="3353">
        <v>90</v>
      </c>
      <c r="C92" s="3365" t="s">
        <v>3281</v>
      </c>
      <c r="D92" s="3354">
        <v>10</v>
      </c>
      <c r="E92" s="3354">
        <v>2</v>
      </c>
      <c r="F92" s="3355" t="s">
        <v>3057</v>
      </c>
      <c r="G92" s="3354">
        <v>112.01</v>
      </c>
      <c r="H92" s="3356">
        <f t="shared" ca="1" si="1"/>
        <v>268.52</v>
      </c>
    </row>
    <row r="93" spans="2:8" ht="14.25" thickBot="1">
      <c r="B93" s="3353">
        <v>91</v>
      </c>
      <c r="C93" s="3365" t="s">
        <v>3281</v>
      </c>
      <c r="D93" s="3354">
        <v>10</v>
      </c>
      <c r="E93" s="3354">
        <v>3</v>
      </c>
      <c r="F93" s="3355" t="s">
        <v>3057</v>
      </c>
      <c r="G93" s="3354">
        <v>112.01</v>
      </c>
      <c r="H93" s="3356">
        <f t="shared" ca="1" si="1"/>
        <v>268.52</v>
      </c>
    </row>
    <row r="94" spans="2:8" ht="14.25" thickBot="1">
      <c r="B94" s="3353">
        <v>92</v>
      </c>
      <c r="C94" s="3365" t="s">
        <v>3281</v>
      </c>
      <c r="D94" s="3354">
        <v>10</v>
      </c>
      <c r="E94" s="3354">
        <v>4</v>
      </c>
      <c r="F94" s="3355" t="s">
        <v>3057</v>
      </c>
      <c r="G94" s="3354">
        <v>127.89</v>
      </c>
      <c r="H94" s="3356">
        <f t="shared" ca="1" si="1"/>
        <v>306.58</v>
      </c>
    </row>
    <row r="95" spans="2:8" ht="14.25" thickBot="1">
      <c r="B95" s="3353">
        <v>93</v>
      </c>
      <c r="C95" s="3365" t="s">
        <v>3281</v>
      </c>
      <c r="D95" s="3354">
        <v>11</v>
      </c>
      <c r="E95" s="3354">
        <v>1</v>
      </c>
      <c r="F95" s="3355" t="s">
        <v>3057</v>
      </c>
      <c r="G95" s="3354">
        <v>127.89</v>
      </c>
      <c r="H95" s="3356">
        <f t="shared" ca="1" si="1"/>
        <v>306.58</v>
      </c>
    </row>
    <row r="96" spans="2:8" ht="14.25" thickBot="1">
      <c r="B96" s="3353">
        <v>94</v>
      </c>
      <c r="C96" s="3365" t="s">
        <v>3281</v>
      </c>
      <c r="D96" s="3354">
        <v>11</v>
      </c>
      <c r="E96" s="3354">
        <v>2</v>
      </c>
      <c r="F96" s="3355" t="s">
        <v>3057</v>
      </c>
      <c r="G96" s="3354">
        <v>112.01</v>
      </c>
      <c r="H96" s="3356">
        <f t="shared" ca="1" si="1"/>
        <v>268.52</v>
      </c>
    </row>
    <row r="97" spans="2:8" ht="14.25" thickBot="1">
      <c r="B97" s="3353">
        <v>95</v>
      </c>
      <c r="C97" s="3365" t="s">
        <v>3281</v>
      </c>
      <c r="D97" s="3354">
        <v>11</v>
      </c>
      <c r="E97" s="3354">
        <v>3</v>
      </c>
      <c r="F97" s="3355" t="s">
        <v>3057</v>
      </c>
      <c r="G97" s="3354">
        <v>112.01</v>
      </c>
      <c r="H97" s="3356">
        <f t="shared" ca="1" si="1"/>
        <v>268.52</v>
      </c>
    </row>
    <row r="98" spans="2:8" ht="14.25" thickBot="1">
      <c r="B98" s="3353">
        <v>96</v>
      </c>
      <c r="C98" s="3365" t="s">
        <v>3281</v>
      </c>
      <c r="D98" s="3354">
        <v>11</v>
      </c>
      <c r="E98" s="3354">
        <v>4</v>
      </c>
      <c r="F98" s="3355" t="s">
        <v>3057</v>
      </c>
      <c r="G98" s="3354">
        <v>127.89</v>
      </c>
      <c r="H98" s="3356">
        <f t="shared" ca="1" si="1"/>
        <v>306.58</v>
      </c>
    </row>
    <row r="99" spans="2:8" ht="14.25" thickBot="1">
      <c r="B99" s="3353">
        <v>97</v>
      </c>
      <c r="C99" s="3365" t="s">
        <v>3281</v>
      </c>
      <c r="D99" s="3354">
        <v>12</v>
      </c>
      <c r="E99" s="3354">
        <v>1</v>
      </c>
      <c r="F99" s="3355" t="s">
        <v>3057</v>
      </c>
      <c r="G99" s="3354">
        <v>127.89</v>
      </c>
      <c r="H99" s="3356">
        <f t="shared" ca="1" si="1"/>
        <v>306.58</v>
      </c>
    </row>
    <row r="100" spans="2:8" ht="14.25" thickBot="1">
      <c r="B100" s="3353">
        <v>98</v>
      </c>
      <c r="C100" s="3365" t="s">
        <v>3281</v>
      </c>
      <c r="D100" s="3354">
        <v>12</v>
      </c>
      <c r="E100" s="3354">
        <v>2</v>
      </c>
      <c r="F100" s="3355" t="s">
        <v>3057</v>
      </c>
      <c r="G100" s="3354">
        <v>112.01</v>
      </c>
      <c r="H100" s="3356">
        <f t="shared" ca="1" si="1"/>
        <v>268.52</v>
      </c>
    </row>
    <row r="101" spans="2:8" ht="14.25" thickBot="1">
      <c r="B101" s="3353">
        <v>99</v>
      </c>
      <c r="C101" s="3365" t="s">
        <v>3281</v>
      </c>
      <c r="D101" s="3354">
        <v>12</v>
      </c>
      <c r="E101" s="3354">
        <v>3</v>
      </c>
      <c r="F101" s="3355" t="s">
        <v>3057</v>
      </c>
      <c r="G101" s="3354">
        <v>112.01</v>
      </c>
      <c r="H101" s="3356">
        <f t="shared" ca="1" si="1"/>
        <v>268.52</v>
      </c>
    </row>
    <row r="102" spans="2:8" ht="14.25" thickBot="1">
      <c r="B102" s="3353">
        <v>100</v>
      </c>
      <c r="C102" s="3365" t="s">
        <v>3281</v>
      </c>
      <c r="D102" s="3354">
        <v>12</v>
      </c>
      <c r="E102" s="3354">
        <v>4</v>
      </c>
      <c r="F102" s="3355" t="s">
        <v>3057</v>
      </c>
      <c r="G102" s="3354">
        <v>127.89</v>
      </c>
      <c r="H102" s="3356">
        <f t="shared" ca="1" si="1"/>
        <v>306.58</v>
      </c>
    </row>
    <row r="103" spans="2:8" ht="14.25" thickBot="1">
      <c r="B103" s="3353">
        <v>101</v>
      </c>
      <c r="C103" s="3365" t="s">
        <v>3281</v>
      </c>
      <c r="D103" s="3354">
        <v>13</v>
      </c>
      <c r="E103" s="3354">
        <v>1</v>
      </c>
      <c r="F103" s="3355" t="s">
        <v>3057</v>
      </c>
      <c r="G103" s="3354">
        <v>127.89</v>
      </c>
      <c r="H103" s="3356">
        <f t="shared" ca="1" si="1"/>
        <v>306.58</v>
      </c>
    </row>
    <row r="104" spans="2:8" ht="14.25" thickBot="1">
      <c r="B104" s="3353">
        <v>102</v>
      </c>
      <c r="C104" s="3365" t="s">
        <v>3281</v>
      </c>
      <c r="D104" s="3354">
        <v>13</v>
      </c>
      <c r="E104" s="3354">
        <v>2</v>
      </c>
      <c r="F104" s="3355" t="s">
        <v>3057</v>
      </c>
      <c r="G104" s="3354">
        <v>112.01</v>
      </c>
      <c r="H104" s="3356">
        <f t="shared" ca="1" si="1"/>
        <v>268.52</v>
      </c>
    </row>
    <row r="105" spans="2:8" ht="14.25" thickBot="1">
      <c r="B105" s="3353">
        <v>103</v>
      </c>
      <c r="C105" s="3365" t="s">
        <v>3281</v>
      </c>
      <c r="D105" s="3354">
        <v>13</v>
      </c>
      <c r="E105" s="3354">
        <v>3</v>
      </c>
      <c r="F105" s="3355" t="s">
        <v>3057</v>
      </c>
      <c r="G105" s="3354">
        <v>112.01</v>
      </c>
      <c r="H105" s="3356">
        <f t="shared" ca="1" si="1"/>
        <v>268.52</v>
      </c>
    </row>
    <row r="106" spans="2:8" ht="14.25" thickBot="1">
      <c r="B106" s="3353">
        <v>104</v>
      </c>
      <c r="C106" s="3365" t="s">
        <v>3281</v>
      </c>
      <c r="D106" s="3354">
        <v>13</v>
      </c>
      <c r="E106" s="3354">
        <v>4</v>
      </c>
      <c r="F106" s="3355" t="s">
        <v>3057</v>
      </c>
      <c r="G106" s="3354">
        <v>127.89</v>
      </c>
      <c r="H106" s="3356">
        <f t="shared" ca="1" si="1"/>
        <v>306.58</v>
      </c>
    </row>
    <row r="107" spans="2:8" ht="14.25" thickBot="1">
      <c r="B107" s="3353">
        <v>105</v>
      </c>
      <c r="C107" s="3365" t="s">
        <v>3281</v>
      </c>
      <c r="D107" s="3354">
        <v>14</v>
      </c>
      <c r="E107" s="3354">
        <v>1</v>
      </c>
      <c r="F107" s="3355" t="s">
        <v>3057</v>
      </c>
      <c r="G107" s="3354">
        <v>127.89</v>
      </c>
      <c r="H107" s="3356">
        <f t="shared" ca="1" si="1"/>
        <v>306.58</v>
      </c>
    </row>
    <row r="108" spans="2:8" ht="14.25" thickBot="1">
      <c r="B108" s="3353">
        <v>106</v>
      </c>
      <c r="C108" s="3365" t="s">
        <v>3281</v>
      </c>
      <c r="D108" s="3354">
        <v>14</v>
      </c>
      <c r="E108" s="3354">
        <v>2</v>
      </c>
      <c r="F108" s="3355" t="s">
        <v>3057</v>
      </c>
      <c r="G108" s="3354">
        <v>112.01</v>
      </c>
      <c r="H108" s="3356">
        <f t="shared" ca="1" si="1"/>
        <v>268.52</v>
      </c>
    </row>
    <row r="109" spans="2:8" ht="14.25" thickBot="1">
      <c r="B109" s="3353">
        <v>107</v>
      </c>
      <c r="C109" s="3365" t="s">
        <v>3281</v>
      </c>
      <c r="D109" s="3354">
        <v>14</v>
      </c>
      <c r="E109" s="3354">
        <v>3</v>
      </c>
      <c r="F109" s="3355" t="s">
        <v>3057</v>
      </c>
      <c r="G109" s="3354">
        <v>112.01</v>
      </c>
      <c r="H109" s="3356">
        <f t="shared" ca="1" si="1"/>
        <v>268.52</v>
      </c>
    </row>
    <row r="110" spans="2:8" ht="14.25" thickBot="1">
      <c r="B110" s="3353">
        <v>108</v>
      </c>
      <c r="C110" s="3365" t="s">
        <v>3281</v>
      </c>
      <c r="D110" s="3354">
        <v>14</v>
      </c>
      <c r="E110" s="3354">
        <v>4</v>
      </c>
      <c r="F110" s="3355" t="s">
        <v>3057</v>
      </c>
      <c r="G110" s="3354">
        <v>127.89</v>
      </c>
      <c r="H110" s="3356">
        <f t="shared" ca="1" si="1"/>
        <v>306.58</v>
      </c>
    </row>
    <row r="111" spans="2:8" ht="14.25" thickBot="1">
      <c r="B111" s="3353">
        <v>109</v>
      </c>
      <c r="C111" s="3365" t="s">
        <v>3281</v>
      </c>
      <c r="D111" s="3354">
        <v>15</v>
      </c>
      <c r="E111" s="3354">
        <v>1</v>
      </c>
      <c r="F111" s="3355" t="s">
        <v>3057</v>
      </c>
      <c r="G111" s="3354">
        <v>127.89</v>
      </c>
      <c r="H111" s="3356">
        <f t="shared" ca="1" si="1"/>
        <v>306.58</v>
      </c>
    </row>
    <row r="112" spans="2:8" ht="14.25" thickBot="1">
      <c r="B112" s="3353">
        <v>110</v>
      </c>
      <c r="C112" s="3365" t="s">
        <v>3281</v>
      </c>
      <c r="D112" s="3354">
        <v>15</v>
      </c>
      <c r="E112" s="3354">
        <v>2</v>
      </c>
      <c r="F112" s="3355" t="s">
        <v>3057</v>
      </c>
      <c r="G112" s="3354">
        <v>112.01</v>
      </c>
      <c r="H112" s="3356">
        <f t="shared" ca="1" si="1"/>
        <v>268.52</v>
      </c>
    </row>
    <row r="113" spans="2:8" ht="14.25" thickBot="1">
      <c r="B113" s="3353">
        <v>111</v>
      </c>
      <c r="C113" s="3365" t="s">
        <v>3281</v>
      </c>
      <c r="D113" s="3354">
        <v>15</v>
      </c>
      <c r="E113" s="3354">
        <v>3</v>
      </c>
      <c r="F113" s="3355" t="s">
        <v>3057</v>
      </c>
      <c r="G113" s="3354">
        <v>112.01</v>
      </c>
      <c r="H113" s="3356">
        <f t="shared" ca="1" si="1"/>
        <v>268.52</v>
      </c>
    </row>
    <row r="114" spans="2:8" ht="14.25" thickBot="1">
      <c r="B114" s="3353">
        <v>112</v>
      </c>
      <c r="C114" s="3365" t="s">
        <v>3281</v>
      </c>
      <c r="D114" s="3354">
        <v>15</v>
      </c>
      <c r="E114" s="3354">
        <v>4</v>
      </c>
      <c r="F114" s="3355" t="s">
        <v>3057</v>
      </c>
      <c r="G114" s="3354">
        <v>127.89</v>
      </c>
      <c r="H114" s="3356">
        <f t="shared" ca="1" si="1"/>
        <v>306.58</v>
      </c>
    </row>
    <row r="115" spans="2:8" ht="14.25" thickBot="1">
      <c r="B115" s="3353">
        <v>113</v>
      </c>
      <c r="C115" s="3365" t="s">
        <v>3281</v>
      </c>
      <c r="D115" s="3354">
        <v>16</v>
      </c>
      <c r="E115" s="3354">
        <v>1</v>
      </c>
      <c r="F115" s="3355" t="s">
        <v>3057</v>
      </c>
      <c r="G115" s="3354">
        <v>127.89</v>
      </c>
      <c r="H115" s="3356">
        <f t="shared" ca="1" si="1"/>
        <v>306.58</v>
      </c>
    </row>
    <row r="116" spans="2:8" ht="14.25" thickBot="1">
      <c r="B116" s="3353">
        <v>114</v>
      </c>
      <c r="C116" s="3365" t="s">
        <v>3281</v>
      </c>
      <c r="D116" s="3354">
        <v>16</v>
      </c>
      <c r="E116" s="3354">
        <v>2</v>
      </c>
      <c r="F116" s="3355" t="s">
        <v>3057</v>
      </c>
      <c r="G116" s="3354">
        <v>112.01</v>
      </c>
      <c r="H116" s="3356">
        <f t="shared" ca="1" si="1"/>
        <v>268.52</v>
      </c>
    </row>
    <row r="117" spans="2:8" ht="14.25" thickBot="1">
      <c r="B117" s="3353">
        <v>115</v>
      </c>
      <c r="C117" s="3365" t="s">
        <v>3281</v>
      </c>
      <c r="D117" s="3354">
        <v>16</v>
      </c>
      <c r="E117" s="3354">
        <v>3</v>
      </c>
      <c r="F117" s="3355" t="s">
        <v>3057</v>
      </c>
      <c r="G117" s="3354">
        <v>112.01</v>
      </c>
      <c r="H117" s="3356">
        <f t="shared" ca="1" si="1"/>
        <v>268.52</v>
      </c>
    </row>
    <row r="118" spans="2:8" ht="14.25" thickBot="1">
      <c r="B118" s="3353">
        <v>116</v>
      </c>
      <c r="C118" s="3365" t="s">
        <v>3281</v>
      </c>
      <c r="D118" s="3354">
        <v>16</v>
      </c>
      <c r="E118" s="3354">
        <v>4</v>
      </c>
      <c r="F118" s="3355" t="s">
        <v>3057</v>
      </c>
      <c r="G118" s="3354">
        <v>127.89</v>
      </c>
      <c r="H118" s="3356">
        <f t="shared" ca="1" si="1"/>
        <v>306.58</v>
      </c>
    </row>
    <row r="119" spans="2:8" ht="14.25" thickBot="1">
      <c r="B119" s="3353">
        <v>117</v>
      </c>
      <c r="C119" s="3365" t="s">
        <v>3281</v>
      </c>
      <c r="D119" s="3354">
        <v>17</v>
      </c>
      <c r="E119" s="3354">
        <v>1</v>
      </c>
      <c r="F119" s="3355" t="s">
        <v>3057</v>
      </c>
      <c r="G119" s="3354">
        <v>127.89</v>
      </c>
      <c r="H119" s="3356">
        <f t="shared" ca="1" si="1"/>
        <v>306.58</v>
      </c>
    </row>
    <row r="120" spans="2:8" ht="14.25" thickBot="1">
      <c r="B120" s="3353">
        <v>118</v>
      </c>
      <c r="C120" s="3365" t="s">
        <v>3281</v>
      </c>
      <c r="D120" s="3354">
        <v>17</v>
      </c>
      <c r="E120" s="3354">
        <v>2</v>
      </c>
      <c r="F120" s="3355" t="s">
        <v>3057</v>
      </c>
      <c r="G120" s="3354">
        <v>112.01</v>
      </c>
      <c r="H120" s="3356">
        <f t="shared" ca="1" si="1"/>
        <v>268.52</v>
      </c>
    </row>
    <row r="121" spans="2:8" ht="14.25" thickBot="1">
      <c r="B121" s="3353">
        <v>119</v>
      </c>
      <c r="C121" s="3365" t="s">
        <v>3281</v>
      </c>
      <c r="D121" s="3354">
        <v>17</v>
      </c>
      <c r="E121" s="3354">
        <v>3</v>
      </c>
      <c r="F121" s="3355" t="s">
        <v>3057</v>
      </c>
      <c r="G121" s="3354">
        <v>112.01</v>
      </c>
      <c r="H121" s="3356">
        <f t="shared" ca="1" si="1"/>
        <v>268.52</v>
      </c>
    </row>
    <row r="122" spans="2:8" ht="14.25" thickBot="1">
      <c r="B122" s="3353">
        <v>120</v>
      </c>
      <c r="C122" s="3365" t="s">
        <v>3281</v>
      </c>
      <c r="D122" s="3354">
        <v>17</v>
      </c>
      <c r="E122" s="3354">
        <v>4</v>
      </c>
      <c r="F122" s="3355" t="s">
        <v>3057</v>
      </c>
      <c r="G122" s="3354">
        <v>127.89</v>
      </c>
      <c r="H122" s="3356">
        <f t="shared" ca="1" si="1"/>
        <v>306.58</v>
      </c>
    </row>
    <row r="123" spans="2:8" ht="14.25" thickBot="1">
      <c r="B123" s="3359" t="s">
        <v>37</v>
      </c>
      <c r="C123" s="3360"/>
      <c r="D123" s="3360"/>
      <c r="E123" s="3361"/>
      <c r="F123" s="3357" t="s">
        <v>3278</v>
      </c>
      <c r="G123" s="3358">
        <f>SUM(G3:G122)</f>
        <v>14394.000000000002</v>
      </c>
      <c r="H123" s="3356">
        <f ca="1">SUM(H3:H122)</f>
        <v>34506.000000000065</v>
      </c>
    </row>
    <row r="124" spans="2:8" ht="14.25">
      <c r="B124" s="3362" t="s">
        <v>3279</v>
      </c>
    </row>
  </sheetData>
  <mergeCells count="1">
    <mergeCell ref="B123:E123"/>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1641</v>
      </c>
      <c r="B2" s="3001" t="s">
        <v>1642</v>
      </c>
      <c r="C2" s="3001" t="s">
        <v>1643</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2995"/>
      <c r="B3" s="2995"/>
      <c r="C3" s="2995"/>
      <c r="D3" s="1047" t="s">
        <v>1638</v>
      </c>
      <c r="E3" s="1047" t="s">
        <v>1644</v>
      </c>
      <c r="F3" s="1047" t="s">
        <v>1638</v>
      </c>
      <c r="G3" s="1047" t="s">
        <v>1639</v>
      </c>
      <c r="H3" s="1047" t="s">
        <v>1638</v>
      </c>
      <c r="I3" s="1047" t="s">
        <v>1639</v>
      </c>
    </row>
    <row r="4" spans="1:9" ht="60">
      <c r="A4" s="1975" t="str">
        <f>项目基本情况!S2</f>
        <v>湖北省武汉市江夏区纸坊街红旗村“江南新天地”（又名“鹏湖湾”）项目出让国有建设用地使用权及在建建筑物房地产</v>
      </c>
      <c r="B4" s="1047">
        <f>项目基本情况!C17</f>
        <v>43189.020000000004</v>
      </c>
      <c r="C4" s="1047">
        <f>项目基本情况!C18</f>
        <v>13519.93</v>
      </c>
      <c r="D4" s="1047">
        <f ca="1">结果表!D118</f>
        <v>31090</v>
      </c>
      <c r="E4" s="1047">
        <f ca="1">结果表!E118</f>
        <v>7199</v>
      </c>
      <c r="F4" s="1047">
        <f ca="1">结果表!F118</f>
        <v>3416</v>
      </c>
      <c r="G4" s="1047">
        <f ca="1">结果表!G118</f>
        <v>791</v>
      </c>
      <c r="H4" s="1047">
        <f ca="1">结果表!H118</f>
        <v>34506</v>
      </c>
      <c r="I4" s="1047">
        <f ca="1">结果表!I118</f>
        <v>7990</v>
      </c>
    </row>
    <row r="5" spans="1:9" ht="30" customHeight="1">
      <c r="A5" s="2995" t="s">
        <v>1640</v>
      </c>
      <c r="B5" s="2995"/>
      <c r="C5" s="2995"/>
      <c r="D5" s="2996" t="str">
        <f ca="1">结果表!D119</f>
        <v>叁亿壹仟零玖拾万元整</v>
      </c>
      <c r="E5" s="2996"/>
      <c r="F5" s="2996" t="str">
        <f ca="1">结果表!F119</f>
        <v>叁仟肆佰壹拾陆万元整</v>
      </c>
      <c r="G5" s="2996"/>
      <c r="H5" s="2996" t="str">
        <f ca="1">结果表!H119</f>
        <v>叁亿肆仟伍佰零陆万元整</v>
      </c>
      <c r="I5" s="2996"/>
    </row>
    <row r="6" spans="1:9" ht="15.75">
      <c r="A6" s="2994" t="str">
        <f>结果表!A120</f>
        <v>估价师知悉的法定优先受偿款</v>
      </c>
      <c r="B6" s="2994"/>
      <c r="C6" s="2994"/>
      <c r="D6" s="2994">
        <f>结果表!D120</f>
        <v>0</v>
      </c>
      <c r="E6" s="2994"/>
      <c r="F6" s="2994"/>
      <c r="G6" s="2994"/>
      <c r="H6" s="2994"/>
      <c r="I6" s="2994"/>
    </row>
    <row r="7" spans="1:9" ht="15">
      <c r="A7" s="2995" t="s">
        <v>1640</v>
      </c>
      <c r="B7" s="2995"/>
      <c r="C7" s="2995"/>
      <c r="D7" s="2997" t="str">
        <f>结果表!D121</f>
        <v>零元整</v>
      </c>
      <c r="E7" s="2998"/>
      <c r="F7" s="2998"/>
      <c r="G7" s="2998"/>
      <c r="H7" s="2998"/>
      <c r="I7" s="2999"/>
    </row>
    <row r="8" spans="1:9" ht="15.75">
      <c r="A8" s="2994" t="str">
        <f>结果表!A122</f>
        <v>房地产抵押价值</v>
      </c>
      <c r="B8" s="2994"/>
      <c r="C8" s="2994"/>
      <c r="D8" s="2994">
        <f ca="1">结果表!D122</f>
        <v>34506</v>
      </c>
      <c r="E8" s="2994"/>
      <c r="F8" s="2994"/>
      <c r="G8" s="2994"/>
      <c r="H8" s="2994"/>
      <c r="I8" s="2994"/>
    </row>
    <row r="9" spans="1:9" ht="15">
      <c r="A9" s="2995" t="s">
        <v>1640</v>
      </c>
      <c r="B9" s="2995"/>
      <c r="C9" s="2995"/>
      <c r="D9" s="2996" t="str">
        <f ca="1">结果表!D123</f>
        <v>叁亿肆仟伍佰零陆万元整</v>
      </c>
      <c r="E9" s="2996"/>
      <c r="F9" s="2996"/>
      <c r="G9" s="2996"/>
      <c r="H9" s="2996"/>
      <c r="I9" s="2996"/>
    </row>
    <row r="10" spans="1:9" ht="15.75">
      <c r="A10" s="2994" t="str">
        <f>结果表!A124</f>
        <v/>
      </c>
      <c r="B10" s="2994"/>
      <c r="C10" s="2994"/>
      <c r="D10" s="2994" t="str">
        <f>结果表!D124</f>
        <v>——</v>
      </c>
      <c r="E10" s="2994"/>
      <c r="F10" s="2994"/>
      <c r="G10" s="2994"/>
      <c r="H10" s="2994"/>
      <c r="I10" s="2994"/>
    </row>
    <row r="11" spans="1:9" ht="15">
      <c r="A11" s="2995" t="s">
        <v>1640</v>
      </c>
      <c r="B11" s="2995"/>
      <c r="C11" s="2995"/>
      <c r="D11" s="2996" t="e">
        <f>结果表!D125</f>
        <v>#VALUE!</v>
      </c>
      <c r="E11" s="2996"/>
      <c r="F11" s="2996"/>
      <c r="G11" s="2996"/>
      <c r="H11" s="2996"/>
      <c r="I11" s="2996"/>
    </row>
    <row r="12" spans="1:9" ht="15.75">
      <c r="A12" s="2994" t="str">
        <f>结果表!A126</f>
        <v/>
      </c>
      <c r="B12" s="2994"/>
      <c r="C12" s="2994"/>
      <c r="D12" s="2994" t="str">
        <f>结果表!D126</f>
        <v>——</v>
      </c>
      <c r="E12" s="2994"/>
      <c r="F12" s="2994"/>
      <c r="G12" s="2994"/>
      <c r="H12" s="2994"/>
      <c r="I12" s="2994"/>
    </row>
    <row r="13" spans="1:9" ht="15.75" thickBot="1">
      <c r="A13" s="2991" t="s">
        <v>1640</v>
      </c>
      <c r="B13" s="2991"/>
      <c r="C13" s="2991"/>
      <c r="D13" s="2992" t="e">
        <f>结果表!D127</f>
        <v>#VALUE!</v>
      </c>
      <c r="E13" s="2992"/>
      <c r="F13" s="2992"/>
      <c r="G13" s="2992"/>
      <c r="H13" s="2992"/>
      <c r="I13" s="2992"/>
    </row>
    <row r="14" spans="1:9" ht="15" thickTop="1">
      <c r="A14" s="2993" t="s">
        <v>1645</v>
      </c>
      <c r="B14" s="2993"/>
      <c r="C14" s="2993"/>
      <c r="D14" s="2993"/>
      <c r="E14" s="2993"/>
      <c r="F14" s="2993"/>
      <c r="G14" s="2993"/>
      <c r="H14" s="2993"/>
      <c r="I14" s="2993"/>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8" t="s">
        <v>1662</v>
      </c>
      <c r="B1" s="3008"/>
      <c r="C1" s="3008"/>
      <c r="D1" s="3008"/>
    </row>
    <row r="2" spans="1:4" ht="18">
      <c r="A2" s="3009" t="s">
        <v>1646</v>
      </c>
      <c r="B2" s="3009"/>
      <c r="C2" s="3009"/>
      <c r="D2" s="3009"/>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王萌</v>
      </c>
      <c r="B5" s="1981">
        <f ca="1">项目基本情况!E4</f>
        <v>1120130048</v>
      </c>
      <c r="C5" s="1984"/>
      <c r="D5" s="1983" t="s">
        <v>1651</v>
      </c>
    </row>
    <row r="6" spans="1:4" ht="18">
      <c r="A6" s="3009" t="s">
        <v>1652</v>
      </c>
      <c r="B6" s="3009"/>
      <c r="C6" s="3009"/>
      <c r="D6" s="3009"/>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10" t="s">
        <v>1655</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2" t="str">
        <f>IF(项目基本情况!B8="抵押","4.本次评估估价师所知悉的法定优先受偿款情况说明如下：","——")</f>
        <v>4.本次评估估价师所知悉的法定优先受偿款情况说明如下：</v>
      </c>
      <c r="B14" s="3007"/>
      <c r="C14" s="3007"/>
      <c r="D14" s="3007"/>
    </row>
    <row r="15" spans="1:4" ht="42" customHeight="1">
      <c r="A15" s="3002" t="str">
        <f>IF(项目基本情况!B8="抵押","（1）"&amp;CONCATENATE(项目基本情况!L20,项目基本情况!L21,项目基本情况!L22),"——")</f>
        <v>（1）根据估价对象《国有土地使用证》原件，截至价值时点，估价对象抵押权未见登记。</v>
      </c>
      <c r="B15" s="3002"/>
      <c r="C15" s="3002"/>
      <c r="D15" s="3002"/>
    </row>
    <row r="16" spans="1:4" ht="30" customHeight="1">
      <c r="A16" s="3004" t="s">
        <v>1656</v>
      </c>
      <c r="B16" s="3004"/>
      <c r="C16" s="3004"/>
      <c r="D16" s="3004"/>
    </row>
    <row r="17" spans="1:4" ht="144" customHeight="1">
      <c r="A17" s="3004" t="s">
        <v>1657</v>
      </c>
      <c r="B17" s="3004"/>
      <c r="C17" s="3004"/>
      <c r="D17" s="3004"/>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2"/>
      <c r="C20" s="3002"/>
      <c r="D20" s="3002"/>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1658</v>
      </c>
      <c r="B22" s="3006"/>
      <c r="C22" s="3006"/>
      <c r="D22" s="3006"/>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03">
        <v>42551</v>
      </c>
      <c r="D31" s="30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16" t="s">
        <v>1669</v>
      </c>
      <c r="B15" s="3011" t="s">
        <v>136</v>
      </c>
      <c r="C15" s="3012"/>
    </row>
    <row r="16" spans="1:7" ht="13.5">
      <c r="A16" s="3017"/>
      <c r="B16" s="3011" t="s">
        <v>69</v>
      </c>
      <c r="C16" s="3012"/>
    </row>
    <row r="17" spans="1:3" ht="13.5">
      <c r="A17" s="3017"/>
      <c r="B17" s="3014" t="s">
        <v>1670</v>
      </c>
      <c r="C17" s="2002" t="s">
        <v>1669</v>
      </c>
    </row>
    <row r="18" spans="1:3" ht="13.5">
      <c r="A18" s="3017"/>
      <c r="B18" s="3014"/>
      <c r="C18" s="2002" t="s">
        <v>1671</v>
      </c>
    </row>
    <row r="19" spans="1:3" ht="13.5">
      <c r="A19" s="3017"/>
      <c r="B19" s="3014"/>
      <c r="C19" s="2002" t="s">
        <v>1672</v>
      </c>
    </row>
    <row r="20" spans="1:3" ht="13.5">
      <c r="A20" s="3018"/>
      <c r="B20" s="3013" t="s">
        <v>1673</v>
      </c>
      <c r="C20" s="3012"/>
    </row>
    <row r="21" spans="1:3" ht="13.5">
      <c r="A21" s="2003" t="s">
        <v>1674</v>
      </c>
      <c r="B21" s="2004"/>
      <c r="C21" s="2005"/>
    </row>
    <row r="22" spans="1:3" ht="13.5">
      <c r="A22" s="3015" t="s">
        <v>1675</v>
      </c>
      <c r="B22" s="3013" t="s">
        <v>1676</v>
      </c>
      <c r="C22" s="3012"/>
    </row>
    <row r="23" spans="1:3" ht="13.5">
      <c r="A23" s="3015"/>
      <c r="B23" s="3013" t="s">
        <v>1677</v>
      </c>
      <c r="C23" s="3012"/>
    </row>
    <row r="24" spans="1:3" ht="13.5">
      <c r="A24" s="3015"/>
      <c r="B24" s="3013" t="s">
        <v>1678</v>
      </c>
      <c r="C24" s="3012"/>
    </row>
    <row r="25" spans="1:3" ht="13.5">
      <c r="A25" s="3015"/>
      <c r="B25" s="3014" t="s">
        <v>1679</v>
      </c>
      <c r="C25" s="2002" t="s">
        <v>1680</v>
      </c>
    </row>
    <row r="26" spans="1:3" ht="13.5">
      <c r="A26" s="3015"/>
      <c r="B26" s="3014"/>
      <c r="C26" s="2002" t="s">
        <v>1681</v>
      </c>
    </row>
    <row r="27" spans="1:3" ht="13.5">
      <c r="A27" s="3015"/>
      <c r="B27" s="3014"/>
      <c r="C27" s="2002" t="s">
        <v>1682</v>
      </c>
    </row>
    <row r="28" spans="1:3" ht="13.5">
      <c r="A28" s="3015"/>
      <c r="B28" s="3014"/>
      <c r="C28" s="2002" t="s">
        <v>1683</v>
      </c>
    </row>
    <row r="29" spans="1:3" ht="13.5">
      <c r="A29" s="3015"/>
      <c r="B29" s="3014"/>
      <c r="C29" s="2002" t="s">
        <v>1684</v>
      </c>
    </row>
    <row r="30" spans="1:3" ht="13.5">
      <c r="A30" s="3015"/>
      <c r="B30" s="3014"/>
      <c r="C30" s="2002" t="s">
        <v>1685</v>
      </c>
    </row>
    <row r="31" spans="1:3" ht="13.5">
      <c r="A31" s="3015"/>
      <c r="B31" s="3014"/>
      <c r="C31" s="2002" t="s">
        <v>1686</v>
      </c>
    </row>
    <row r="32" spans="1:3" ht="13.5">
      <c r="A32" s="3015"/>
      <c r="B32" s="3014"/>
      <c r="C32" s="2002" t="s">
        <v>1687</v>
      </c>
    </row>
    <row r="33" spans="1:3" ht="13.5">
      <c r="A33" s="3015"/>
      <c r="B33" s="301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43276</v>
      </c>
      <c r="C2" s="1022" t="s">
        <v>826</v>
      </c>
      <c r="D2" s="1022"/>
    </row>
    <row r="3" spans="1:6" ht="24" customHeight="1">
      <c r="A3" s="1023" t="s">
        <v>827</v>
      </c>
      <c r="B3" s="1024" t="s">
        <v>828</v>
      </c>
      <c r="C3" s="2346" t="s">
        <v>829</v>
      </c>
      <c r="D3" s="2349" t="s">
        <v>830</v>
      </c>
      <c r="E3" s="1025" t="s">
        <v>831</v>
      </c>
      <c r="F3" s="1024" t="s">
        <v>829</v>
      </c>
    </row>
    <row r="4" spans="1:6" ht="24" customHeight="1">
      <c r="A4" s="1704" t="s">
        <v>832</v>
      </c>
      <c r="B4" s="1025">
        <f ca="1">IF(C4&lt;B2,"已过期",1119970066)</f>
        <v>1119970066</v>
      </c>
      <c r="C4" s="2347">
        <v>43849</v>
      </c>
      <c r="D4" s="2350" t="s">
        <v>832</v>
      </c>
      <c r="E4" s="1025">
        <f ca="1">IF(F4&lt;B2,"已过期",96010014)</f>
        <v>96010014</v>
      </c>
      <c r="F4" s="1033">
        <v>47118</v>
      </c>
    </row>
    <row r="5" spans="1:6" ht="24" customHeight="1">
      <c r="A5" s="1704" t="s">
        <v>833</v>
      </c>
      <c r="B5" s="1025">
        <f ca="1">IF(C5&lt;B2,"已过期",1119970074)</f>
        <v>1119970074</v>
      </c>
      <c r="C5" s="2347">
        <v>43849</v>
      </c>
      <c r="D5" s="2350" t="s">
        <v>833</v>
      </c>
      <c r="E5" s="1025">
        <f ca="1">IF(F5&lt;B2,"已过期",2002110027)</f>
        <v>2002110027</v>
      </c>
      <c r="F5" s="1033">
        <v>46752</v>
      </c>
    </row>
    <row r="6" spans="1:6" ht="24" customHeight="1">
      <c r="A6" s="1704" t="s">
        <v>834</v>
      </c>
      <c r="B6" s="1025">
        <f ca="1">IF(C6&lt;B2,"已过期",1119970111)</f>
        <v>1119970111</v>
      </c>
      <c r="C6" s="2347">
        <v>43849</v>
      </c>
      <c r="D6" s="2350" t="s">
        <v>834</v>
      </c>
      <c r="E6" s="1025">
        <f ca="1">IF(F6&lt;B2,"已过期",94010078)</f>
        <v>94010078</v>
      </c>
      <c r="F6" s="1033">
        <v>46387</v>
      </c>
    </row>
    <row r="7" spans="1:6" ht="24" customHeight="1">
      <c r="A7" s="1704" t="s">
        <v>835</v>
      </c>
      <c r="B7" s="1025">
        <f ca="1">IF(C7&lt;B2,"已过期",1120050019)</f>
        <v>1120050019</v>
      </c>
      <c r="C7" s="2347">
        <v>43359</v>
      </c>
      <c r="D7" s="2350" t="s">
        <v>835</v>
      </c>
      <c r="E7" s="1025">
        <f ca="1">IF(F7&lt;B2,"已过期",2002110030)</f>
        <v>2002110030</v>
      </c>
      <c r="F7" s="1033">
        <v>46387</v>
      </c>
    </row>
    <row r="8" spans="1:6" ht="24" customHeight="1">
      <c r="A8" s="1704" t="s">
        <v>836</v>
      </c>
      <c r="B8" s="1025">
        <f ca="1">IF(C8&lt;B2,"已过期",1120000080)</f>
        <v>1120000080</v>
      </c>
      <c r="C8" s="2347">
        <v>43849</v>
      </c>
      <c r="D8" s="2350" t="s">
        <v>836</v>
      </c>
      <c r="E8" s="1025">
        <f ca="1">IF(F8&lt;B2,"已过期",2000110082)</f>
        <v>2000110082</v>
      </c>
      <c r="F8" s="1033">
        <v>46387</v>
      </c>
    </row>
    <row r="9" spans="1:6" ht="24" customHeight="1">
      <c r="A9" s="1704" t="s">
        <v>837</v>
      </c>
      <c r="B9" s="1025">
        <f ca="1">IF(C9&lt;B2,"已过期",1419970001)</f>
        <v>1419970001</v>
      </c>
      <c r="C9" s="2347">
        <v>43867</v>
      </c>
      <c r="D9" s="2350" t="s">
        <v>837</v>
      </c>
      <c r="E9" s="1025">
        <f ca="1">IF(F9&lt;B2,"已过期",2002110125)</f>
        <v>2002110125</v>
      </c>
      <c r="F9" s="1033">
        <v>47118</v>
      </c>
    </row>
    <row r="10" spans="1:6" ht="24" customHeight="1">
      <c r="A10" s="1704" t="s">
        <v>838</v>
      </c>
      <c r="B10" s="1025">
        <f ca="1">IF(C10&lt;B2,"已过期",1120060040)</f>
        <v>1120060040</v>
      </c>
      <c r="C10" s="2347">
        <v>43483</v>
      </c>
      <c r="D10" s="2350" t="s">
        <v>838</v>
      </c>
      <c r="E10" s="1025">
        <f ca="1">IF(F10&lt;B2,"已过期",2004110096)</f>
        <v>2004110096</v>
      </c>
      <c r="F10" s="1033">
        <v>47118</v>
      </c>
    </row>
    <row r="11" spans="1:6" ht="24" customHeight="1">
      <c r="A11" s="1704" t="s">
        <v>839</v>
      </c>
      <c r="B11" s="1025">
        <f ca="1">IF(C11&lt;B2,"已过期",1120100036)</f>
        <v>1120100036</v>
      </c>
      <c r="C11" s="2347">
        <v>43622</v>
      </c>
      <c r="D11" s="2350" t="s">
        <v>839</v>
      </c>
      <c r="E11" s="1025">
        <f ca="1">IF(F11&lt;B2,"已过期",2010110070)</f>
        <v>2010110070</v>
      </c>
      <c r="F11" s="1033">
        <v>47907</v>
      </c>
    </row>
    <row r="12" spans="1:6" ht="24" customHeight="1">
      <c r="A12" s="1704" t="s">
        <v>3046</v>
      </c>
      <c r="B12" s="1025">
        <v>1120110054</v>
      </c>
      <c r="C12" s="2943">
        <v>43937</v>
      </c>
      <c r="D12" s="1704" t="s">
        <v>3046</v>
      </c>
      <c r="E12" s="1025">
        <v>2008110060</v>
      </c>
      <c r="F12" s="1033">
        <v>47177</v>
      </c>
    </row>
    <row r="13" spans="1:6" ht="24" customHeight="1">
      <c r="A13" s="1704" t="s">
        <v>840</v>
      </c>
      <c r="B13" s="1025">
        <f ca="1">IF(C13&lt;B2,"已过期",1120070131)</f>
        <v>1120070131</v>
      </c>
      <c r="C13" s="2347">
        <v>43814</v>
      </c>
      <c r="D13" s="2350" t="s">
        <v>840</v>
      </c>
      <c r="E13" s="1025">
        <v>2014110011</v>
      </c>
      <c r="F13" s="1033">
        <v>49302</v>
      </c>
    </row>
    <row r="14" spans="1:6" ht="24" customHeight="1">
      <c r="A14" s="1704" t="s">
        <v>841</v>
      </c>
      <c r="B14" s="1025">
        <f ca="1">IF(C14&lt;B2,"已过期",1120130020)</f>
        <v>1120130020</v>
      </c>
      <c r="C14" s="2347">
        <v>43622</v>
      </c>
      <c r="D14" s="2350"/>
      <c r="E14" s="1025"/>
      <c r="F14" s="1025"/>
    </row>
    <row r="15" spans="1:6" ht="24" customHeight="1">
      <c r="A15" s="1705" t="s">
        <v>1149</v>
      </c>
      <c r="B15" s="1025">
        <v>1120070085</v>
      </c>
      <c r="C15" s="2347">
        <v>43814</v>
      </c>
      <c r="D15" s="2351" t="s">
        <v>1149</v>
      </c>
      <c r="E15" s="1025">
        <v>2004110128</v>
      </c>
      <c r="F15" s="1026">
        <v>47118</v>
      </c>
    </row>
    <row r="16" spans="1:6" ht="24" customHeight="1">
      <c r="A16" s="1704" t="s">
        <v>842</v>
      </c>
      <c r="B16" s="1025">
        <f ca="1">IF(C16&lt;B2,"已过期",1120140022)</f>
        <v>1120140022</v>
      </c>
      <c r="C16" s="2347">
        <v>44029</v>
      </c>
      <c r="D16" s="2350" t="s">
        <v>842</v>
      </c>
      <c r="E16" s="1025">
        <f ca="1">IF(F16&lt;B2,"已过期",2008110059)</f>
        <v>2008110059</v>
      </c>
      <c r="F16" s="1033">
        <v>47177</v>
      </c>
    </row>
    <row r="17" spans="1:7" ht="24" customHeight="1">
      <c r="A17" s="1704"/>
      <c r="B17" s="1025"/>
      <c r="C17" s="2347"/>
      <c r="D17" s="2350"/>
      <c r="E17" s="1025"/>
      <c r="F17" s="1033"/>
    </row>
    <row r="18" spans="1:7" ht="24" customHeight="1">
      <c r="A18" s="1704"/>
      <c r="B18" s="1025"/>
      <c r="C18" s="2347"/>
      <c r="D18" s="2350"/>
      <c r="E18" s="1025"/>
      <c r="F18" s="1033"/>
    </row>
    <row r="19" spans="1:7" ht="24" customHeight="1">
      <c r="A19" s="1704"/>
      <c r="B19" s="1025"/>
      <c r="C19" s="2347"/>
      <c r="D19" s="2350"/>
      <c r="E19" s="1025"/>
      <c r="F19" s="1025"/>
    </row>
    <row r="20" spans="1:7" ht="24" customHeight="1">
      <c r="A20" s="1704"/>
      <c r="B20" s="1025"/>
      <c r="C20" s="2347"/>
      <c r="D20" s="2350"/>
      <c r="E20" s="1025"/>
      <c r="F20" s="1025"/>
    </row>
    <row r="21" spans="1:7" ht="24" customHeight="1">
      <c r="A21" s="1704"/>
      <c r="B21" s="1025"/>
      <c r="C21" s="2347"/>
      <c r="D21" s="2350" t="s">
        <v>843</v>
      </c>
      <c r="E21" s="1025">
        <f ca="1">IF(F21&lt;B2,"已过期",2011110090)</f>
        <v>2011110090</v>
      </c>
      <c r="F21" s="1033">
        <v>48302</v>
      </c>
    </row>
    <row r="22" spans="1:7" ht="24" customHeight="1">
      <c r="A22" s="1704" t="s">
        <v>844</v>
      </c>
      <c r="B22" s="1025">
        <f ca="1">IF(C22&lt;B2,"已过期",1120020033)</f>
        <v>1120020033</v>
      </c>
      <c r="C22" s="2347">
        <v>43304</v>
      </c>
      <c r="D22" s="2350" t="s">
        <v>844</v>
      </c>
      <c r="E22" s="1025">
        <f ca="1">IF(F22&lt;B2,"已过期",2000110137)</f>
        <v>2000110137</v>
      </c>
      <c r="F22" s="1033">
        <v>46387</v>
      </c>
    </row>
    <row r="23" spans="1:7" ht="24" customHeight="1">
      <c r="A23" s="1704" t="s">
        <v>845</v>
      </c>
      <c r="B23" s="1025">
        <f ca="1">IF(C23&lt;B2,"已过期",1120130048)</f>
        <v>1120130048</v>
      </c>
      <c r="C23" s="2347">
        <v>43686</v>
      </c>
      <c r="D23" s="2350"/>
      <c r="E23" s="1025"/>
      <c r="F23" s="1025"/>
    </row>
    <row r="24" spans="1:7" s="1027" customFormat="1" ht="24" customHeight="1">
      <c r="A24" s="1705" t="s">
        <v>1333</v>
      </c>
      <c r="B24" s="1705" t="s">
        <v>1333</v>
      </c>
      <c r="C24" s="2348" t="s">
        <v>1333</v>
      </c>
      <c r="D24" s="2351" t="s">
        <v>1333</v>
      </c>
      <c r="E24" s="1705" t="s">
        <v>1333</v>
      </c>
      <c r="F24" s="1705" t="s">
        <v>1333</v>
      </c>
    </row>
    <row r="25" spans="1:7" ht="24" customHeight="1">
      <c r="A25" s="3019" t="s">
        <v>846</v>
      </c>
      <c r="B25" s="3019"/>
      <c r="C25" s="3019"/>
      <c r="D25" s="3019"/>
      <c r="E25" s="3019"/>
      <c r="F25" s="3019"/>
      <c r="G25" s="3019"/>
    </row>
    <row r="26" spans="1:7" s="1028" customFormat="1" ht="24" customHeight="1">
      <c r="A26" s="3020" t="s">
        <v>847</v>
      </c>
      <c r="B26" s="3020"/>
      <c r="C26" s="3021"/>
      <c r="D26" s="3022" t="s">
        <v>848</v>
      </c>
      <c r="E26" s="3020"/>
      <c r="F26" s="3020"/>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比较法-住宅</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2018-06-25T06:06:08Z</dcterms:modified>
</cp:coreProperties>
</file>