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35" windowWidth="14805" windowHeight="129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汇总" sheetId="78" r:id="rId19"/>
    <sheet name="土地比较法-住宅、综合" sheetId="3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78" l="1"/>
  <c r="E24" i="78" l="1"/>
  <c r="E25" i="78" s="1"/>
  <c r="C88" i="9" l="1"/>
  <c r="P85" i="9"/>
  <c r="P84" i="9"/>
  <c r="O85" i="9"/>
  <c r="O84" i="9"/>
  <c r="N85" i="9"/>
  <c r="N84" i="9"/>
  <c r="E118" i="39" l="1"/>
  <c r="F118" i="39" s="1"/>
  <c r="G118" i="39" s="1"/>
  <c r="H118" i="39" s="1"/>
  <c r="D118" i="39"/>
  <c r="N8" i="1"/>
  <c r="N7" i="1"/>
  <c r="N6" i="1"/>
  <c r="A3" i="3" l="1"/>
  <c r="G13" i="78" l="1"/>
  <c r="C18" i="78"/>
  <c r="L8" i="1" l="1"/>
  <c r="G21" i="6" l="1"/>
  <c r="G20" i="6"/>
  <c r="I46" i="39" l="1"/>
  <c r="E46" i="39"/>
  <c r="I38" i="39"/>
  <c r="E38" i="39"/>
  <c r="I7" i="39"/>
  <c r="E7" i="39"/>
  <c r="I5" i="39"/>
  <c r="E5" i="39"/>
  <c r="D71" i="39" l="1"/>
  <c r="E71" i="39" s="1"/>
  <c r="F71" i="39" s="1"/>
  <c r="G71" i="39" s="1"/>
  <c r="H71" i="39" s="1"/>
  <c r="I71" i="39" s="1"/>
  <c r="J71" i="39" s="1"/>
  <c r="K71" i="39" s="1"/>
  <c r="L71" i="39" s="1"/>
  <c r="M71" i="39" s="1"/>
  <c r="C4" i="78" l="1"/>
  <c r="D3" i="4"/>
  <c r="G46" i="39"/>
  <c r="G38" i="39"/>
  <c r="A19" i="3"/>
  <c r="I7" i="6" s="1"/>
  <c r="C11" i="39" s="1"/>
  <c r="B21" i="1"/>
  <c r="F19" i="6"/>
  <c r="D117" i="39" l="1"/>
  <c r="E117" i="39" s="1"/>
  <c r="F117" i="39" s="1"/>
  <c r="G117" i="39" s="1"/>
  <c r="H117" i="39" s="1"/>
  <c r="D80" i="39"/>
  <c r="E80" i="39" s="1"/>
  <c r="F80" i="39" s="1"/>
  <c r="G80" i="39" s="1"/>
  <c r="H80" i="39" s="1"/>
  <c r="I80" i="39" s="1"/>
  <c r="G7" i="39"/>
  <c r="G5" i="39"/>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AC31" i="39" s="1"/>
  <c r="F101" i="39"/>
  <c r="H27" i="39"/>
  <c r="U27" i="39" s="1"/>
  <c r="J19" i="39"/>
  <c r="AC19" i="39" s="1"/>
  <c r="J17" i="39"/>
  <c r="AC17" i="39" s="1"/>
  <c r="J27" i="39"/>
  <c r="AC27" i="39" s="1"/>
  <c r="F27" i="39"/>
  <c r="F11" i="21"/>
  <c r="S11" i="21"/>
  <c r="S40"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J15" i="39"/>
  <c r="W15" i="39" s="1"/>
  <c r="H41" i="39"/>
  <c r="U41" i="39" s="1"/>
  <c r="AB34" i="39"/>
  <c r="W14"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5" i="6"/>
  <c r="E60" i="40" s="1"/>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R13" i="1"/>
  <c r="S11" i="1"/>
  <c r="AQ11" i="1" s="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W21" i="39" s="1"/>
  <c r="F21" i="39"/>
  <c r="AA21" i="39" s="1"/>
  <c r="W19" i="39"/>
  <c r="S17" i="39"/>
  <c r="AC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C38" i="39" s="1"/>
  <c r="J38" i="39" s="1"/>
  <c r="BA13" i="3"/>
  <c r="E10" i="6"/>
  <c r="BA5" i="3"/>
  <c r="E27" i="6" s="1"/>
  <c r="E11" i="6"/>
  <c r="BL17" i="3"/>
  <c r="AZ17" i="3"/>
  <c r="BL13" i="3"/>
  <c r="BL5" i="3" s="1"/>
  <c r="E65" i="39"/>
  <c r="J56" i="9"/>
  <c r="J57" i="9" s="1"/>
  <c r="J59" i="9" s="1"/>
  <c r="J61" i="9" s="1"/>
  <c r="A24" i="51"/>
  <c r="B18" i="72"/>
  <c r="U29" i="34"/>
  <c r="E14" i="6"/>
  <c r="E64" i="39" s="1"/>
  <c r="E5" i="6"/>
  <c r="D9" i="11" s="1"/>
  <c r="C9" i="11" s="1"/>
  <c r="E32" i="6"/>
  <c r="L19" i="6"/>
  <c r="G1" i="68"/>
  <c r="K1" i="12"/>
  <c r="AQ12" i="1"/>
  <c r="AR10" i="1"/>
  <c r="E19" i="69"/>
  <c r="E19" i="68"/>
  <c r="E19" i="11"/>
  <c r="E1" i="73"/>
  <c r="G22" i="69"/>
  <c r="G22" i="68"/>
  <c r="G26" i="12"/>
  <c r="G22" i="11"/>
  <c r="C100" i="43"/>
  <c r="E11" i="43"/>
  <c r="E10" i="43"/>
  <c r="E9" i="43"/>
  <c r="E8" i="43"/>
  <c r="C7" i="43"/>
  <c r="E81" i="43"/>
  <c r="B79" i="43"/>
  <c r="E48" i="43"/>
  <c r="B46" i="43"/>
  <c r="E70" i="43"/>
  <c r="B68" i="43"/>
  <c r="F100" i="43"/>
  <c r="H17" i="43"/>
  <c r="G17" i="43" s="1"/>
  <c r="C16" i="43" s="1"/>
  <c r="H85" i="43"/>
  <c r="H81" i="43"/>
  <c r="H84" i="43"/>
  <c r="H88" i="43"/>
  <c r="H53" i="43"/>
  <c r="H78" i="43"/>
  <c r="H71" i="43"/>
  <c r="C17" i="43"/>
  <c r="F33" i="43"/>
  <c r="K17" i="43"/>
  <c r="F34" i="43"/>
  <c r="N6" i="43"/>
  <c r="C6" i="43"/>
  <c r="D5" i="43" s="1"/>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E56" i="39"/>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U13" i="39"/>
  <c r="AB13" i="39"/>
  <c r="AA13" i="39"/>
  <c r="S13" i="39"/>
  <c r="S14" i="39"/>
  <c r="AA14" i="39"/>
  <c r="U43" i="39"/>
  <c r="AB43" i="39"/>
  <c r="AA27" i="39"/>
  <c r="S27" i="39"/>
  <c r="W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F31" i="12"/>
  <c r="F28" i="15"/>
  <c r="D9" i="69"/>
  <c r="C9" i="69" s="1"/>
  <c r="AQ9" i="1"/>
  <c r="C28" i="15"/>
  <c r="T9" i="1"/>
  <c r="E7" i="70"/>
  <c r="AA39" i="40"/>
  <c r="S39" i="40"/>
  <c r="S12" i="33"/>
  <c r="AA12" i="33"/>
  <c r="D68" i="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D12" i="71"/>
  <c r="T14" i="71"/>
  <c r="D13" i="71"/>
  <c r="D14" i="71"/>
  <c r="U14" i="71"/>
  <c r="L47" i="15"/>
  <c r="M22" i="67"/>
  <c r="F6" i="15"/>
  <c r="D7" i="73"/>
  <c r="F40" i="15"/>
  <c r="F38" i="15"/>
  <c r="AO13" i="1"/>
  <c r="L48" i="15"/>
  <c r="F7" i="73"/>
  <c r="C20" i="9"/>
  <c r="F8" i="67"/>
  <c r="B10" i="76"/>
  <c r="AO8" i="1"/>
  <c r="M27" i="67"/>
  <c r="D4" i="73"/>
  <c r="F42" i="15"/>
  <c r="AO11" i="1"/>
  <c r="E8" i="76"/>
  <c r="D6" i="73"/>
  <c r="M26" i="15"/>
  <c r="D2" i="34"/>
  <c r="F5" i="73"/>
  <c r="M28" i="67"/>
  <c r="F37" i="15"/>
  <c r="M29" i="15"/>
  <c r="F36" i="67"/>
  <c r="D20" i="9"/>
  <c r="M26" i="67"/>
  <c r="AO6" i="1"/>
  <c r="F16" i="67"/>
  <c r="F7" i="67"/>
  <c r="F9" i="67"/>
  <c r="E2" i="69"/>
  <c r="F37" i="67"/>
  <c r="B13" i="76"/>
  <c r="D34" i="9"/>
  <c r="B8" i="76"/>
  <c r="M6" i="67"/>
  <c r="C19" i="9"/>
  <c r="M9" i="67"/>
  <c r="B7" i="76"/>
  <c r="F26" i="15"/>
  <c r="F7" i="15"/>
  <c r="F13" i="67"/>
  <c r="AO7" i="1"/>
  <c r="F36" i="15"/>
  <c r="D19" i="9"/>
  <c r="C76" i="15"/>
  <c r="D2" i="35"/>
  <c r="F13" i="15"/>
  <c r="F20" i="31"/>
  <c r="E10" i="76"/>
  <c r="M23" i="15"/>
  <c r="F40" i="67"/>
  <c r="F41" i="67"/>
  <c r="F35" i="67"/>
  <c r="M24" i="67"/>
  <c r="F9" i="15"/>
  <c r="D2" i="33"/>
  <c r="F43" i="67"/>
  <c r="M8" i="15"/>
  <c r="E12" i="76"/>
  <c r="D35" i="9"/>
  <c r="M6" i="15"/>
  <c r="M29" i="67"/>
  <c r="E7" i="76"/>
  <c r="M8" i="67"/>
  <c r="B12" i="76"/>
  <c r="F16" i="15"/>
  <c r="C76" i="67"/>
  <c r="B11" i="76"/>
  <c r="D2" i="37"/>
  <c r="M27" i="15"/>
  <c r="M28" i="15"/>
  <c r="F4" i="73"/>
  <c r="M21" i="67"/>
  <c r="E11" i="76"/>
  <c r="F6" i="73"/>
  <c r="D5" i="73"/>
  <c r="F6" i="67"/>
  <c r="D2" i="21"/>
  <c r="M21" i="15"/>
  <c r="L48" i="67"/>
  <c r="AO10" i="1"/>
  <c r="F38" i="67"/>
  <c r="L47" i="67"/>
  <c r="J15" i="15"/>
  <c r="F3" i="73"/>
  <c r="F35" i="15"/>
  <c r="E13" i="76"/>
  <c r="F43" i="15"/>
  <c r="F42" i="67"/>
  <c r="J15" i="67"/>
  <c r="E2" i="68"/>
  <c r="AO12" i="1"/>
  <c r="M9" i="15"/>
  <c r="F26" i="67"/>
  <c r="E9" i="76"/>
  <c r="D3" i="73"/>
  <c r="M24" i="15"/>
  <c r="D2" i="36"/>
  <c r="F8" i="15"/>
  <c r="AO9" i="1"/>
  <c r="F41" i="15"/>
  <c r="M23" i="67"/>
  <c r="M22" i="15"/>
  <c r="B9" i="76"/>
  <c r="U19" i="39" l="1"/>
  <c r="S19" i="39"/>
  <c r="C40" i="68"/>
  <c r="C21" i="68"/>
  <c r="C40" i="69"/>
  <c r="W38" i="39"/>
  <c r="AC38" i="39"/>
  <c r="I4" i="6"/>
  <c r="G3" i="43" s="1"/>
  <c r="H38" i="39"/>
  <c r="AB38" i="39" s="1"/>
  <c r="G5" i="3"/>
  <c r="B3" i="3" s="1"/>
  <c r="F38" i="39"/>
  <c r="E59" i="40"/>
  <c r="F89" i="39"/>
  <c r="G89" i="39" s="1"/>
  <c r="H15" i="39"/>
  <c r="C5" i="43"/>
  <c r="U42" i="39"/>
  <c r="S42" i="39"/>
  <c r="J41" i="39"/>
  <c r="W41" i="39" s="1"/>
  <c r="F124" i="39"/>
  <c r="G124" i="39" s="1"/>
  <c r="H124" i="39" s="1"/>
  <c r="I124" i="39" s="1"/>
  <c r="J124" i="39" s="1"/>
  <c r="K124" i="39" s="1"/>
  <c r="L124" i="39" s="1"/>
  <c r="M124" i="39" s="1"/>
  <c r="AA41" i="39"/>
  <c r="U40" i="39"/>
  <c r="AB39" i="39"/>
  <c r="AA39" i="39"/>
  <c r="F32" i="39"/>
  <c r="AA32" i="39" s="1"/>
  <c r="H107" i="39"/>
  <c r="I107" i="39" s="1"/>
  <c r="J107" i="39" s="1"/>
  <c r="K107" i="39" s="1"/>
  <c r="L107" i="39" s="1"/>
  <c r="M107" i="39" s="1"/>
  <c r="H32" i="39"/>
  <c r="AB32" i="39" s="1"/>
  <c r="J32" i="39"/>
  <c r="S32" i="39"/>
  <c r="W31" i="39"/>
  <c r="W29" i="39"/>
  <c r="U29" i="39"/>
  <c r="S29" i="39"/>
  <c r="W27" i="39"/>
  <c r="F99" i="39"/>
  <c r="G99" i="39" s="1"/>
  <c r="F25" i="39"/>
  <c r="J25" i="39"/>
  <c r="S23" i="39"/>
  <c r="AB23" i="39"/>
  <c r="F95" i="39"/>
  <c r="G95" i="39" s="1"/>
  <c r="H21" i="39"/>
  <c r="U21" i="39" s="1"/>
  <c r="S21" i="39"/>
  <c r="AB21" i="39"/>
  <c r="B63" i="43"/>
  <c r="B56" i="43"/>
  <c r="B49" i="43"/>
  <c r="B54" i="43"/>
  <c r="C19" i="39"/>
  <c r="C27" i="39"/>
  <c r="B66" i="43"/>
  <c r="S15" i="39"/>
  <c r="H81" i="39"/>
  <c r="F11" i="39"/>
  <c r="AA11" i="39" s="1"/>
  <c r="C36" i="11"/>
  <c r="M18" i="67"/>
  <c r="F30" i="68"/>
  <c r="F48" i="68" s="1"/>
  <c r="C31" i="12"/>
  <c r="C48" i="68"/>
  <c r="F54" i="9"/>
  <c r="M18" i="15"/>
  <c r="F32" i="15"/>
  <c r="F60" i="15" s="1"/>
  <c r="F30" i="69"/>
  <c r="F32" i="67"/>
  <c r="F60" i="67" s="1"/>
  <c r="F52" i="9"/>
  <c r="F28" i="67"/>
  <c r="C28" i="67" s="1"/>
  <c r="F30" i="11"/>
  <c r="F53" i="9"/>
  <c r="C5" i="11"/>
  <c r="C21" i="69"/>
  <c r="D22" i="67"/>
  <c r="C36" i="69"/>
  <c r="E12"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F22" i="43"/>
  <c r="K101" i="43"/>
  <c r="N101" i="43"/>
  <c r="G101" i="43"/>
  <c r="J101" i="43"/>
  <c r="H22" i="43"/>
  <c r="H101" i="43"/>
  <c r="H105" i="43" s="1"/>
  <c r="M101" i="43"/>
  <c r="M109" i="43" s="1"/>
  <c r="E101" i="43"/>
  <c r="E107" i="43" s="1"/>
  <c r="AH11" i="43"/>
  <c r="AH13" i="43" s="1"/>
  <c r="AD11" i="43"/>
  <c r="AD13" i="43" s="1"/>
  <c r="Z11" i="43"/>
  <c r="Z13" i="43" s="1"/>
  <c r="S5" i="43"/>
  <c r="AG11" i="43"/>
  <c r="AG13" i="43" s="1"/>
  <c r="AC11" i="43"/>
  <c r="AC13" i="43" s="1"/>
  <c r="Y11" i="43"/>
  <c r="Y13" i="43" s="1"/>
  <c r="S6" i="43"/>
  <c r="T6" i="43" s="1"/>
  <c r="V6" i="43" s="1"/>
  <c r="S4" i="43"/>
  <c r="T4" i="43" s="1"/>
  <c r="V4" i="43" s="1"/>
  <c r="S7" i="43"/>
  <c r="B113" i="43"/>
  <c r="F101" i="43"/>
  <c r="E22" i="43"/>
  <c r="C101" i="43"/>
  <c r="N104" i="46"/>
  <c r="L101" i="43"/>
  <c r="L104" i="43" s="1"/>
  <c r="D101" i="43"/>
  <c r="D103"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T3" i="43" s="1"/>
  <c r="V3" i="43" s="1"/>
  <c r="J22" i="43"/>
  <c r="E28" i="6"/>
  <c r="G30" i="6"/>
  <c r="G31" i="6" s="1"/>
  <c r="E57" i="40"/>
  <c r="E62" i="39"/>
  <c r="K20" i="6"/>
  <c r="L105" i="43"/>
  <c r="H109" i="43"/>
  <c r="H106" i="43"/>
  <c r="M103" i="43"/>
  <c r="D9" i="68"/>
  <c r="C9" i="68" s="1"/>
  <c r="AR11" i="1"/>
  <c r="D19" i="12"/>
  <c r="C19" i="12" s="1"/>
  <c r="T11" i="1"/>
  <c r="T10" i="1"/>
  <c r="T12" i="1"/>
  <c r="E13" i="6"/>
  <c r="E16" i="6" s="1"/>
  <c r="O6" i="1"/>
  <c r="O11" i="1"/>
  <c r="P11" i="1" s="1"/>
  <c r="D102" i="43"/>
  <c r="K26" i="6"/>
  <c r="M26" i="6" s="1"/>
  <c r="I26" i="6" s="1"/>
  <c r="S26" i="6" s="1"/>
  <c r="K24" i="6"/>
  <c r="M24" i="6" s="1"/>
  <c r="I24" i="6" s="1"/>
  <c r="S24" i="6" s="1"/>
  <c r="M7" i="1"/>
  <c r="Q16" i="1"/>
  <c r="H16" i="1"/>
  <c r="L27" i="6"/>
  <c r="E104" i="43"/>
  <c r="E105" i="43"/>
  <c r="E61" i="39"/>
  <c r="E56" i="40"/>
  <c r="O9" i="1"/>
  <c r="P9" i="1" s="1"/>
  <c r="E29" i="6"/>
  <c r="F30" i="6"/>
  <c r="F31" i="6" s="1"/>
  <c r="O8" i="1"/>
  <c r="P8" i="1" s="1"/>
  <c r="I102" i="43"/>
  <c r="I103" i="43"/>
  <c r="K21" i="6"/>
  <c r="K22" i="6"/>
  <c r="M22" i="6" s="1"/>
  <c r="I22" i="6" s="1"/>
  <c r="S22" i="6" s="1"/>
  <c r="K25" i="6"/>
  <c r="M25" i="6" s="1"/>
  <c r="I25" i="6" s="1"/>
  <c r="S25" i="6" s="1"/>
  <c r="K23" i="6"/>
  <c r="M23" i="6" s="1"/>
  <c r="I23" i="6" s="1"/>
  <c r="S23" i="6" s="1"/>
  <c r="AZ13" i="3"/>
  <c r="AZ5" i="3" s="1"/>
  <c r="AR13" i="1"/>
  <c r="T13" i="1"/>
  <c r="P12" i="1"/>
  <c r="U32" i="39"/>
  <c r="AC12" i="39"/>
  <c r="W12" i="39"/>
  <c r="U12" i="39"/>
  <c r="AA12" i="39"/>
  <c r="T35" i="4"/>
  <c r="A19" i="51" s="1"/>
  <c r="B14" i="72" s="1"/>
  <c r="A15" i="62"/>
  <c r="B61" i="72" s="1"/>
  <c r="G12" i="1"/>
  <c r="D68" i="39"/>
  <c r="C70" i="39"/>
  <c r="D12" i="52"/>
  <c r="D127" i="9"/>
  <c r="D13" i="52" s="1"/>
  <c r="T14" i="43"/>
  <c r="V14" i="43"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15" i="43"/>
  <c r="V15" i="43" s="1"/>
  <c r="Z9" i="71"/>
  <c r="Y3" i="71"/>
  <c r="Z3" i="71" s="1"/>
  <c r="D10" i="71"/>
  <c r="F10" i="71"/>
  <c r="F9" i="71" s="1"/>
  <c r="F8" i="71" s="1"/>
  <c r="F7" i="71" s="1"/>
  <c r="F6" i="71" s="1"/>
  <c r="F5" i="71" s="1"/>
  <c r="AF3" i="71"/>
  <c r="P22" i="43" s="1"/>
  <c r="C34" i="43"/>
  <c r="T10" i="43"/>
  <c r="V10" i="43" s="1"/>
  <c r="T7" i="43"/>
  <c r="V7" i="43" s="1"/>
  <c r="C33" i="43"/>
  <c r="T16" i="43"/>
  <c r="V16" i="43" s="1"/>
  <c r="T13" i="43"/>
  <c r="V13" i="43" s="1"/>
  <c r="T8" i="43"/>
  <c r="V8" i="43" s="1"/>
  <c r="C38" i="43"/>
  <c r="T5" i="43"/>
  <c r="V5" i="43" s="1"/>
  <c r="C36" i="68"/>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7" i="67"/>
  <c r="C16" i="15"/>
  <c r="C14" i="67"/>
  <c r="C16" i="67"/>
  <c r="C14" i="15"/>
  <c r="C17" i="15"/>
  <c r="G1" i="73"/>
  <c r="U38" i="39" l="1"/>
  <c r="H25" i="39"/>
  <c r="AB25" i="39" s="1"/>
  <c r="M20" i="6"/>
  <c r="I20" i="6" s="1"/>
  <c r="S20" i="6" s="1"/>
  <c r="S7" i="1"/>
  <c r="M21" i="6"/>
  <c r="I21" i="6" s="1"/>
  <c r="S21" i="6" s="1"/>
  <c r="S8" i="1"/>
  <c r="AA38" i="39"/>
  <c r="S38" i="39"/>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5" i="3"/>
  <c r="E192" i="3"/>
  <c r="E240" i="3"/>
  <c r="E258" i="3"/>
  <c r="E297" i="3"/>
  <c r="E241" i="3"/>
  <c r="E259"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S11" i="39"/>
  <c r="U15" i="39"/>
  <c r="AB15" i="39"/>
  <c r="AC41" i="39"/>
  <c r="W32" i="39"/>
  <c r="AC32" i="39"/>
  <c r="W25" i="39"/>
  <c r="AC25" i="39"/>
  <c r="AA25" i="39"/>
  <c r="S25" i="39"/>
  <c r="G36" i="43"/>
  <c r="I36" i="43" s="1"/>
  <c r="I81" i="39"/>
  <c r="J81" i="39" s="1"/>
  <c r="K81" i="39" s="1"/>
  <c r="L81" i="39" s="1"/>
  <c r="M81" i="39" s="1"/>
  <c r="H11" i="39"/>
  <c r="J11" i="39"/>
  <c r="C30" i="68"/>
  <c r="C48" i="11"/>
  <c r="C30" i="11"/>
  <c r="F48" i="69"/>
  <c r="C48" i="69"/>
  <c r="C30" i="69"/>
  <c r="I106" i="43"/>
  <c r="E109" i="43"/>
  <c r="L102" i="43"/>
  <c r="M105" i="43"/>
  <c r="M104" i="43"/>
  <c r="M107" i="43"/>
  <c r="C15" i="15"/>
  <c r="C18" i="15"/>
  <c r="D107" i="43"/>
  <c r="AC6" i="3"/>
  <c r="F10" i="39"/>
  <c r="S10" i="39" s="1"/>
  <c r="D22"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I117" i="43"/>
  <c r="J117" i="43" s="1"/>
  <c r="K117" i="43" s="1"/>
  <c r="L117" i="43" s="1"/>
  <c r="M117" i="43" s="1"/>
  <c r="I116" i="43"/>
  <c r="J116" i="43" s="1"/>
  <c r="K116" i="43" s="1"/>
  <c r="L116" i="43" s="1"/>
  <c r="M116" i="43" s="1"/>
  <c r="I118" i="43"/>
  <c r="J118" i="43" s="1"/>
  <c r="K118" i="43" s="1"/>
  <c r="L118" i="43" s="1"/>
  <c r="M118" i="43" s="1"/>
  <c r="G118" i="43"/>
  <c r="H118" i="43" s="1"/>
  <c r="B118" i="43"/>
  <c r="C118" i="43" s="1"/>
  <c r="B117" i="43"/>
  <c r="C117" i="43" s="1"/>
  <c r="D115" i="43"/>
  <c r="E115" i="43" s="1"/>
  <c r="F115" i="43" s="1"/>
  <c r="G115" i="43" s="1"/>
  <c r="H115" i="43" s="1"/>
  <c r="M102" i="43"/>
  <c r="M106" i="43"/>
  <c r="G105" i="43"/>
  <c r="G102" i="43"/>
  <c r="G107" i="43"/>
  <c r="G104" i="43"/>
  <c r="G103" i="43"/>
  <c r="G106" i="43"/>
  <c r="G109" i="43"/>
  <c r="K103" i="43"/>
  <c r="K102" i="43"/>
  <c r="K106" i="43"/>
  <c r="K109" i="43"/>
  <c r="K107" i="43"/>
  <c r="K104" i="43"/>
  <c r="K105" i="43"/>
  <c r="D105" i="43"/>
  <c r="D106" i="43"/>
  <c r="D104" i="43"/>
  <c r="D109" i="43"/>
  <c r="I107" i="43"/>
  <c r="I104" i="43"/>
  <c r="I105" i="43"/>
  <c r="L109" i="43"/>
  <c r="L107" i="43"/>
  <c r="L106" i="43"/>
  <c r="L103" i="43"/>
  <c r="C104" i="43"/>
  <c r="C106" i="43"/>
  <c r="C107" i="43"/>
  <c r="C103" i="43"/>
  <c r="C102" i="43"/>
  <c r="C105" i="43"/>
  <c r="C109" i="43"/>
  <c r="F104" i="43"/>
  <c r="F102" i="43"/>
  <c r="F103" i="43"/>
  <c r="F109" i="43"/>
  <c r="F107" i="43"/>
  <c r="F106" i="43"/>
  <c r="F105" i="43"/>
  <c r="E106" i="43"/>
  <c r="E102" i="43"/>
  <c r="E103" i="43"/>
  <c r="H107" i="43"/>
  <c r="H103" i="43"/>
  <c r="H102" i="43"/>
  <c r="H104" i="43"/>
  <c r="J104" i="43"/>
  <c r="J107" i="43"/>
  <c r="J102" i="43"/>
  <c r="J106" i="43"/>
  <c r="J109" i="43"/>
  <c r="J105" i="43"/>
  <c r="J103" i="43"/>
  <c r="N102" i="43"/>
  <c r="N105" i="43"/>
  <c r="N107" i="43"/>
  <c r="N109" i="43"/>
  <c r="N103" i="43"/>
  <c r="N106" i="43"/>
  <c r="N104" i="43"/>
  <c r="E63" i="39"/>
  <c r="E66" i="39" s="1"/>
  <c r="E58" i="40"/>
  <c r="K14" i="1"/>
  <c r="K19" i="6"/>
  <c r="S6" i="1" s="1"/>
  <c r="E3" i="6"/>
  <c r="C8" i="78" s="1"/>
  <c r="D8" i="78" s="1"/>
  <c r="AY6" i="3"/>
  <c r="F27" i="69"/>
  <c r="F27" i="68"/>
  <c r="F27" i="11"/>
  <c r="F28" i="12"/>
  <c r="C29" i="12" s="1"/>
  <c r="D28" i="12" s="1"/>
  <c r="K15" i="1"/>
  <c r="K16" i="1" s="1"/>
  <c r="E30" i="6"/>
  <c r="E31" i="6" s="1"/>
  <c r="O7" i="1"/>
  <c r="P6" i="1"/>
  <c r="C13" i="12" s="1"/>
  <c r="J10" i="39"/>
  <c r="AC10" i="39" s="1"/>
  <c r="H10" i="40"/>
  <c r="U10" i="40" s="1"/>
  <c r="H10" i="39"/>
  <c r="U10" i="39" s="1"/>
  <c r="J10" i="40"/>
  <c r="AC10" i="40" s="1"/>
  <c r="D70" i="39"/>
  <c r="E68" i="39"/>
  <c r="F7" i="36"/>
  <c r="J7" i="37"/>
  <c r="H7" i="36"/>
  <c r="H7" i="34"/>
  <c r="F7" i="34"/>
  <c r="F59" i="67"/>
  <c r="G35" i="43"/>
  <c r="I35" i="43" s="1"/>
  <c r="H7" i="37"/>
  <c r="AB7" i="37" s="1"/>
  <c r="T42" i="37" s="1"/>
  <c r="G42" i="37" s="1"/>
  <c r="B40" i="1"/>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U25" i="39" l="1"/>
  <c r="AA10" i="39"/>
  <c r="W10" i="40"/>
  <c r="T8" i="1"/>
  <c r="AR8" i="1"/>
  <c r="AQ8" i="1"/>
  <c r="AR7" i="1"/>
  <c r="AQ7" i="1"/>
  <c r="T7" i="1"/>
  <c r="H6" i="3"/>
  <c r="E6" i="3" s="1"/>
  <c r="AB11" i="39"/>
  <c r="U11" i="39"/>
  <c r="W11" i="39"/>
  <c r="AC11" i="39"/>
  <c r="AQ6" i="1"/>
  <c r="AR6" i="1"/>
  <c r="T6" i="1"/>
  <c r="S16" i="1"/>
  <c r="C19" i="15"/>
  <c r="C20" i="15" s="1"/>
  <c r="C26" i="15" s="1"/>
  <c r="W10" i="39"/>
  <c r="C115" i="43"/>
  <c r="D113" i="43" s="1"/>
  <c r="K27" i="6"/>
  <c r="M19" i="6"/>
  <c r="M14" i="1"/>
  <c r="C34" i="69"/>
  <c r="P7" i="1"/>
  <c r="C47" i="11"/>
  <c r="D45" i="11" s="1"/>
  <c r="C29" i="11"/>
  <c r="D27" i="11" s="1"/>
  <c r="F45" i="69"/>
  <c r="C29" i="69"/>
  <c r="D27" i="69" s="1"/>
  <c r="C47" i="69"/>
  <c r="D45"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9" i="78" s="1"/>
  <c r="D9" i="78"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45" i="68"/>
  <c r="C47" i="68"/>
  <c r="D45" i="68" s="1"/>
  <c r="C29" i="68"/>
  <c r="D27" i="68" s="1"/>
  <c r="D3" i="34"/>
  <c r="D3" i="33"/>
  <c r="E6" i="6"/>
  <c r="D37" i="11"/>
  <c r="C37" i="11" s="1"/>
  <c r="D14" i="12"/>
  <c r="D3" i="21"/>
  <c r="D19" i="11"/>
  <c r="C19" i="11" s="1"/>
  <c r="D3" i="37"/>
  <c r="L18" i="9"/>
  <c r="C17" i="4"/>
  <c r="B4" i="52" s="1"/>
  <c r="B43" i="72" s="1"/>
  <c r="M18" i="9"/>
  <c r="B118" i="9" s="1"/>
  <c r="B14" i="74" s="1"/>
  <c r="B1" i="74" s="1"/>
  <c r="AB10" i="39"/>
  <c r="F68" i="39"/>
  <c r="E7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76"/>
  <c r="O14" i="1" l="1"/>
  <c r="O16" i="1" s="1"/>
  <c r="T16" i="1"/>
  <c r="M16" i="1"/>
  <c r="C35" i="69"/>
  <c r="C38" i="69"/>
  <c r="M27" i="6"/>
  <c r="I19" i="6"/>
  <c r="H19" i="6" s="1"/>
  <c r="C8" i="74"/>
  <c r="C7" i="74"/>
  <c r="C20" i="11"/>
  <c r="C28" i="11" s="1"/>
  <c r="C27" i="11" s="1"/>
  <c r="D17" i="12"/>
  <c r="C17" i="12" s="1"/>
  <c r="C14" i="12"/>
  <c r="D10" i="68"/>
  <c r="D10" i="11"/>
  <c r="C10" i="11" s="1"/>
  <c r="D20" i="12"/>
  <c r="C20"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F70" i="39"/>
  <c r="G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4" i="9"/>
  <c r="C38" i="15"/>
  <c r="C66" i="67"/>
  <c r="C60" i="67"/>
  <c r="C23" i="67"/>
  <c r="C29" i="67" s="1"/>
  <c r="B6" i="76"/>
  <c r="H27" i="6" l="1"/>
  <c r="D16" i="6"/>
  <c r="D30" i="6"/>
  <c r="P14" i="1"/>
  <c r="P16" i="1" s="1"/>
  <c r="C11" i="12" s="1"/>
  <c r="C12" i="12" s="1"/>
  <c r="S19" i="6"/>
  <c r="S27" i="6" s="1"/>
  <c r="I27" i="6"/>
  <c r="L16" i="1"/>
  <c r="C34" i="68"/>
  <c r="N16" i="1"/>
  <c r="C34" i="11"/>
  <c r="R24" i="6"/>
  <c r="R22" i="6"/>
  <c r="R25" i="6"/>
  <c r="R23" i="6"/>
  <c r="A7" i="51"/>
  <c r="B7" i="72" s="1"/>
  <c r="C4" i="52"/>
  <c r="B45" i="72" s="1"/>
  <c r="A10" i="51"/>
  <c r="B9" i="72" s="1"/>
  <c r="D27" i="6"/>
  <c r="D31" i="6" s="1"/>
  <c r="R19" i="6"/>
  <c r="C10" i="68"/>
  <c r="B29" i="1" s="1"/>
  <c r="C8" i="68" s="1"/>
  <c r="D19" i="68"/>
  <c r="C21" i="9"/>
  <c r="D21" i="9"/>
  <c r="G21" i="9"/>
  <c r="R21" i="6"/>
  <c r="R8" i="1" s="1"/>
  <c r="R26" i="6"/>
  <c r="D8" i="74"/>
  <c r="D7" i="74"/>
  <c r="C10" i="69"/>
  <c r="C8" i="69" s="1"/>
  <c r="C5" i="69" s="1"/>
  <c r="D19" i="69"/>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18" i="12" l="1"/>
  <c r="R27" i="6"/>
  <c r="R6" i="1"/>
  <c r="R16" i="1" s="1"/>
  <c r="C15" i="12"/>
  <c r="C16" i="12" s="1"/>
  <c r="F50" i="11"/>
  <c r="F50" i="69"/>
  <c r="F50" i="68"/>
  <c r="C38" i="11"/>
  <c r="C35" i="11"/>
  <c r="C35" i="68"/>
  <c r="C38" i="68"/>
  <c r="C19" i="69"/>
  <c r="C24" i="69" s="1"/>
  <c r="D37" i="69"/>
  <c r="C37" i="69" s="1"/>
  <c r="C33" i="69" s="1"/>
  <c r="C19" i="68"/>
  <c r="D37" i="68"/>
  <c r="C37" i="68" s="1"/>
  <c r="C23" i="69"/>
  <c r="I6" i="6"/>
  <c r="I5" i="6"/>
  <c r="H70" i="39"/>
  <c r="I68" i="3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20" i="69" l="1"/>
  <c r="C25" i="69" s="1"/>
  <c r="C22" i="69" s="1"/>
  <c r="C21" i="12"/>
  <c r="C22" i="12" s="1"/>
  <c r="C30" i="12" s="1"/>
  <c r="C28" i="12" s="1"/>
  <c r="C33" i="11"/>
  <c r="C42" i="11" s="1"/>
  <c r="C33" i="68"/>
  <c r="C28" i="69"/>
  <c r="C27" i="69" s="1"/>
  <c r="C24" i="68"/>
  <c r="C39" i="69"/>
  <c r="C43" i="69" s="1"/>
  <c r="C42" i="69"/>
  <c r="I70" i="39"/>
  <c r="J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91" i="9" l="1"/>
  <c r="C91" i="9" s="1"/>
  <c r="C39" i="11"/>
  <c r="C43" i="11" s="1"/>
  <c r="C41" i="11" s="1"/>
  <c r="C39" i="68"/>
  <c r="C46" i="68" s="1"/>
  <c r="C45" i="68" s="1"/>
  <c r="C41" i="69"/>
  <c r="C31" i="69"/>
  <c r="C46" i="11"/>
  <c r="C45" i="11" s="1"/>
  <c r="C42" i="68"/>
  <c r="C27" i="12"/>
  <c r="C25" i="12" s="1"/>
  <c r="C32" i="12" s="1"/>
  <c r="B2" i="12" s="1"/>
  <c r="B3" i="12" s="1"/>
  <c r="C46" i="69"/>
  <c r="C45" i="69" s="1"/>
  <c r="K68" i="39"/>
  <c r="J70"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92" i="9" l="1"/>
  <c r="C94" i="9"/>
  <c r="C43" i="68"/>
  <c r="C41" i="68" s="1"/>
  <c r="C49" i="68" s="1"/>
  <c r="C51" i="68" s="1"/>
  <c r="C49" i="69"/>
  <c r="C51" i="69" s="1"/>
  <c r="C52" i="69" s="1"/>
  <c r="B2" i="69" s="1"/>
  <c r="B3" i="69" s="1"/>
  <c r="C49" i="11"/>
  <c r="C51" i="11" s="1"/>
  <c r="C52" i="11" s="1"/>
  <c r="B2" i="11" s="1"/>
  <c r="B3" i="11"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7" i="69" l="1"/>
  <c r="C56" i="69" s="1"/>
  <c r="C56" i="11"/>
  <c r="C57" i="11" s="1"/>
  <c r="L70" i="39"/>
  <c r="M68" i="39"/>
  <c r="R39" i="35"/>
  <c r="E38" i="35"/>
  <c r="M63" i="40"/>
  <c r="L65" i="40"/>
  <c r="M70" i="39" l="1"/>
  <c r="N68" i="39"/>
  <c r="C39" i="35"/>
  <c r="B2" i="35" s="1"/>
  <c r="B3" i="35" s="1"/>
  <c r="C38" i="35"/>
  <c r="N63" i="40"/>
  <c r="M65" i="40"/>
  <c r="E43" i="35"/>
  <c r="F43" i="35" s="1"/>
  <c r="E42" i="35"/>
  <c r="F42" i="35" s="1"/>
  <c r="I43" i="35"/>
  <c r="J43" i="35" s="1"/>
  <c r="O68" i="39" l="1"/>
  <c r="O70" i="39" s="1"/>
  <c r="N70" i="39"/>
  <c r="F7" i="39" s="1"/>
  <c r="H7" i="39"/>
  <c r="J7" i="39"/>
  <c r="O63" i="40"/>
  <c r="O65" i="40" s="1"/>
  <c r="N65" i="40"/>
  <c r="W7" i="39" l="1"/>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F66" i="39"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l="1"/>
  <c r="C5" i="68" s="1"/>
  <c r="C23" i="68" l="1"/>
  <c r="C20" i="68"/>
  <c r="C25" i="68" s="1"/>
  <c r="C28" i="68" l="1"/>
  <c r="C27" i="68" s="1"/>
  <c r="C22" i="68"/>
  <c r="C31" i="68" l="1"/>
  <c r="C52" i="68" s="1"/>
  <c r="B2" i="68" s="1"/>
  <c r="B3" i="68" l="1"/>
  <c r="D3" i="78"/>
  <c r="C57" i="68"/>
  <c r="C56" i="68" s="1"/>
  <c r="G3" i="78" l="1"/>
  <c r="D24" i="78"/>
  <c r="D25" i="78" s="1"/>
  <c r="E3" i="78"/>
  <c r="D26" i="78" s="1"/>
  <c r="H8" i="78"/>
  <c r="D27" i="78" l="1"/>
  <c r="D28" i="78"/>
  <c r="D12" i="78"/>
  <c r="D14" i="78" s="1"/>
  <c r="D13" i="78"/>
  <c r="C19" i="78"/>
  <c r="D14" i="74" l="1"/>
  <c r="G14" i="74" s="1"/>
  <c r="B6" i="74" s="1"/>
  <c r="D6" i="74" s="1"/>
  <c r="H13" i="78"/>
  <c r="D45" i="9"/>
  <c r="C78" i="9" s="1"/>
  <c r="C73" i="9" s="1"/>
  <c r="F19" i="78"/>
  <c r="E14" i="74" l="1"/>
  <c r="C6" i="74"/>
  <c r="B5" i="74"/>
  <c r="F14" i="74"/>
  <c r="D55" i="9"/>
  <c r="M53" i="9" s="1"/>
  <c r="D52" i="9"/>
  <c r="C85" i="9"/>
  <c r="D53" i="9"/>
  <c r="D48" i="9" s="1"/>
  <c r="M52" i="9" s="1"/>
  <c r="M48" i="9"/>
  <c r="M49" i="9" s="1"/>
  <c r="C93" i="9"/>
  <c r="C86" i="9" s="1"/>
  <c r="C64" i="9"/>
  <c r="C63" i="9" s="1"/>
  <c r="C67" i="9" s="1"/>
  <c r="C68" i="9" s="1"/>
  <c r="D54" i="9" s="1"/>
  <c r="C72" i="9"/>
  <c r="C79" i="9" s="1"/>
  <c r="C80" i="9" s="1"/>
  <c r="E80" i="9" s="1"/>
  <c r="E81" i="9" s="1"/>
  <c r="D59" i="9"/>
  <c r="M55" i="9" s="1"/>
  <c r="C5" i="74" l="1"/>
  <c r="D5" i="74"/>
  <c r="C95" i="9"/>
  <c r="C96" i="9" s="1"/>
  <c r="E96" i="9" s="1"/>
  <c r="E97" i="9" s="1"/>
  <c r="C81" i="9"/>
  <c r="L68" i="9"/>
  <c r="M68" i="9" s="1"/>
  <c r="L64" i="9"/>
  <c r="M64" i="9" s="1"/>
  <c r="L66" i="9"/>
  <c r="M66" i="9" s="1"/>
  <c r="L65" i="9"/>
  <c r="M65" i="9" s="1"/>
  <c r="L67" i="9"/>
  <c r="M67" i="9" s="1"/>
  <c r="L63" i="9"/>
  <c r="M63" i="9" s="1"/>
  <c r="C97" i="9" l="1"/>
  <c r="D58" i="9" s="1"/>
  <c r="D56" i="9" s="1"/>
  <c r="M54" i="9" s="1"/>
  <c r="N57" i="9" s="1"/>
  <c r="N58" i="9" s="1"/>
  <c r="M69" i="9"/>
  <c r="N69" i="9" s="1"/>
  <c r="N59" i="9" l="1"/>
  <c r="P57" i="9"/>
  <c r="N61" i="9" l="1"/>
  <c r="N60" i="9"/>
  <c r="I4" i="52"/>
  <c r="C105" i="9"/>
  <c r="C104" i="9"/>
  <c r="H4" i="52"/>
  <c r="B51" i="72"/>
  <c r="B49" i="72"/>
  <c r="B53" i="72"/>
  <c r="B20" i="72"/>
  <c r="D5" i="52"/>
  <c r="D119" i="9"/>
  <c r="B48" i="72"/>
  <c r="F4" i="52"/>
  <c r="B21" i="72"/>
  <c r="B31" i="72"/>
  <c r="H108" i="9"/>
  <c r="D15" i="53"/>
  <c r="E4" i="52"/>
  <c r="E118" i="9"/>
  <c r="D118" i="9"/>
  <c r="D4" i="52"/>
  <c r="B47" i="72"/>
  <c r="B32" i="72"/>
  <c r="H119" i="9"/>
  <c r="H5" i="52"/>
  <c r="D9" i="52"/>
  <c r="D14" i="53"/>
  <c r="D13" i="53"/>
  <c r="B30" i="72"/>
  <c r="G4" i="52"/>
  <c r="B52" i="72"/>
  <c r="D8" i="52"/>
  <c r="D122" i="9"/>
  <c r="D123" i="9"/>
  <c r="G118" i="9"/>
  <c r="F118" i="9"/>
  <c r="F119" i="9"/>
  <c r="F5" i="52"/>
  <c r="H102" i="9"/>
  <c r="D7" i="53"/>
  <c r="H107"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<sst xmlns="http://schemas.openxmlformats.org/spreadsheetml/2006/main" count="7666" uniqueCount="3370">
  <si>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</si>
  <si>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</si>
  <si>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</si>
  <si>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</si>
  <si>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</si>
  <si>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</si>
  <si>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</si>
  <si>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</si>
  <si>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</si>
  <si>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</si>
  <si>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</si>
  <si>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</si>
  <si>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</si>
  <si>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</si>
  <si>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</si>
  <si>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</si>
  <si>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</si>
  <si>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</si>
  <si>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</si>
  <si>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</si>
  <si>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</si>
  <si>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</si>
  <si>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</si>
  <si>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</si>
  <si>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</si>
  <si>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</si>
  <si>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</si>
  <si>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</si>
  <si>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</si>
  <si>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</si>
  <si>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</si>
  <si>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</si>
  <si>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</si>
  <si>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</si>
  <si>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</si>
  <si>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</si>
  <si>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</si>
  <si>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</si>
  <si>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</si>
  <si>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</si>
  <si>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</si>
  <si>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</si>
  <si>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</si>
  <si>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</si>
  <si>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</si>
  <si>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</si>
  <si>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</si>
  <si>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</si>
  <si>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</si>
  <si>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</si>
  <si>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</si>
  <si>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</si>
  <si>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</si>
  <si>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</si>
  <si>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</si>
  <si>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</si>
  <si>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</si>
  <si>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</si>
  <si>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</si>
  <si>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</si>
  <si>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</si>
  <si>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</si>
  <si>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</si>
  <si>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</si>
  <si>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</si>
  <si>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</si>
  <si>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</si>
  <si>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</si>
  <si>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</si>
  <si>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</si>
  <si>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</si>
  <si>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</si>
  <si>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</si>
  <si>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</si>
  <si>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</si>
  <si>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</si>
  <si>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</si>
  <si>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</si>
  <si>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</si>
  <si>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</si>
  <si>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</si>
  <si>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</si>
  <si>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</si>
  <si>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</si>
  <si>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</si>
  <si>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</si>
  <si>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</si>
  <si>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</si>
  <si>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</si>
  <si>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</si>
  <si>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</si>
  <si>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</si>
  <si>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</si>
  <si>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</si>
  <si>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</si>
  <si>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</si>
  <si>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</si>
  <si>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</si>
  <si>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</si>
  <si>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</si>
  <si>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</si>
  <si>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</si>
  <si>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</si>
  <si>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</si>
  <si>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</si>
  <si>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</si>
  <si>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</si>
  <si>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</si>
  <si>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</si>
  <si>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</si>
  <si>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</si>
  <si>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</si>
  <si>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</si>
  <si>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</si>
  <si>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</si>
  <si>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</si>
  <si>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</si>
  <si>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</si>
  <si>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</si>
  <si>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</si>
  <si>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</si>
  <si>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</si>
  <si>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</si>
  <si>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</si>
  <si>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</si>
  <si>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</si>
  <si>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</si>
  <si>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</si>
  <si>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</si>
  <si>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</si>
  <si>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</si>
  <si>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</si>
  <si>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</si>
  <si>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</si>
  <si>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</si>
  <si>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</si>
  <si>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</si>
  <si>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</si>
  <si>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</si>
  <si>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</si>
  <si>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</si>
  <si>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</si>
  <si>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</si>
  <si>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</si>
  <si>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</si>
  <si>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</si>
  <si>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</si>
  <si>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</si>
  <si>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</si>
  <si>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</si>
  <si>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</si>
  <si>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</si>
  <si>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</si>
  <si>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</si>
  <si>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</si>
  <si>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</si>
  <si>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</si>
  <si>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</si>
  <si>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</si>
  <si>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</si>
  <si>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</si>
  <si>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</si>
  <si>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</si>
  <si>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</si>
  <si>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</si>
  <si>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</si>
  <si>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</si>
  <si>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</si>
  <si>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</si>
  <si>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</si>
  <si>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</si>
  <si>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</si>
  <si>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</si>
  <si>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</si>
  <si>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</si>
  <si>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</si>
  <si>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</si>
  <si>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</si>
  <si>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</si>
  <si>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</si>
  <si>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</si>
  <si>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</si>
  <si>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</si>
  <si>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</si>
  <si>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</si>
  <si>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</si>
  <si>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</si>
  <si>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</si>
  <si>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</si>
  <si>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</si>
  <si>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</si>
  <si>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</si>
  <si>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</si>
  <si>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</si>
  <si>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</si>
  <si>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</si>
  <si>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</si>
  <si>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</si>
  <si>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</si>
  <si>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</si>
  <si>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</si>
  <si>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</si>
  <si>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</si>
  <si>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</si>
  <si>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</si>
  <si>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</si>
  <si>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</si>
  <si>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</si>
  <si>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</si>
  <si>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</si>
  <si>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</si>
  <si>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</si>
  <si>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</si>
  <si>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</si>
  <si>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</si>
  <si>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</si>
  <si>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</si>
  <si>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</si>
  <si>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</si>
  <si>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</si>
  <si>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</si>
  <si>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</si>
  <si>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</si>
  <si>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</si>
  <si>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</si>
  <si>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</si>
  <si>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</si>
  <si>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</si>
  <si>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</si>
  <si>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</si>
  <si>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</si>
  <si>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</si>
  <si>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</si>
  <si>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</si>
  <si>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</si>
  <si>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</si>
  <si>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</si>
  <si>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</si>
  <si>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</si>
  <si>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</si>
  <si>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</si>
  <si>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</si>
  <si>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</si>
  <si>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</si>
  <si>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</si>
  <si>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</si>
  <si>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</si>
  <si>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</si>
  <si>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</si>
  <si>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</si>
  <si>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</si>
  <si>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</si>
  <si>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</si>
  <si>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</si>
  <si>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</si>
  <si>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</si>
  <si>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</si>
  <si>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</si>
  <si>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</si>
  <si>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</si>
  <si>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</si>
  <si>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</si>
  <si>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</si>
  <si>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</si>
  <si>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</si>
  <si>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</si>
  <si>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</si>
  <si>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</si>
  <si>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</si>
  <si>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</si>
  <si>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</si>
  <si>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</si>
  <si>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</si>
  <si>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</si>
  <si>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</si>
  <si>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</si>
  <si>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</si>
  <si>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</si>
  <si>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</si>
  <si>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</si>
  <si>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</si>
  <si>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</si>
  <si>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</si>
  <si>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</si>
  <si>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</si>
  <si>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</si>
  <si>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</si>
  <si>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</si>
  <si>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</si>
  <si>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</si>
  <si>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</si>
  <si>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</si>
  <si>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</si>
  <si>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</si>
  <si>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</si>
  <si>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</si>
  <si>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</si>
  <si>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</si>
  <si>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</si>
  <si>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</si>
  <si>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</si>
  <si>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</si>
  <si>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</si>
  <si>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</si>
  <si>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</si>
  <si>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</si>
  <si>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</si>
  <si>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</si>
  <si>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</si>
  <si>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</si>
  <si>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</si>
  <si>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</si>
  <si>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</si>
  <si>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</si>
  <si>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</si>
  <si>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</si>
  <si>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</si>
  <si>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</si>
  <si>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</si>
  <si>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</si>
  <si>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</si>
  <si>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</si>
  <si>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</si>
  <si>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</si>
  <si>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</si>
  <si>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</si>
  <si>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</si>
  <si>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</si>
  <si>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</si>
  <si>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</si>
  <si>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</si>
  <si>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</si>
  <si>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</si>
  <si>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</si>
  <si>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</si>
  <si>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</si>
  <si>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</si>
  <si>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</si>
  <si>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</si>
  <si>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</si>
  <si>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</si>
  <si>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</si>
  <si>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</si>
  <si>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</si>
  <si>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</si>
  <si>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</si>
  <si>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</si>
  <si>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</si>
  <si>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</si>
  <si>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</si>
  <si>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</si>
  <si>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</si>
  <si>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</si>
  <si>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</si>
  <si>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</si>
  <si>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</si>
  <si>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</si>
  <si>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</si>
  <si>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</si>
  <si>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</si>
  <si>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</si>
  <si>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</si>
  <si>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</si>
  <si>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</si>
  <si>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</si>
  <si>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</si>
  <si>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</si>
  <si>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</si>
  <si>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</si>
  <si>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</si>
  <si>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</si>
  <si>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</si>
  <si>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</si>
  <si>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</si>
  <si>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</si>
  <si>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</si>
  <si>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</si>
  <si>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</si>
  <si>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</si>
  <si>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</si>
  <si>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</si>
  <si>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</si>
  <si>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</si>
  <si>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</si>
  <si>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</si>
  <si>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</si>
  <si>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</si>
  <si>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</si>
  <si>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</si>
  <si>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</si>
  <si>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</si>
  <si>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</si>
  <si>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</si>
  <si>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</si>
  <si>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</si>
  <si>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</si>
  <si>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</si>
  <si>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</si>
  <si>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</si>
  <si>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</si>
  <si>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</si>
  <si>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</si>
  <si>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</si>
  <si>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</si>
  <si>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</si>
  <si>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</si>
  <si>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</si>
  <si>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</si>
  <si>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</si>
  <si>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</si>
  <si>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</si>
  <si>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</si>
  <si>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</si>
  <si>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</si>
  <si>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</si>
  <si>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</si>
  <si>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</si>
  <si>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</si>
  <si>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</si>
  <si>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</si>
  <si>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</si>
  <si>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</si>
  <si>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</si>
  <si>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</si>
  <si>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</si>
  <si>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</si>
  <si>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</si>
  <si>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</si>
  <si>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</si>
  <si>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</si>
  <si>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</si>
  <si>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</si>
  <si>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</si>
  <si>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</si>
  <si>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</si>
  <si>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</si>
  <si>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</si>
  <si>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</si>
  <si>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</si>
  <si>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</si>
  <si>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</si>
  <si>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</si>
  <si>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</si>
  <si>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</si>
  <si>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</si>
  <si>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</si>
  <si>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</si>
  <si>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</si>
  <si>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</si>
  <si>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</si>
  <si>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</si>
  <si>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</si>
  <si>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</si>
  <si>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</si>
  <si>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</si>
  <si>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</si>
  <si>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</si>
  <si>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</si>
  <si>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</si>
  <si>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</si>
  <si>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</si>
  <si>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</si>
  <si>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</si>
  <si>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</si>
  <si>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</si>
  <si>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</si>
  <si>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</si>
  <si>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</si>
  <si>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</si>
  <si>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</si>
  <si>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</si>
  <si>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</si>
  <si>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</si>
  <si>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</si>
  <si>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</si>
  <si>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</si>
  <si>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</si>
  <si>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</si>
  <si>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</si>
  <si>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</si>
  <si>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</si>
  <si>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</si>
  <si>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</si>
  <si>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</si>
  <si>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</si>
  <si>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</si>
  <si>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</si>
  <si>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</si>
  <si>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</si>
  <si>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</si>
  <si>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</si>
  <si>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</si>
  <si>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</si>
  <si>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</si>
  <si>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</si>
  <si>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</si>
  <si>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</si>
  <si>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</si>
  <si>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</si>
  <si>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</si>
  <si>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</si>
  <si>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</si>
  <si>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</si>
  <si>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</si>
  <si>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</si>
  <si>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</si>
  <si>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</si>
  <si>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</si>
  <si>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</si>
  <si>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</si>
  <si>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</si>
  <si>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</si>
  <si>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</si>
  <si>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</si>
  <si>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</si>
  <si>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</si>
  <si>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</si>
  <si>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</si>
  <si>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</si>
  <si>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</si>
  <si>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</si>
  <si>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</si>
  <si>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</si>
  <si>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</si>
  <si>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</si>
  <si>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</si>
  <si>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</si>
  <si>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</si>
  <si>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</si>
  <si>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</si>
  <si>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</si>
  <si>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</si>
  <si>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</si>
  <si>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</si>
  <si>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</si>
  <si>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</si>
  <si>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</si>
  <si>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</si>
  <si>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</si>
  <si>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</si>
  <si>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</si>
  <si>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</si>
  <si>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</si>
  <si>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</si>
  <si>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</si>
  <si>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</si>
  <si>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</si>
  <si>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</si>
  <si>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</si>
  <si>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</si>
  <si>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</si>
  <si>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</si>
  <si>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</si>
  <si>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</si>
  <si>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</si>
  <si>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</si>
  <si>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</si>
  <si>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</si>
  <si>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</si>
  <si>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</si>
  <si>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</si>
  <si>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</si>
  <si>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</si>
  <si>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</si>
  <si>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</si>
  <si>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</si>
  <si>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</si>
  <si>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</si>
  <si>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</si>
  <si>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</si>
  <si>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</si>
  <si>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</si>
  <si>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</si>
  <si>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</si>
  <si>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</si>
  <si>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</si>
  <si>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</si>
  <si>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</si>
  <si>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</si>
  <si>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</si>
  <si>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</si>
  <si>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</si>
  <si>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</si>
  <si>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</si>
  <si>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</si>
  <si>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</si>
  <si>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</si>
  <si>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</si>
  <si>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</si>
  <si>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</si>
  <si>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</si>
  <si>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</si>
  <si>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</si>
  <si>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</si>
  <si>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</si>
  <si>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</si>
  <si>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</si>
  <si>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</si>
  <si>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</si>
  <si>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</si>
  <si>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</si>
  <si>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</si>
  <si>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</si>
  <si>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</si>
  <si>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</si>
  <si>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</si>
  <si>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</si>
  <si>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</si>
  <si>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</si>
  <si>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</si>
  <si>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</si>
  <si>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</si>
  <si>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</si>
  <si>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</si>
  <si>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</si>
  <si>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</si>
  <si>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</si>
  <si>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</si>
  <si>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</si>
  <si>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</si>
  <si>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</si>
  <si>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</si>
  <si>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</si>
  <si>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</si>
  <si>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</si>
  <si>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</si>
  <si>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</si>
  <si>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</si>
  <si>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</si>
  <si>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</si>
  <si>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</si>
  <si>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</si>
  <si>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</si>
  <si>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</si>
  <si>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</si>
  <si>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</si>
  <si>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</si>
  <si>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</si>
  <si>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</si>
  <si>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</si>
  <si>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</si>
  <si>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</si>
  <si>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</si>
  <si>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</si>
  <si>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</si>
  <si>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</si>
  <si>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</si>
  <si>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</si>
  <si>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</si>
  <si>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</si>
  <si>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</si>
  <si>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</si>
  <si>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</si>
  <si>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</si>
  <si>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</si>
  <si>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</si>
  <si>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</si>
  <si>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</si>
  <si>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</si>
  <si>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</si>
  <si>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</si>
  <si>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</si>
  <si>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</si>
  <si>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</si>
  <si>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</si>
  <si>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</si>
  <si>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</si>
  <si>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</si>
  <si>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</si>
  <si>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</si>
  <si>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</si>
  <si>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</si>
  <si>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</si>
  <si>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</si>
  <si>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</si>
  <si>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</si>
  <si>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</si>
  <si>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</si>
  <si>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</si>
  <si>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</si>
  <si>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</si>
  <si>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</si>
  <si>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</si>
  <si>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</si>
  <si>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</si>
  <si>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</si>
  <si>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</si>
  <si>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</si>
  <si>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</si>
  <si>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</si>
  <si>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</si>
  <si>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</si>
  <si>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</si>
  <si>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</si>
  <si>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</si>
  <si>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</si>
  <si>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</si>
  <si>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</si>
  <si>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</si>
  <si>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</si>
  <si>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</si>
  <si>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</si>
  <si>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</si>
  <si>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</si>
  <si>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</si>
  <si>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</si>
  <si>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</si>
  <si>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</si>
  <si>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</si>
  <si>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</si>
  <si>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</si>
  <si>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</si>
  <si>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</si>
  <si>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</si>
  <si>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</si>
  <si>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</si>
  <si>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</si>
  <si>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</si>
  <si>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</si>
  <si>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</si>
  <si>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</si>
  <si>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</si>
  <si>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</si>
  <si>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</si>
  <si>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</si>
  <si>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</si>
  <si>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</si>
  <si>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</si>
  <si>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</si>
  <si>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</si>
  <si>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</si>
  <si>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</si>
  <si>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</si>
  <si>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</si>
  <si>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</si>
  <si>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</si>
  <si>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</si>
  <si>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</si>
  <si>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</si>
  <si>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</si>
  <si>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</si>
  <si>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</si>
  <si>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</si>
  <si>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</si>
  <si>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</si>
  <si>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</si>
  <si>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</si>
  <si>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</si>
  <si>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</si>
  <si>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</si>
  <si>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</si>
  <si>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</si>
  <si>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</si>
  <si>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</si>
  <si>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</si>
  <si>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</si>
  <si>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</si>
  <si>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</si>
  <si>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</si>
  <si>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</si>
  <si>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</si>
  <si>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</si>
  <si>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</si>
  <si>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</si>
  <si>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</si>
  <si>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</si>
  <si>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</si>
  <si>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</si>
  <si>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</si>
  <si>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</si>
  <si>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</si>
  <si>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</si>
  <si>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</si>
  <si>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</si>
  <si>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</si>
  <si>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</si>
  <si>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</si>
  <si>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</si>
  <si>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</si>
  <si>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</si>
  <si>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</si>
  <si>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</si>
  <si>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</si>
  <si>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</si>
  <si>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</si>
  <si>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</si>
  <si>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</si>
  <si>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</si>
  <si>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</si>
  <si>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</si>
  <si>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</si>
  <si>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</si>
  <si>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</si>
  <si>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</si>
  <si>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</si>
  <si>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</si>
  <si>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</si>
  <si>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</si>
  <si>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</si>
  <si>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</si>
  <si>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</si>
  <si>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</si>
  <si>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</si>
  <si>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</si>
  <si>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</si>
  <si>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</si>
  <si>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</si>
  <si>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</si>
  <si>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</si>
  <si>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</si>
  <si>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</si>
  <si>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</si>
  <si>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</si>
  <si>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</si>
  <si>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</si>
  <si>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</si>
  <si>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</si>
  <si>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</si>
  <si>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</si>
  <si>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</si>
  <si>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</si>
  <si>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</si>
  <si>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</si>
  <si>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</si>
  <si>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</si>
  <si>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</si>
  <si>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</si>
  <si>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</si>
  <si>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</si>
  <si>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</si>
  <si>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</si>
  <si>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</si>
  <si>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</si>
  <si>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</si>
  <si>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</si>
  <si>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</si>
  <si>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</si>
  <si>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</si>
  <si>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</si>
  <si>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</si>
  <si>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</si>
  <si>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</si>
  <si>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</si>
  <si>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</si>
  <si>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</si>
  <si>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</si>
  <si>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</si>
  <si>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</si>
  <si>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</si>
  <si>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</si>
  <si>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</si>
  <si>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</si>
  <si>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</si>
  <si>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</si>
  <si>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</si>
  <si>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</si>
  <si>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</si>
  <si>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</si>
  <si>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</si>
  <si>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</si>
  <si>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</si>
  <si>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</si>
  <si>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</si>
  <si>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</si>
  <si>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</si>
  <si>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</si>
  <si>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</si>
  <si>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</si>
  <si>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</si>
  <si>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</si>
  <si>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</si>
  <si>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</si>
  <si>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</si>
  <si>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</si>
  <si>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</si>
  <si>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</si>
  <si>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</si>
  <si>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</si>
  <si>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</si>
  <si>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</si>
  <si>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</si>
  <si>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</si>
  <si>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</si>
  <si>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</si>
  <si>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</si>
  <si>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</si>
  <si>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</si>
  <si>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</si>
  <si>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</si>
  <si>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</si>
  <si>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</si>
  <si>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</si>
  <si>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</si>
  <si>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</si>
  <si>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</si>
  <si>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</si>
  <si>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</si>
  <si>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</si>
  <si>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</si>
  <si>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</si>
  <si>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</si>
  <si>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</si>
  <si>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</si>
  <si>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</si>
  <si>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</si>
  <si>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</si>
  <si>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</si>
  <si>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</si>
  <si>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</si>
  <si>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</si>
  <si>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</si>
  <si>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</si>
  <si>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</si>
  <si>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</si>
  <si>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</si>
  <si>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</si>
  <si>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</si>
  <si>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</si>
  <si>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</si>
  <si>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</si>
  <si>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</si>
  <si>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</si>
  <si>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</si>
  <si>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</si>
  <si>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</si>
  <si>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</si>
  <si>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</si>
  <si>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</si>
  <si>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</si>
  <si>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</si>
  <si>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</si>
  <si>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</si>
  <si>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</si>
  <si>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</si>
  <si>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</si>
  <si>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</si>
  <si>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</si>
  <si>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</si>
  <si>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</si>
  <si>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</si>
  <si>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</si>
  <si>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</si>
  <si>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</si>
  <si>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</si>
  <si>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</si>
  <si>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</si>
  <si>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</si>
  <si>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</si>
  <si>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</si>
  <si>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</si>
  <si>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</si>
  <si>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</si>
  <si>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</si>
  <si>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</si>
  <si>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</si>
  <si>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</si>
  <si>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</si>
  <si>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</si>
  <si>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</si>
  <si>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</si>
  <si>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</si>
  <si>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</si>
  <si>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</si>
  <si>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</si>
  <si>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</si>
  <si>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</si>
  <si>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</si>
  <si>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</si>
  <si>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</si>
  <si>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</si>
  <si>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</si>
  <si>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</si>
  <si>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</si>
  <si>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</si>
  <si>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</si>
  <si>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</si>
  <si>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</si>
  <si>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</si>
  <si>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</si>
  <si>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</si>
  <si>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</si>
  <si>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</si>
  <si>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</si>
  <si>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</si>
  <si>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</si>
  <si>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</si>
  <si>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</si>
  <si>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</si>
  <si>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</si>
  <si>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</si>
  <si>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</si>
  <si>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</si>
  <si>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</si>
  <si>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</si>
  <si>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</si>
  <si>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</si>
  <si>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</si>
  <si>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</si>
  <si>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</si>
  <si>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</si>
  <si>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</si>
  <si>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</si>
  <si>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</si>
  <si>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</si>
  <si>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</si>
  <si>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</si>
  <si>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</si>
  <si>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</si>
  <si>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</si>
  <si>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</si>
  <si>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</si>
  <si>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</si>
  <si>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</si>
  <si>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</si>
  <si>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</si>
  <si>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</si>
  <si>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</si>
  <si>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</si>
  <si>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</si>
  <si>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</si>
  <si>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</si>
  <si>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</si>
  <si>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</si>
  <si>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</si>
  <si>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</si>
  <si>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</si>
  <si>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</si>
  <si>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</si>
  <si>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</si>
  <si>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</si>
  <si>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</si>
  <si>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</si>
  <si>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</si>
  <si>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</si>
  <si>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</si>
  <si>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</si>
  <si>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</si>
  <si>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</si>
  <si>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</si>
  <si>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</si>
  <si>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</si>
  <si>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</si>
  <si>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</si>
  <si>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</si>
  <si>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</si>
  <si>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</si>
  <si>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</si>
  <si>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</si>
  <si>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</si>
  <si>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</si>
  <si>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</si>
  <si>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</si>
  <si>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</si>
  <si>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</si>
  <si>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</si>
  <si>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</si>
  <si>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</si>
  <si>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</si>
  <si>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</si>
  <si>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</si>
  <si>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</si>
  <si>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</si>
  <si>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</si>
  <si>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</si>
  <si>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</si>
  <si>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</si>
  <si>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</si>
  <si>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</si>
  <si>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</si>
  <si>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</si>
  <si>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</si>
  <si>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</si>
  <si>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</si>
  <si>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</si>
  <si>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</si>
  <si>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</si>
  <si>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</si>
  <si>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</si>
  <si>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</si>
  <si>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</si>
  <si>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</si>
  <si>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</si>
  <si>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</si>
  <si>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</si>
  <si>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</si>
  <si>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</si>
  <si>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</si>
  <si>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</si>
  <si>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</si>
  <si>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</si>
  <si>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</si>
  <si>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</si>
  <si>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</si>
  <si>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</si>
  <si>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</si>
  <si>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</si>
  <si>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</si>
  <si>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</si>
  <si>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</si>
  <si>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</si>
  <si>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</si>
  <si>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</si>
  <si>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</si>
  <si>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</si>
  <si>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</si>
  <si>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</si>
  <si>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</si>
  <si>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</si>
  <si>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</si>
  <si>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</si>
  <si>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</si>
  <si>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</si>
  <si>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</si>
  <si>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</si>
  <si>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</si>
  <si>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</si>
  <si>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</si>
  <si>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</si>
  <si>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</si>
  <si>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</si>
  <si>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</si>
  <si>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</si>
  <si>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</si>
  <si>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</si>
  <si>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</si>
  <si>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</si>
  <si>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</si>
  <si>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</si>
  <si>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</si>
  <si>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</si>
  <si>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</si>
  <si>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</si>
  <si>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</si>
  <si>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</si>
  <si>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</si>
  <si>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</si>
  <si>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</si>
  <si>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</si>
  <si>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</si>
  <si>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</si>
  <si>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</si>
  <si>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</si>
  <si>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</si>
  <si>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</si>
  <si>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</si>
  <si>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</si>
  <si>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</si>
  <si>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</si>
  <si>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</si>
  <si>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</si>
  <si>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</si>
  <si>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</si>
  <si>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</si>
  <si>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</si>
  <si>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</si>
  <si>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</si>
  <si>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</si>
  <si>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</si>
  <si>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</si>
  <si>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</si>
  <si>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</si>
  <si>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</si>
  <si>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</si>
  <si>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</si>
  <si>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</si>
  <si>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</si>
  <si>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</si>
  <si>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</si>
  <si>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</si>
  <si>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</si>
  <si>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</si>
  <si>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</si>
  <si>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</si>
  <si>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</si>
  <si>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</si>
  <si>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</si>
  <si>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</si>
  <si>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</si>
  <si>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</si>
  <si>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</si>
  <si>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</si>
  <si>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</si>
  <si>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</si>
  <si>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</si>
  <si>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</si>
  <si>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</si>
  <si>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</si>
  <si>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</si>
  <si>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</si>
  <si>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</si>
  <si>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</si>
  <si>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</si>
  <si>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</si>
  <si>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</si>
  <si>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</si>
  <si>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</si>
  <si>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</si>
  <si>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</si>
  <si>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</si>
  <si>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</si>
  <si>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</si>
  <si>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</si>
  <si>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</si>
  <si>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</si>
  <si>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</si>
  <si>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</si>
  <si>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</si>
  <si>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</si>
  <si>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</si>
  <si>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</si>
  <si>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</si>
  <si>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</si>
  <si>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</si>
  <si>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</si>
  <si>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</si>
  <si>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</si>
  <si>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</si>
  <si>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</si>
  <si>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</si>
  <si>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</si>
  <si>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</si>
  <si>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</si>
  <si>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</si>
  <si>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</si>
  <si>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</si>
  <si>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</si>
  <si>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</si>
  <si>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</si>
  <si>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</si>
  <si>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</si>
  <si>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</si>
  <si>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</si>
  <si>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</si>
  <si>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</si>
  <si>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</si>
  <si>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</si>
  <si>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</si>
  <si>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</si>
  <si>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</si>
  <si>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</si>
  <si>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</si>
  <si>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</si>
  <si>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</si>
  <si>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</si>
  <si>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</si>
  <si>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</si>
  <si>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</si>
  <si>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</si>
  <si>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</si>
  <si>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</si>
  <si>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</si>
  <si>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</si>
  <si>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</si>
  <si>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</si>
  <si>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</si>
  <si>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</si>
  <si>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</si>
  <si>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</si>
  <si>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</si>
  <si>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</si>
  <si>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</si>
  <si>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</si>
  <si>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</si>
  <si>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</si>
  <si>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</si>
  <si>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</si>
  <si>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</si>
  <si>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</si>
  <si>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</si>
  <si>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</si>
  <si>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</si>
  <si>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</si>
  <si>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</si>
  <si>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</si>
  <si>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</si>
  <si>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</si>
  <si>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</si>
  <si>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</si>
  <si>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</si>
  <si>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</si>
  <si>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</si>
  <si>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</si>
  <si>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</si>
  <si>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</si>
  <si>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</si>
  <si>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</si>
  <si>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</si>
  <si>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</si>
  <si>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</si>
  <si>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</si>
  <si>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</si>
  <si>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</si>
  <si>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</si>
  <si>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</si>
  <si>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</si>
  <si>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</si>
  <si>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</si>
  <si>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</si>
  <si>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</si>
  <si>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</si>
  <si>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</si>
  <si>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</si>
  <si>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</si>
  <si>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</si>
  <si>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</si>
  <si>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</si>
  <si>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</si>
  <si>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</si>
  <si>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</si>
  <si>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</si>
  <si>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</si>
  <si>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</si>
  <si>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</si>
  <si>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</si>
  <si>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</si>
  <si>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</si>
  <si>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</si>
  <si>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</si>
  <si>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</si>
  <si>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</si>
  <si>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</si>
  <si>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</si>
  <si>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</si>
  <si>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</si>
  <si>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</si>
  <si>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</si>
  <si>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</si>
  <si>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</si>
  <si>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</si>
  <si>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</si>
  <si>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</si>
  <si>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</si>
  <si>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</si>
  <si>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</si>
  <si>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</si>
  <si>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</si>
  <si>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</si>
  <si>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</si>
  <si>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</si>
  <si>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</si>
  <si>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</si>
  <si>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</si>
  <si>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</si>
  <si>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</si>
  <si>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</si>
  <si>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</si>
  <si>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</si>
  <si>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</si>
  <si>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</si>
  <si>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</si>
  <si>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</si>
  <si>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</si>
  <si>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</si>
  <si>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</si>
  <si>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</si>
  <si>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</si>
  <si>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</si>
  <si>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</si>
  <si>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</si>
  <si>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</si>
  <si>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</si>
  <si>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</si>
  <si>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</si>
  <si>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</si>
  <si>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</si>
  <si>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</si>
  <si>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</si>
  <si>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</si>
  <si>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</si>
  <si>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</si>
  <si>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</si>
  <si>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</si>
  <si>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</si>
  <si>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</si>
  <si>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</si>
  <si>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</si>
  <si>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</si>
  <si>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</si>
  <si>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</si>
  <si>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</si>
  <si>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</si>
  <si>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</si>
  <si>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</si>
  <si>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</si>
  <si>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</si>
  <si>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</si>
  <si>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</si>
  <si>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</si>
  <si>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</si>
  <si>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</si>
  <si>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</si>
  <si>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</si>
  <si>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</si>
  <si>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</si>
  <si>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</si>
  <si>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</si>
  <si>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</si>
  <si>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</si>
  <si>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</si>
  <si>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</si>
  <si>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</si>
  <si>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</si>
  <si>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</si>
  <si>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</si>
  <si>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</si>
  <si>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</si>
  <si>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</si>
  <si>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</si>
  <si>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</si>
  <si>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</si>
  <si>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</si>
  <si>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</si>
  <si>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</si>
  <si>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</si>
  <si>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</si>
  <si>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</si>
  <si>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</si>
  <si>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</si>
  <si>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</si>
  <si>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</si>
  <si>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</si>
  <si>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</si>
  <si>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</si>
  <si>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</si>
  <si>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</si>
  <si>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</si>
  <si>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</si>
  <si>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</si>
  <si>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</si>
  <si>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</si>
  <si>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</si>
  <si>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</si>
  <si>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</si>
  <si>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</si>
  <si>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</si>
  <si>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</si>
  <si>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</si>
  <si>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</si>
  <si>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</si>
  <si>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</si>
  <si>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</si>
  <si>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</si>
  <si>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</si>
  <si>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</si>
  <si>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</si>
  <si>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</si>
  <si>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</si>
  <si>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</si>
  <si>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</si>
  <si>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</si>
  <si>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</si>
  <si>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</si>
  <si>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</si>
  <si>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</si>
  <si>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</si>
  <si>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</si>
  <si>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</si>
  <si>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</si>
  <si>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</si>
  <si>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</si>
  <si>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</si>
  <si>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</si>
  <si>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</si>
  <si>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</si>
  <si>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</si>
  <si>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</si>
  <si>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</si>
  <si>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</si>
  <si>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</si>
  <si>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</si>
  <si>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</si>
  <si>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</si>
  <si>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</si>
  <si>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</si>
  <si>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</si>
  <si>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</si>
  <si>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</si>
  <si>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</si>
  <si>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</si>
  <si>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</si>
  <si>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</si>
  <si>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</si>
  <si>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</si>
  <si>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</si>
  <si>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</si>
  <si>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</si>
  <si>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</si>
  <si>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</si>
  <si>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</si>
  <si>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</si>
  <si>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</si>
  <si>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</si>
  <si>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</si>
  <si>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</si>
  <si>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</si>
  <si>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</si>
  <si>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</si>
  <si>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</si>
  <si>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</si>
  <si>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</si>
  <si>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</si>
  <si>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</si>
  <si>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</si>
  <si>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</si>
  <si>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</si>
  <si>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</si>
  <si>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</si>
  <si>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</si>
  <si>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</si>
  <si>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</si>
  <si>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</si>
  <si>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</si>
  <si>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</si>
  <si>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</si>
  <si>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</si>
  <si>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</si>
  <si>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</si>
  <si>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</si>
  <si>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</si>
  <si>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</si>
  <si>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</si>
  <si>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</si>
  <si>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</si>
  <si>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</si>
  <si>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</si>
  <si>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</si>
  <si>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</si>
  <si>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</si>
  <si>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</si>
  <si>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</si>
  <si>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</si>
  <si>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</si>
  <si>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</si>
  <si>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</si>
  <si>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</si>
  <si>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</si>
  <si>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</si>
  <si>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</si>
  <si>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</si>
  <si>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</si>
  <si>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</si>
  <si>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</si>
  <si>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</si>
  <si>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</si>
  <si>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</si>
  <si>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</si>
  <si>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</si>
  <si>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</si>
  <si>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</si>
  <si>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</si>
  <si>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</si>
  <si>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</si>
  <si>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</si>
  <si>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</si>
  <si>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</si>
  <si>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</si>
  <si>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</si>
  <si>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</si>
  <si>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</si>
  <si>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</si>
  <si>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</si>
  <si>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</si>
  <si>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</si>
  <si>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</si>
  <si>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</si>
  <si>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</si>
  <si>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</si>
  <si>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</si>
  <si>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</si>
  <si>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</si>
  <si>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</si>
  <si>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</si>
  <si>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</si>
  <si>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</si>
  <si>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</si>
  <si>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</si>
  <si>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</si>
  <si>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</si>
  <si>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</si>
  <si>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</si>
  <si>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</si>
  <si>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</si>
  <si>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</si>
  <si>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</si>
  <si>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</si>
  <si>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</si>
  <si>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</si>
  <si>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</si>
  <si>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</si>
  <si>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</si>
  <si>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</si>
  <si>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</si>
  <si>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</si>
  <si>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</si>
  <si>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</si>
  <si>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</si>
  <si>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</si>
  <si>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</si>
  <si>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</si>
  <si>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</si>
  <si>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</si>
  <si>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</si>
  <si>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</si>
  <si>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</si>
  <si>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</si>
  <si>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</si>
  <si>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</si>
  <si>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</si>
  <si>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</si>
  <si>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</si>
  <si>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</si>
  <si>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</si>
  <si>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</si>
  <si>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</si>
  <si>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</si>
  <si>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</si>
  <si>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</si>
  <si>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</si>
  <si>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</si>
  <si>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</si>
  <si>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</si>
  <si>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</si>
  <si>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</si>
  <si>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</si>
  <si>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</si>
  <si>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</si>
  <si>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</si>
  <si>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</si>
  <si>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</si>
  <si>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</si>
  <si>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</si>
  <si>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</si>
  <si>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</si>
  <si>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</si>
  <si>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</si>
  <si>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</si>
  <si>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</si>
  <si>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</si>
  <si>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</si>
  <si>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</si>
  <si>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</si>
  <si>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</si>
  <si>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</si>
  <si>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</si>
  <si>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</si>
  <si>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</si>
  <si>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</si>
  <si>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</si>
  <si>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</si>
  <si>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</si>
  <si>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</si>
  <si>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</si>
  <si>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</si>
  <si>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</si>
  <si>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</si>
  <si>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</si>
  <si>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</si>
  <si>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</si>
  <si>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</si>
  <si>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</si>
  <si>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</si>
  <si>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</si>
  <si>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</si>
  <si>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</si>
  <si>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</si>
  <si>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</si>
  <si>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</si>
  <si>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</si>
  <si>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</si>
  <si>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</si>
  <si>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</si>
  <si>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</si>
  <si>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</si>
  <si>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</si>
  <si>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</si>
  <si>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</si>
  <si>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</si>
  <si>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</si>
  <si>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</si>
  <si>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</si>
  <si>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</si>
  <si>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</si>
  <si>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</si>
  <si>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</si>
  <si>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</si>
  <si>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</si>
  <si>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</si>
  <si>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</si>
  <si>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</si>
  <si>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</si>
  <si>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</si>
  <si>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</si>
  <si>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</si>
  <si>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</si>
  <si>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</si>
  <si>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</si>
  <si>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</si>
  <si>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</si>
  <si>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</si>
  <si>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</si>
  <si>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</si>
  <si>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</si>
  <si>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</si>
  <si>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</si>
  <si>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</si>
  <si>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</si>
  <si>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</si>
  <si>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</si>
  <si>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</si>
  <si>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</si>
  <si>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</si>
  <si>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</si>
  <si>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</si>
  <si>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</si>
  <si>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</si>
  <si>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</si>
  <si>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</si>
  <si>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</si>
  <si>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</si>
  <si>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</si>
  <si>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</si>
  <si>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</si>
  <si>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</si>
  <si>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</si>
  <si>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</si>
  <si>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</si>
  <si>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</si>
  <si>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</si>
  <si>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</si>
  <si>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</si>
  <si>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</si>
  <si>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</si>
  <si>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</si>
  <si>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</si>
  <si>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</si>
  <si>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</si>
  <si>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</si>
  <si>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</si>
  <si>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</si>
  <si>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</si>
  <si>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</si>
  <si>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</si>
  <si>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</si>
  <si>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</si>
  <si>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</si>
  <si>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</si>
  <si>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</si>
  <si>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</si>
  <si>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</si>
  <si>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</si>
  <si>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</si>
  <si>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</si>
  <si>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</si>
  <si>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</si>
  <si>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</si>
  <si>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</si>
  <si>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</si>
  <si>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</si>
  <si>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</si>
  <si>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</si>
  <si>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</si>
  <si>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</si>
  <si>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</si>
  <si>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</si>
  <si>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</si>
  <si>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</si>
  <si>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</si>
  <si>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</si>
  <si>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</si>
  <si>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</si>
  <si>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</si>
  <si>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</si>
  <si>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</si>
  <si>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</si>
  <si>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</si>
  <si>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</si>
  <si>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</si>
  <si>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</si>
  <si>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</si>
  <si>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</si>
  <si>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</si>
  <si>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</si>
  <si>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</si>
  <si>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</si>
  <si>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</si>
  <si>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</si>
  <si>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</si>
  <si>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</si>
  <si>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</si>
  <si>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</si>
  <si>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</si>
  <si>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</si>
  <si>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</si>
  <si>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</si>
  <si>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</si>
  <si>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</si>
  <si>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</si>
  <si>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</si>
  <si>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</si>
  <si>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</si>
  <si>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</si>
  <si>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</si>
  <si>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</si>
  <si>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</si>
  <si>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</si>
  <si>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</si>
  <si>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</si>
  <si>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</si>
  <si>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</si>
  <si>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</si>
  <si>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</si>
  <si>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</si>
  <si>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</si>
  <si>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</si>
  <si>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</si>
  <si>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</si>
  <si>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</si>
  <si>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</si>
  <si>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</si>
  <si>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</si>
  <si>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</si>
  <si>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</si>
  <si>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</si>
  <si>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</si>
  <si>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</si>
  <si>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</si>
  <si>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</si>
  <si>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</si>
  <si>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</si>
  <si>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</si>
  <si>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</si>
  <si>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</si>
  <si>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</si>
  <si>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</si>
  <si>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</si>
  <si>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</si>
  <si>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</si>
  <si>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</si>
  <si>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</si>
  <si>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</si>
  <si>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</si>
  <si>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</si>
  <si>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</si>
  <si>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</si>
  <si>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</si>
  <si>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</si>
  <si>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</si>
  <si>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</si>
  <si>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</si>
  <si>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</si>
  <si>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</si>
  <si>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</si>
  <si>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</si>
  <si>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</si>
  <si>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</si>
  <si>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</si>
  <si>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</si>
  <si>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</si>
  <si>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</si>
  <si>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</si>
  <si>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</si>
  <si>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</si>
  <si>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</si>
  <si>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</si>
  <si>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</si>
  <si>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</si>
  <si>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</si>
  <si>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</si>
  <si>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</si>
  <si>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</si>
  <si>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</si>
  <si>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</si>
  <si>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</si>
  <si>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</si>
  <si>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</si>
  <si>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</si>
  <si>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</si>
  <si>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</si>
  <si>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</si>
  <si>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</si>
  <si>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</si>
  <si>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</si>
  <si>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</si>
  <si>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</si>
  <si>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</si>
  <si>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</si>
  <si>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</si>
  <si>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</si>
  <si>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</si>
  <si>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</si>
  <si>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</si>
  <si>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</si>
  <si>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</si>
  <si>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</si>
  <si>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</si>
  <si>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</si>
  <si>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</si>
  <si>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</si>
  <si>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</si>
  <si>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</si>
  <si>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</si>
  <si>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</si>
  <si>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</si>
  <si>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</si>
  <si>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</si>
  <si>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</si>
  <si>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</si>
  <si>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</si>
  <si>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</si>
  <si>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</si>
  <si>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</si>
  <si>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</si>
  <si>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</si>
  <si>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</si>
  <si>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</si>
  <si>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</si>
  <si>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</si>
  <si>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</si>
  <si>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</si>
  <si>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</si>
  <si>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</si>
  <si>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</si>
  <si>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</si>
  <si>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</si>
  <si>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</si>
  <si>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</si>
  <si>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</si>
  <si>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</si>
  <si>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</si>
  <si>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</si>
  <si>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</si>
  <si>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</si>
  <si>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</si>
  <si>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</si>
  <si>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</si>
  <si>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</si>
  <si>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</si>
  <si>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</si>
  <si>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</si>
  <si>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</si>
  <si>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</si>
  <si>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</si>
  <si>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</si>
  <si>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</si>
  <si>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</si>
  <si>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</si>
  <si>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</si>
  <si>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</si>
  <si>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</si>
  <si>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</si>
  <si>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</si>
  <si>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</si>
  <si>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</si>
  <si>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</si>
  <si>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</si>
  <si>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</si>
  <si>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</si>
  <si>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</si>
  <si>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</si>
  <si>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</si>
  <si>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</si>
  <si>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</si>
  <si>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</si>
  <si>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</si>
  <si>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</si>
  <si>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</si>
  <si>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</si>
  <si>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</si>
  <si>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</si>
  <si>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</si>
  <si>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</si>
  <si>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</si>
  <si>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</si>
  <si>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</si>
  <si>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</si>
  <si>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</si>
  <si>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</si>
  <si>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</si>
  <si>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</si>
  <si>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</si>
  <si>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</si>
  <si>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</si>
  <si>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</si>
  <si>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</si>
  <si>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</si>
  <si>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</si>
  <si>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</si>
  <si>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</si>
  <si>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</si>
  <si>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</si>
  <si>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</si>
  <si>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</si>
  <si>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</si>
  <si>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</si>
  <si>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</si>
  <si>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</si>
  <si>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</si>
  <si>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</si>
  <si>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</si>
  <si>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</si>
  <si>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</si>
  <si>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</si>
  <si>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</si>
  <si>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</si>
  <si>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</si>
  <si>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</si>
  <si>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</si>
  <si>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</si>
  <si>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</si>
  <si>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</si>
  <si>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</si>
  <si>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</si>
  <si>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</si>
  <si>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</si>
  <si>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</si>
  <si>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</si>
  <si>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</si>
  <si>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</si>
  <si>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</si>
  <si>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</si>
  <si>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</si>
  <si>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</si>
  <si>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</si>
  <si>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</si>
  <si>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</si>
  <si>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</si>
  <si>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</si>
  <si>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</si>
  <si>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</si>
  <si>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</si>
  <si>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</si>
  <si>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</si>
  <si>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</si>
  <si>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</si>
  <si>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</si>
  <si>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</si>
  <si>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</si>
  <si>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</si>
  <si>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</si>
  <si>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</si>
  <si>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</si>
  <si>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</si>
  <si>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</si>
  <si>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</si>
  <si>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</si>
  <si>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</si>
  <si>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</si>
  <si>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</si>
  <si>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</si>
  <si>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</si>
  <si>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</si>
  <si>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</si>
  <si>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</si>
  <si>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</si>
  <si>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</si>
  <si>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</si>
  <si>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</si>
  <si>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</si>
  <si>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</si>
  <si>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</si>
  <si>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</si>
  <si>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</si>
  <si>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</si>
  <si>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</si>
  <si>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</si>
  <si>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</si>
  <si>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</si>
  <si>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</si>
  <si>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</si>
  <si>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</si>
  <si>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</si>
  <si>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</si>
  <si>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</si>
  <si>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</si>
  <si>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</si>
  <si>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</si>
  <si>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</si>
  <si>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</si>
  <si>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</si>
  <si>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</si>
  <si>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</si>
  <si>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</si>
  <si>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</si>
  <si>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</si>
  <si>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</si>
  <si>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</si>
  <si>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</si>
  <si>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</si>
  <si>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</si>
  <si>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</si>
  <si>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</si>
  <si>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</si>
  <si>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</si>
  <si>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</si>
  <si>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</si>
  <si>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</si>
  <si>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</si>
  <si>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</si>
  <si>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</si>
  <si>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</si>
  <si>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</si>
  <si>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</si>
  <si>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</si>
  <si>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</si>
  <si>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</si>
  <si>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</si>
  <si>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</si>
  <si>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</si>
  <si>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</si>
  <si>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</si>
  <si>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</si>
  <si>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</si>
  <si>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</si>
  <si>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</si>
  <si>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</si>
  <si>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</si>
  <si>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</si>
  <si>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</si>
  <si>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</si>
  <si>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</si>
  <si>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</si>
  <si>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</si>
  <si>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</si>
  <si>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</si>
  <si>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</si>
  <si>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</si>
  <si>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</si>
  <si>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</si>
  <si>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</si>
  <si>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</si>
  <si>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</si>
  <si>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</si>
  <si>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</si>
  <si>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</si>
  <si>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</si>
  <si>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</si>
  <si>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</si>
  <si>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</si>
  <si>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</si>
  <si>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</si>
  <si>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</si>
  <si>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</si>
  <si>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</si>
  <si>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</si>
  <si>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</si>
  <si>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</si>
  <si>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</si>
  <si>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</si>
  <si>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</si>
  <si>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</si>
  <si>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</si>
  <si>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</si>
  <si>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</si>
  <si>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</si>
  <si>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</si>
  <si>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</si>
  <si>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</si>
  <si>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</si>
  <si>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</si>
  <si>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</si>
  <si>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</si>
  <si>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</si>
  <si>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</si>
  <si>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</si>
  <si>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</si>
  <si>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</si>
  <si>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</si>
  <si>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</si>
  <si>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</si>
  <si>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</si>
  <si>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</si>
  <si>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</si>
  <si>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</si>
  <si>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</si>
  <si>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</si>
  <si>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</si>
  <si>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</si>
  <si>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</si>
  <si>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</si>
  <si>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</si>
  <si>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</si>
  <si>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</si>
  <si>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</si>
  <si>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</si>
  <si>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</si>
  <si>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</si>
  <si>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</si>
  <si>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</si>
  <si>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</si>
  <si>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</si>
  <si>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</si>
  <si>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</si>
  <si>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</si>
  <si>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</si>
  <si>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</si>
  <si>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</si>
  <si>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</si>
  <si>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</si>
  <si>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</si>
  <si>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</si>
  <si>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</si>
  <si>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</si>
  <si>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</si>
  <si>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</si>
  <si>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</si>
  <si>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</si>
  <si>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</si>
  <si>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</si>
  <si>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</si>
  <si>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</si>
  <si>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</si>
  <si>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</si>
  <si>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</si>
  <si>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</si>
  <si>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</si>
  <si>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</si>
  <si>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</si>
  <si>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</si>
  <si>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</si>
  <si>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</si>
  <si>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</si>
  <si>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</si>
  <si>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</si>
  <si>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</si>
  <si>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</si>
  <si>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</si>
  <si>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</si>
  <si>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</si>
  <si>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</si>
  <si>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</si>
  <si>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</si>
  <si>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</si>
  <si>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</si>
  <si>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</si>
  <si>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</si>
  <si>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</si>
  <si>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</si>
  <si>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</si>
  <si>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</si>
  <si>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</si>
  <si>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</si>
  <si>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</si>
  <si>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</si>
  <si>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</si>
  <si>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</si>
  <si>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</si>
  <si>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</si>
  <si>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</si>
  <si>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</si>
  <si>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</si>
  <si>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</si>
  <si>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</si>
  <si>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</si>
  <si>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</si>
  <si>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</si>
  <si>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</si>
  <si>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</si>
  <si>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</si>
  <si>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</si>
  <si>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</si>
  <si>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</si>
  <si>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</si>
  <si>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</si>
  <si>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</si>
  <si>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</si>
  <si>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</si>
  <si>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</si>
  <si>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</si>
  <si>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</si>
  <si>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</si>
  <si>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</si>
  <si>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</si>
  <si>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</si>
  <si>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</si>
  <si>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</si>
  <si>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</si>
  <si>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</si>
  <si>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</si>
  <si>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</si>
  <si>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</si>
  <si>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</si>
  <si>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</si>
  <si>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</si>
  <si>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</si>
  <si>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</si>
  <si>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</si>
  <si>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</si>
  <si>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</si>
  <si>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</si>
  <si>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</si>
  <si>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</si>
  <si>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</si>
  <si>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</si>
  <si>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</si>
  <si>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</si>
  <si>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</si>
  <si>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</si>
  <si>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</si>
  <si>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</si>
  <si>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</si>
  <si>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</si>
  <si>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</si>
  <si>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</si>
  <si>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</si>
  <si>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</si>
  <si>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</si>
  <si>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</si>
  <si>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</si>
  <si>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</si>
  <si>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</si>
  <si>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</si>
  <si>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</si>
  <si>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</si>
  <si>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</si>
  <si>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</si>
  <si>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</si>
  <si>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</si>
  <si>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</si>
  <si>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</si>
  <si>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</si>
  <si>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</si>
  <si>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</si>
  <si>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</si>
  <si>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</si>
  <si>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</si>
  <si>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</si>
  <si>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</si>
  <si>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</si>
  <si>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</si>
  <si>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</si>
  <si>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</si>
  <si>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</si>
  <si>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</si>
  <si>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</si>
  <si>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</si>
  <si>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</si>
  <si>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</si>
  <si>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</si>
  <si>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</si>
  <si>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</si>
  <si>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</si>
  <si>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</si>
  <si>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</si>
  <si>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</si>
  <si>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</si>
  <si>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</si>
  <si>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</si>
  <si>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</si>
  <si>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</si>
  <si>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</si>
  <si>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</si>
  <si>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</si>
  <si>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</si>
  <si>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</si>
  <si>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</si>
  <si>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</si>
  <si>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</si>
  <si>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</si>
  <si>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</si>
  <si>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</si>
  <si>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</si>
  <si>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</si>
  <si>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</si>
  <si>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</si>
  <si>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</si>
  <si>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</si>
  <si>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</si>
  <si>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</si>
  <si>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</si>
  <si>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</si>
  <si>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</si>
  <si>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</si>
  <si>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</si>
  <si>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</si>
  <si>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</si>
  <si>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</si>
  <si>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</si>
  <si>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</si>
  <si>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</si>
  <si>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</si>
  <si>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</si>
  <si>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</si>
  <si>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</si>
  <si>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</si>
  <si>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</si>
  <si>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</si>
  <si>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</si>
  <si>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</si>
  <si>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</si>
  <si>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</si>
  <si>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</si>
  <si>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</si>
  <si>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</si>
  <si>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</si>
  <si>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</si>
  <si>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</si>
  <si>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</si>
  <si>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</si>
  <si>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</si>
  <si>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</si>
  <si>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</si>
  <si>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</si>
  <si>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</si>
  <si>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</si>
  <si>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</si>
  <si>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</si>
  <si>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</si>
  <si>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</si>
  <si>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</si>
  <si>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</si>
  <si>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</si>
  <si>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</si>
  <si>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</si>
  <si>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</si>
  <si>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</si>
  <si>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</si>
  <si>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</si>
  <si>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</si>
  <si>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</si>
  <si>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</si>
  <si>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</si>
  <si>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</si>
  <si>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</si>
  <si>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</si>
  <si>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</si>
  <si>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</si>
  <si>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</si>
  <si>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</si>
  <si>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</si>
  <si>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</si>
  <si>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</si>
  <si>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</si>
  <si>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</si>
  <si>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</si>
  <si>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</si>
  <si>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</si>
  <si>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</si>
  <si>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</si>
  <si>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</si>
  <si>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</si>
  <si>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</si>
  <si>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</si>
  <si>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</si>
  <si>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</si>
  <si>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</si>
  <si>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</si>
  <si>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</si>
  <si>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</si>
  <si>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</si>
  <si>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</si>
  <si>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</si>
  <si>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</si>
  <si>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</si>
  <si>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</si>
  <si>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</si>
  <si>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</si>
  <si>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</si>
  <si>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</si>
  <si>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</si>
  <si>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</si>
  <si>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</si>
  <si>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</si>
  <si>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</si>
  <si>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</si>
  <si>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</si>
  <si>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</si>
  <si>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</si>
  <si>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</si>
  <si>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</si>
  <si>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</si>
  <si>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</si>
  <si>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</si>
  <si>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</si>
  <si>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</si>
  <si>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</si>
  <si>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</si>
  <si>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</si>
  <si>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</si>
  <si>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</si>
  <si>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</si>
  <si>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</si>
  <si>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</si>
  <si>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</si>
  <si>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</si>
  <si>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</si>
  <si>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</si>
  <si>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</si>
  <si>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</si>
  <si>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</si>
  <si>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</si>
  <si>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</si>
  <si>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</si>
  <si>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</si>
  <si>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</si>
  <si>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</si>
  <si>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</si>
  <si>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</si>
  <si>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</si>
  <si>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</si>
  <si>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</si>
  <si>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</si>
  <si>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</si>
  <si>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</si>
  <si>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</si>
  <si>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</si>
  <si>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</si>
  <si>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</si>
  <si>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</si>
  <si>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</si>
  <si>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</si>
  <si>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</si>
  <si>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</si>
  <si>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</si>
  <si>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</si>
  <si>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</si>
  <si>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</si>
  <si>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</si>
  <si>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</si>
  <si>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</si>
  <si>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</si>
  <si>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</si>
  <si>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</si>
  <si>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</si>
  <si>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</si>
  <si>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</si>
  <si>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</si>
  <si>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</si>
  <si>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</si>
  <si>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</si>
  <si>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</si>
  <si>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</si>
  <si>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</si>
  <si>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</si>
  <si>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</si>
  <si>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</si>
  <si>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</si>
  <si>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</si>
  <si>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</si>
  <si>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</si>
  <si>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</si>
  <si>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</si>
  <si>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</si>
  <si>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</si>
  <si>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</si>
  <si>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</si>
  <si>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</si>
  <si>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</si>
  <si>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</si>
  <si>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</si>
  <si>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</si>
  <si>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</si>
  <si>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</si>
  <si>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</si>
  <si>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</si>
  <si>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</si>
  <si>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</si>
  <si>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</si>
  <si>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</si>
  <si>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</si>
  <si>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</si>
  <si>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</si>
  <si>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</si>
  <si>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</si>
  <si>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</si>
  <si>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</si>
  <si>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</si>
  <si>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</si>
  <si>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</si>
  <si>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</si>
  <si>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</si>
  <si>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</si>
  <si>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</si>
  <si>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</si>
  <si>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</si>
  <si>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</si>
  <si>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</si>
  <si>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</si>
  <si>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</si>
  <si>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</si>
  <si>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</si>
  <si>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</si>
  <si>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</si>
  <si>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</si>
  <si>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</si>
  <si>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</si>
  <si>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</si>
  <si>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</si>
  <si>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</si>
  <si>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</si>
  <si>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</si>
  <si>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</si>
  <si>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</si>
  <si>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</si>
  <si>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</si>
  <si>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</si>
  <si>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</si>
  <si>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</si>
  <si>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</si>
  <si>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</si>
  <si>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</si>
  <si>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</si>
  <si>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</si>
  <si>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</si>
  <si>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</si>
  <si>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</si>
  <si>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</si>
  <si>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</si>
  <si>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</si>
  <si>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</si>
  <si>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</si>
  <si>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</si>
  <si>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</si>
  <si>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</si>
  <si>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</si>
  <si>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</si>
  <si>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</si>
  <si>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</si>
  <si>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</si>
  <si>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</si>
  <si>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</si>
  <si>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</si>
  <si>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</si>
  <si>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</si>
  <si>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</si>
  <si>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</si>
  <si>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</si>
  <si>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</si>
  <si>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</si>
  <si>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</si>
  <si>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</si>
  <si>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</si>
  <si>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</si>
  <si>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</si>
  <si>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</si>
  <si>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</si>
  <si>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</si>
  <si>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</si>
  <si>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</si>
  <si>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</si>
  <si>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</si>
  <si>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</si>
  <si>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</si>
  <si>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</si>
  <si>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</si>
  <si>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</si>
  <si>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</si>
  <si>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</si>
  <si>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</si>
  <si>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</si>
  <si>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</si>
  <si>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</si>
  <si>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</si>
  <si>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</si>
  <si>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</si>
  <si>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</si>
  <si>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</si>
  <si>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</si>
  <si>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</si>
  <si>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</si>
  <si>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</si>
  <si>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</si>
  <si>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</si>
  <si>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</si>
  <si>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</si>
  <si>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</si>
  <si>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</si>
  <si>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</si>
  <si>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</si>
  <si>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</si>
  <si>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</si>
  <si>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</si>
  <si>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</si>
  <si>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</si>
  <si>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</si>
  <si>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</si>
  <si>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</si>
  <si>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</si>
  <si>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</si>
  <si>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</si>
  <si>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</si>
  <si>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</si>
  <si>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</si>
  <si>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</si>
  <si>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</si>
  <si>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</si>
  <si>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</si>
  <si>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</si>
  <si>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</si>
  <si>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</si>
  <si>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</si>
  <si>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</si>
  <si>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</si>
  <si>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</si>
  <si>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</si>
  <si>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</si>
  <si>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</si>
  <si>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</si>
  <si>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</si>
  <si>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</si>
  <si>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</si>
  <si>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</si>
  <si>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</si>
  <si>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</si>
  <si>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</si>
  <si>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</si>
  <si>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</si>
  <si>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</si>
  <si>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</si>
  <si>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</si>
  <si>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</si>
  <si>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</si>
  <si>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</si>
  <si>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</si>
  <si>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</si>
  <si>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</si>
  <si>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</si>
  <si>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</si>
  <si>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</si>
  <si>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</si>
  <si>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</si>
  <si>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</si>
  <si>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</si>
  <si>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</si>
  <si>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</si>
  <si>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</si>
  <si>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</si>
  <si>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</si>
  <si>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</si>
  <si>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</si>
  <si>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</si>
  <si>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</si>
  <si>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</si>
  <si>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</si>
  <si>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</si>
  <si>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</si>
  <si>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</si>
  <si>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</si>
  <si>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</si>
  <si>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</si>
  <si>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</si>
  <si>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</si>
  <si>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</si>
  <si>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</si>
  <si>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</si>
  <si>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</si>
  <si>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</si>
  <si>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</si>
  <si>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</si>
  <si>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</si>
  <si>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</si>
  <si>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</si>
  <si>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</si>
  <si>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</si>
  <si>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</si>
  <si>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</si>
  <si>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</si>
  <si>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</si>
  <si>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</si>
  <si>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</si>
  <si>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</si>
  <si>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</si>
  <si>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</si>
  <si>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</si>
  <si>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</si>
  <si>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</si>
  <si>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</si>
  <si>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</si>
  <si>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</si>
  <si>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</si>
  <si>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</si>
  <si>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</si>
  <si>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</si>
  <si>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</si>
  <si>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</si>
  <si>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</si>
  <si>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</si>
  <si>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</si>
  <si>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</si>
  <si>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</si>
  <si>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</si>
  <si>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</si>
  <si>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</si>
  <si>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</si>
  <si>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</si>
  <si>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</si>
  <si>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</si>
  <si>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</si>
  <si>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</si>
  <si>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</si>
  <si>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</si>
  <si>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</si>
  <si>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</si>
  <si>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</si>
  <si>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</si>
  <si>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</si>
  <si>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</si>
  <si>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</si>
  <si>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</si>
  <si>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</si>
  <si>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</si>
  <si>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</si>
  <si>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</si>
  <si>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</si>
  <si>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</si>
  <si>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</si>
  <si>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</si>
  <si>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</si>
  <si>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</si>
  <si>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</si>
  <si>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</si>
  <si>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</si>
  <si>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</si>
  <si>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</si>
  <si>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</si>
  <si>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</si>
  <si>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</si>
  <si>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</si>
  <si>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</si>
  <si>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</si>
  <si>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</si>
  <si>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</si>
  <si>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</si>
  <si>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</si>
  <si>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</si>
  <si>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</si>
  <si>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</si>
  <si>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</si>
  <si>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</si>
  <si>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</si>
  <si>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</si>
  <si>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</si>
  <si>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</si>
  <si>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</si>
  <si>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</si>
  <si>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</si>
  <si>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</si>
  <si>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</si>
  <si>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</si>
  <si>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</si>
  <si>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</si>
  <si>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</si>
  <si>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</si>
  <si>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</si>
  <si>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</si>
  <si>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</si>
  <si>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</si>
  <si>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</si>
  <si>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</si>
  <si>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</si>
  <si>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</si>
  <si>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</si>
  <si>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</si>
  <si>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</si>
  <si>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</si>
  <si>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</si>
  <si>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</si>
  <si>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</si>
  <si>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</si>
  <si>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</si>
  <si>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</si>
  <si>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</si>
  <si>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</si>
  <si>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</si>
  <si>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</si>
  <si>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</si>
  <si>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</si>
  <si>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</si>
  <si>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</si>
  <si>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</si>
  <si>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</si>
  <si>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</si>
  <si>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</si>
  <si>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</si>
  <si>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</si>
  <si>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</si>
  <si>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</si>
  <si>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</si>
  <si>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</si>
  <si>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</si>
  <si>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</si>
  <si>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</si>
  <si>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</si>
  <si>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</si>
  <si>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</si>
  <si>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</si>
  <si>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</si>
  <si>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</si>
  <si>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</si>
  <si>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</si>
  <si>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</si>
  <si>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</si>
  <si>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</si>
  <si>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</si>
  <si>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</si>
  <si>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</si>
  <si>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</si>
  <si>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</si>
  <si>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</si>
  <si>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</si>
  <si>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</si>
  <si>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</si>
  <si>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</si>
  <si>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</si>
  <si>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</si>
  <si>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</si>
  <si>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</si>
  <si>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</si>
  <si>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</si>
  <si>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</si>
  <si>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</si>
  <si>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</si>
  <si>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</si>
  <si>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</si>
  <si>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</si>
  <si>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</si>
  <si>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</si>
  <si>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</si>
  <si>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</si>
  <si>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</si>
  <si>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</si>
  <si>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</si>
  <si>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</si>
  <si>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</si>
  <si>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</si>
  <si>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</si>
  <si>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</si>
  <si>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</si>
  <si>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</si>
  <si>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</si>
  <si>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</si>
  <si>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</si>
  <si>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</si>
  <si>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</si>
  <si>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</si>
  <si>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</si>
  <si>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</si>
  <si>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</si>
  <si>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</si>
  <si>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</si>
  <si>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</si>
  <si>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</si>
  <si>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</si>
  <si>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</si>
  <si>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</si>
  <si>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</si>
  <si>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</si>
  <si>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</si>
  <si>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</si>
  <si>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</si>
  <si>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</si>
  <si>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</si>
  <si>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</si>
  <si>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</si>
  <si>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</si>
  <si>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</si>
  <si>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</si>
  <si>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</si>
  <si>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</si>
  <si>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</si>
  <si>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</si>
  <si>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</si>
  <si>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</si>
  <si>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</si>
  <si>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</si>
  <si>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</si>
  <si>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</si>
  <si>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</si>
  <si>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</si>
  <si>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</si>
  <si>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</si>
  <si>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</si>
  <si>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</si>
  <si>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</si>
  <si>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</si>
  <si>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</si>
  <si>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</si>
  <si>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</si>
  <si>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</si>
  <si>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</si>
  <si>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</si>
  <si>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</si>
  <si>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</si>
  <si>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</si>
  <si>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</si>
  <si>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</si>
  <si>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</si>
  <si>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</si>
  <si>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</si>
  <si>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</si>
  <si>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</si>
  <si>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</si>
  <si>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</si>
  <si>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</si>
  <si>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</si>
  <si>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</si>
  <si>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</si>
  <si>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</si>
  <si>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</si>
  <si>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</si>
  <si>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</si>
  <si>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</si>
  <si>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</si>
  <si>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</si>
  <si>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</si>
  <si>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</si>
  <si>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</si>
  <si>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</si>
  <si>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</si>
  <si>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</si>
  <si>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</si>
  <si>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</si>
  <si>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</si>
  <si>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</si>
  <si>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</si>
  <si>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</si>
  <si>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</si>
  <si>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</si>
  <si>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</si>
  <si>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</si>
  <si>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吴薇</t>
  </si>
  <si>
    <t>郑燚</t>
  </si>
  <si>
    <t>中国建设银行股份有限公司北京城建支行</t>
    <phoneticPr fontId="6" type="noConversion"/>
  </si>
  <si>
    <t>北京和信金泰房地产开发有限公司</t>
    <phoneticPr fontId="6" type="noConversion"/>
  </si>
  <si>
    <t>抵押</t>
  </si>
  <si>
    <t>房地产抵押价值</t>
  </si>
  <si>
    <t>北京市</t>
  </si>
  <si>
    <r>
      <rPr>
        <sz val="10"/>
        <color theme="9" tint="-0.249977111117893"/>
        <rFont val="宋体"/>
        <family val="3"/>
        <charset val="134"/>
      </rPr>
      <t>大兴区旧宫镇</t>
    </r>
    <r>
      <rPr>
        <sz val="10"/>
        <color theme="9" tint="-0.249977111117893"/>
        <rFont val="Arial"/>
        <family val="2"/>
      </rPr>
      <t>DX07-0201-0006</t>
    </r>
    <r>
      <rPr>
        <sz val="10"/>
        <color theme="9" tint="-0.249977111117893"/>
        <rFont val="宋体"/>
        <family val="3"/>
        <charset val="134"/>
      </rPr>
      <t>、</t>
    </r>
    <r>
      <rPr>
        <sz val="10"/>
        <color theme="9" tint="-0.249977111117893"/>
        <rFont val="Arial"/>
        <family val="2"/>
      </rPr>
      <t>0007</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二类居住用地住宅（自持）用房房地产</t>
    </r>
    <phoneticPr fontId="6" type="noConversion"/>
  </si>
  <si>
    <t>出让</t>
  </si>
  <si>
    <t>否</t>
  </si>
  <si>
    <t>复印件</t>
  </si>
  <si>
    <t>住宅、地下车库、地下仓储</t>
    <phoneticPr fontId="6" type="noConversion"/>
  </si>
  <si>
    <t>居住项目</t>
  </si>
  <si>
    <t>通路</t>
  </si>
  <si>
    <t>通电</t>
  </si>
  <si>
    <t>通讯</t>
  </si>
  <si>
    <t>通上水</t>
  </si>
  <si>
    <t>通下水</t>
  </si>
  <si>
    <t>通热</t>
  </si>
  <si>
    <t>燃气</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</si>
  <si>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</si>
  <si>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</si>
  <si>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</si>
  <si>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</si>
  <si>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</si>
  <si>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</si>
  <si>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</si>
  <si>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</si>
  <si>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</si>
  <si>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</si>
  <si>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</si>
  <si>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</si>
  <si>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</si>
  <si>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</si>
  <si>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</si>
  <si>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</si>
  <si>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</si>
  <si>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</si>
  <si>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</si>
  <si>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</si>
  <si>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</si>
  <si>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</si>
  <si>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</si>
  <si>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</si>
  <si>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</si>
  <si>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</si>
  <si>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</si>
  <si>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</si>
  <si>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</si>
  <si>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</si>
  <si>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</si>
  <si>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</si>
  <si>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</si>
  <si>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</si>
  <si>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</si>
  <si>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</si>
  <si>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</si>
  <si>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</si>
  <si>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</si>
  <si>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</si>
  <si>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</si>
  <si>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</si>
  <si>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</si>
  <si>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</si>
  <si>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</si>
  <si>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</si>
  <si>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综合用地(含住宅)</t>
  </si>
  <si>
    <t>大兴区</t>
  </si>
  <si>
    <t>瀛海</t>
  </si>
  <si>
    <t>挂牌</t>
  </si>
  <si>
    <t>未开工</t>
  </si>
  <si>
    <t>已成交</t>
  </si>
  <si>
    <t>居住70年、商业40年、办公50年</t>
  </si>
  <si>
    <t>3星</t>
  </si>
  <si>
    <t>北京市大兴区旧宫镇南郊农场棚户区改造项目DX05-0200-0037、0038、6002等地块R2二类居住用地</t>
  </si>
  <si>
    <t>住宅用地</t>
  </si>
  <si>
    <t>旧宫</t>
  </si>
  <si>
    <t>大兴区旧宫镇</t>
  </si>
  <si>
    <t>京土整储挂(开)【2020】056号</t>
  </si>
  <si>
    <t>R2二类居住用地</t>
  </si>
  <si>
    <t>≤2.3</t>
  </si>
  <si>
    <t>限地价,竞自持,报高标准商品住宅建设方案</t>
  </si>
  <si>
    <t>限地价</t>
  </si>
  <si>
    <t>2020-12-23</t>
  </si>
  <si>
    <t>2021-01-12</t>
  </si>
  <si>
    <t>2021-01-26</t>
  </si>
  <si>
    <t>北京盛宏辰悦房地产开发有限公司</t>
  </si>
  <si>
    <t>合生创展集团有限公司</t>
  </si>
  <si>
    <t>4星</t>
  </si>
  <si>
    <t>北京经济技术开发区河西区X46R1、X46R2地块R2二类居住用地、A334托幼用地国有建设用地</t>
  </si>
  <si>
    <t>北京经济技术开发区河西区X46R1、X46R2地块</t>
  </si>
  <si>
    <t>京土整储挂(开)[2020]028号</t>
  </si>
  <si>
    <t>R2二类居住用地、A334托幼用地</t>
  </si>
  <si>
    <t>r2≤2.5,a33≤0.8</t>
  </si>
  <si>
    <t>≤30%</t>
  </si>
  <si>
    <t>R2≤80米,A33≤18米</t>
  </si>
  <si>
    <t>开工中</t>
  </si>
  <si>
    <t>2020-06-30</t>
  </si>
  <si>
    <t>2020-07-20</t>
  </si>
  <si>
    <t>2020-08-03</t>
  </si>
  <si>
    <t>北京中海地产有限公司</t>
  </si>
  <si>
    <t>中国海外发展有限公司</t>
  </si>
  <si>
    <t>2019-12-31</t>
  </si>
  <si>
    <t>2020-02-04</t>
  </si>
  <si>
    <t>2020-02-18</t>
  </si>
  <si>
    <t>北京市大兴区旧宫镇YZ00-0801-0018、0019、0024、0025、0026地块二类居住用地、基础教育用地</t>
  </si>
  <si>
    <t>京土整储挂(兴)[2019]055号</t>
  </si>
  <si>
    <t>二类居住用地、基础教育用地</t>
  </si>
  <si>
    <t>基础教育≤0.8,二类居住≤2.5</t>
  </si>
  <si>
    <t>二类居住≤45米,基础教育≤12米</t>
  </si>
  <si>
    <t>北京昱意房地产开发有限公司</t>
  </si>
  <si>
    <t>保利发展控股集团股份有限公司,绿城中国控股有限公司</t>
  </si>
  <si>
    <t>住宅</t>
    <phoneticPr fontId="3" type="noConversion"/>
  </si>
  <si>
    <t>无</t>
    <phoneticPr fontId="3" type="noConversion"/>
  </si>
  <si>
    <t>自持</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</si>
  <si>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</si>
  <si>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</si>
  <si>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</si>
  <si>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</si>
  <si>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</si>
  <si>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</si>
  <si>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</si>
  <si>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</si>
  <si>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</si>
  <si>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</si>
  <si>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</si>
  <si>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</si>
  <si>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</si>
  <si>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</si>
  <si>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</si>
  <si>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</si>
  <si>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</si>
  <si>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</si>
  <si>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</si>
  <si>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</si>
  <si>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</si>
  <si>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</si>
  <si>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</si>
  <si>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</si>
  <si>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t>
  </si>
  <si>
    <r>
      <t>06</t>
    </r>
    <r>
      <rPr>
        <sz val="10"/>
        <color indexed="8"/>
        <rFont val="宋体"/>
        <family val="3"/>
        <charset val="134"/>
      </rPr>
      <t>地块住宅</t>
    </r>
    <phoneticPr fontId="3" type="noConversion"/>
  </si>
  <si>
    <r>
      <t>07</t>
    </r>
    <r>
      <rPr>
        <sz val="10"/>
        <color indexed="8"/>
        <rFont val="宋体"/>
        <family val="3"/>
        <charset val="134"/>
      </rPr>
      <t>地块住宅</t>
    </r>
    <phoneticPr fontId="3" type="noConversion"/>
  </si>
  <si>
    <t>是</t>
  </si>
  <si>
    <t>地上</t>
  </si>
  <si>
    <t>自持住宅</t>
  </si>
  <si>
    <t>自持住宅</t>
    <phoneticPr fontId="41" type="noConversion"/>
  </si>
  <si>
    <t>地下</t>
  </si>
  <si>
    <t>自持20%</t>
    <phoneticPr fontId="3" type="noConversion"/>
  </si>
  <si>
    <r>
      <rPr>
        <sz val="11"/>
        <color indexed="8"/>
        <rFont val="宋体"/>
        <family val="3"/>
        <charset val="134"/>
      </rPr>
      <t>自持</t>
    </r>
    <r>
      <rPr>
        <sz val="11"/>
        <color indexed="8"/>
        <rFont val="Arial"/>
        <family val="2"/>
      </rPr>
      <t>100%</t>
    </r>
    <phoneticPr fontId="31" type="noConversion"/>
  </si>
  <si>
    <t xml:space="preserve">  </t>
    <phoneticPr fontId="31" type="noConversion"/>
  </si>
  <si>
    <t>无</t>
    <phoneticPr fontId="31" type="noConversion"/>
  </si>
  <si>
    <t>一般</t>
  </si>
  <si>
    <t>估价对象周边居住用地比例较高、居住小区规模和社区发展完善程度，德茂小区、润枫锦尚、有德家苑等住宅项目，综合评价居住社区成熟度较好</t>
    <phoneticPr fontId="3" type="noConversion"/>
  </si>
  <si>
    <t>估价对象所在区域公共配套设施齐备情况一般</t>
    <phoneticPr fontId="3" type="noConversion"/>
  </si>
  <si>
    <t>估价对象所在区域基础设施水平较高</t>
    <phoneticPr fontId="3" type="noConversion"/>
  </si>
  <si>
    <t>区域自然环境：南海子公园、旧宫公园、市民公园；人文环境；综合评价环境状况一般</t>
    <phoneticPr fontId="3"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</si>
  <si>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德贤路</t>
    </r>
    <phoneticPr fontId="3" type="noConversion"/>
  </si>
  <si>
    <t>鹿海园五里、南海家园七里、瑞海园等住宅项目</t>
    <phoneticPr fontId="31" type="noConversion"/>
  </si>
  <si>
    <t>较好</t>
  </si>
  <si>
    <t>七通</t>
  </si>
  <si>
    <t>多面临街</t>
  </si>
  <si>
    <t>次</t>
  </si>
  <si>
    <t>支</t>
  </si>
  <si>
    <t>较规则</t>
  </si>
  <si>
    <t>较适宜</t>
  </si>
  <si>
    <t>六通</t>
  </si>
  <si>
    <t>五通</t>
  </si>
  <si>
    <t>未包含在土地购买价格中</t>
  </si>
  <si>
    <t>全部缴纳</t>
  </si>
  <si>
    <t>已包含在土地取得成本中</t>
  </si>
  <si>
    <t>权重</t>
    <phoneticPr fontId="140" type="noConversion"/>
  </si>
  <si>
    <t>总值</t>
    <phoneticPr fontId="140" type="noConversion"/>
  </si>
  <si>
    <t>结果</t>
    <phoneticPr fontId="140" type="noConversion"/>
  </si>
  <si>
    <t>成本法</t>
    <phoneticPr fontId="140" type="noConversion"/>
  </si>
  <si>
    <t>现金流折现法</t>
    <phoneticPr fontId="140" type="noConversion"/>
  </si>
  <si>
    <r>
      <rPr>
        <b/>
        <sz val="11"/>
        <color indexed="8"/>
        <rFont val="宋体"/>
        <family val="3"/>
        <charset val="134"/>
      </rPr>
      <t>权重结果</t>
    </r>
    <phoneticPr fontId="3" type="noConversion"/>
  </si>
  <si>
    <r>
      <rPr>
        <sz val="11"/>
        <color indexed="8"/>
        <rFont val="宋体"/>
        <family val="3"/>
        <charset val="134"/>
      </rPr>
      <t>总价</t>
    </r>
    <phoneticPr fontId="3" type="noConversion"/>
  </si>
  <si>
    <r>
      <rPr>
        <sz val="10"/>
        <color indexed="8"/>
        <rFont val="宋体"/>
        <family val="3"/>
        <charset val="134"/>
      </rPr>
      <t>万元</t>
    </r>
    <phoneticPr fontId="3" type="noConversion"/>
  </si>
  <si>
    <r>
      <rPr>
        <sz val="11"/>
        <color indexed="8"/>
        <rFont val="宋体"/>
        <family val="3"/>
        <charset val="134"/>
      </rPr>
      <t>楼面单价</t>
    </r>
    <phoneticPr fontId="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</si>
  <si>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3" type="noConversion"/>
  </si>
  <si>
    <r>
      <rPr>
        <sz val="11"/>
        <color indexed="8"/>
        <rFont val="宋体"/>
        <family val="3"/>
        <charset val="134"/>
      </rPr>
      <t>地面单价</t>
    </r>
    <phoneticPr fontId="3" type="noConversion"/>
  </si>
  <si>
    <r>
      <rPr>
        <sz val="10"/>
        <color indexed="8"/>
        <rFont val="宋体"/>
        <family val="3"/>
        <charset val="134"/>
      </rPr>
      <t>含分摊设备建面</t>
    </r>
    <phoneticPr fontId="3" type="noConversion"/>
  </si>
  <si>
    <r>
      <rPr>
        <sz val="10"/>
        <color indexed="8"/>
        <rFont val="宋体"/>
        <family val="3"/>
        <charset val="134"/>
      </rPr>
      <t>用途建面</t>
    </r>
    <phoneticPr fontId="3" type="noConversion"/>
  </si>
  <si>
    <r>
      <rPr>
        <sz val="10"/>
        <color indexed="8"/>
        <rFont val="宋体"/>
        <family val="3"/>
        <charset val="134"/>
      </rPr>
      <t>建筑面积</t>
    </r>
    <phoneticPr fontId="3" type="noConversion"/>
  </si>
  <si>
    <r>
      <rPr>
        <sz val="10"/>
        <color indexed="8"/>
        <rFont val="宋体"/>
        <family val="3"/>
        <charset val="134"/>
      </rPr>
      <t>土地面积</t>
    </r>
    <phoneticPr fontId="3" type="noConversion"/>
  </si>
  <si>
    <t>Ⅶ-亦1</t>
  </si>
  <si>
    <t>北京市大兴区西红门镇B1-05-(3)地块R2二类居住用地</t>
  </si>
  <si>
    <t>西红门</t>
  </si>
  <si>
    <t>大兴区西红门镇</t>
  </si>
  <si>
    <t>京土整储挂(兴)[2020]011号</t>
  </si>
  <si>
    <t>≤2.1</t>
  </si>
  <si>
    <t>≤30米</t>
  </si>
  <si>
    <t>限地价,限房价,竞自持,报高标准商品住宅建设方案,90/70</t>
  </si>
  <si>
    <t>限地价,限房价,90/70</t>
  </si>
  <si>
    <t>2020-03-27</t>
  </si>
  <si>
    <t>2020-04-16</t>
  </si>
  <si>
    <t>2020-04-29</t>
  </si>
  <si>
    <t>北京尚恒龙端商业运营管理有限公司和北京首都开发股份有限公司联合体</t>
  </si>
  <si>
    <t>北京首都开发股份有限公司,龙湖集团控股有限公司</t>
  </si>
  <si>
    <t>北京市大兴区西红门镇B1-05-(2)地块R2二类居住用地、B2-02地块S4社会停车场用地</t>
  </si>
  <si>
    <t>京土整储挂(兴)[2020]010号</t>
  </si>
  <si>
    <t>R2二类居住用地、S4社会停车场用地</t>
  </si>
  <si>
    <t>r2≤2.1</t>
  </si>
  <si>
    <t>北京新城万隆房地产开发有限公司</t>
  </si>
  <si>
    <t>新城发展控股有限公司</t>
  </si>
  <si>
    <t>较差</t>
  </si>
  <si>
    <t>利息：取LPR加浮动点数</t>
  </si>
  <si>
    <t>车库</t>
  </si>
  <si>
    <t>仓储</t>
  </si>
  <si>
    <t>戊类库房</t>
  </si>
  <si>
    <t>自持住宅</t>
    <phoneticPr fontId="7" type="noConversion"/>
  </si>
  <si>
    <t>自持车库</t>
    <phoneticPr fontId="7" type="noConversion"/>
  </si>
  <si>
    <t>自持储藏室</t>
    <phoneticPr fontId="7" type="noConversion"/>
  </si>
  <si>
    <t>含仓储、地下车库</t>
    <phoneticPr fontId="140" type="noConversion"/>
  </si>
  <si>
    <t>成新度</t>
  </si>
  <si>
    <t>扣减装修费用</t>
    <phoneticPr fontId="140" type="noConversion"/>
  </si>
  <si>
    <t>扣减后价值</t>
    <phoneticPr fontId="140" type="noConversion"/>
  </si>
  <si>
    <r>
      <rPr>
        <sz val="10"/>
        <color theme="1"/>
        <rFont val="宋体"/>
        <family val="3"/>
        <charset val="134"/>
      </rPr>
      <t>土地取得税费</t>
    </r>
  </si>
  <si>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</si>
  <si>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</si>
  <si>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</si>
  <si>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</si>
  <si>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</si>
  <si>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</si>
  <si>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rPr>
        <b/>
        <sz val="10"/>
        <color theme="1"/>
        <rFont val="宋体"/>
        <family val="3"/>
        <charset val="134"/>
      </rPr>
      <t>销售税费</t>
    </r>
  </si>
  <si>
    <r>
      <rPr>
        <sz val="10"/>
        <color theme="1"/>
        <rFont val="宋体"/>
        <family val="3"/>
        <charset val="134"/>
      </rPr>
      <t>建安费用</t>
    </r>
  </si>
  <si>
    <r>
      <rPr>
        <sz val="10"/>
        <color theme="1"/>
        <rFont val="宋体"/>
        <family val="3"/>
        <charset val="134"/>
      </rPr>
      <t>勘察设计和前期工程费</t>
    </r>
  </si>
  <si>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</si>
  <si>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</si>
  <si>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</si>
  <si>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</si>
  <si>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相关税费</t>
    </r>
  </si>
  <si>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</si>
  <si>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</si>
  <si>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</si>
  <si>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</si>
  <si>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</si>
  <si>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</si>
  <si>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</si>
  <si>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</si>
  <si>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</si>
  <si>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</si>
  <si>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</si>
  <si>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</si>
  <si>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</si>
  <si>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</si>
  <si>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</si>
  <si>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</si>
  <si>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</si>
  <si>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</si>
  <si>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</si>
  <si>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</si>
  <si>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</si>
  <si>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</si>
  <si>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</si>
  <si>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</si>
  <si>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</si>
  <si>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</si>
  <si>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</si>
  <si>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</si>
  <si>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</si>
  <si>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</si>
  <si>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</si>
  <si>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</si>
  <si>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</si>
  <si>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</si>
  <si>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</si>
  <si>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</si>
  <si>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</si>
  <si>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</si>
  <si>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</si>
  <si>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</si>
  <si>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</si>
  <si>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</si>
  <si>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</si>
  <si>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</si>
  <si>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</si>
  <si>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</si>
  <si>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</si>
  <si>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</si>
  <si>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</si>
  <si>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</si>
  <si>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</si>
  <si>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</si>
  <si>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</si>
  <si>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</si>
  <si>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</si>
  <si>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</si>
  <si>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</si>
  <si>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</si>
  <si>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</si>
  <si>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</si>
  <si>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</si>
  <si>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</si>
  <si>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</si>
  <si>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</si>
  <si>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</si>
  <si>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</si>
  <si>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</si>
  <si>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</si>
  <si>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</si>
  <si>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</si>
  <si>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</si>
  <si>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</si>
  <si>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</si>
  <si>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</si>
  <si>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</si>
  <si>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</si>
  <si>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</si>
  <si>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</si>
  <si>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</si>
  <si>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</si>
  <si>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</si>
  <si>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</si>
  <si>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</si>
  <si>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</si>
  <si>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</si>
  <si>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</si>
  <si>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</si>
  <si>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</si>
  <si>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</si>
  <si>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</si>
  <si>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</si>
  <si>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</si>
  <si>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</si>
  <si>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</si>
  <si>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t>估价对象周边道路状况、公共交通通达情况：341、453、555等公交线路及地铁八号线经过、停车便捷程度较好，综合评价交通便捷度较好</t>
    <phoneticPr fontId="3" type="noConversion"/>
  </si>
  <si>
    <r>
      <t>578</t>
    </r>
    <r>
      <rPr>
        <sz val="11"/>
        <rFont val="宋体"/>
        <family val="3"/>
        <charset val="134"/>
      </rPr>
      <t>、</t>
    </r>
    <r>
      <rPr>
        <sz val="11"/>
        <rFont val="Arial"/>
        <family val="2"/>
      </rPr>
      <t>580</t>
    </r>
    <r>
      <rPr>
        <sz val="11"/>
        <rFont val="宋体"/>
        <family val="3"/>
        <charset val="134"/>
      </rPr>
      <t>路公交及地铁亦庄</t>
    </r>
    <r>
      <rPr>
        <sz val="11"/>
        <rFont val="Arial"/>
        <family val="2"/>
      </rPr>
      <t>1</t>
    </r>
    <r>
      <rPr>
        <sz val="11"/>
        <rFont val="宋体"/>
        <family val="3"/>
        <charset val="134"/>
      </rPr>
      <t>号线</t>
    </r>
    <phoneticPr fontId="31" type="noConversion"/>
  </si>
  <si>
    <t xml:space="preserve"> </t>
    <phoneticPr fontId="140" type="noConversion"/>
  </si>
  <si>
    <t>情况3</t>
  </si>
  <si>
    <t>正常</t>
  </si>
  <si>
    <t>自行开发建设</t>
  </si>
  <si>
    <t>非个人房产</t>
  </si>
  <si>
    <t>出让金（地上）</t>
    <phoneticPr fontId="8" type="noConversion"/>
  </si>
  <si>
    <t>补缴地下</t>
    <phoneticPr fontId="8" type="noConversion"/>
  </si>
  <si>
    <t>金额</t>
    <phoneticPr fontId="8" type="noConversion"/>
  </si>
  <si>
    <t>面积</t>
    <phoneticPr fontId="8" type="noConversion"/>
  </si>
  <si>
    <t>自持面积</t>
    <phoneticPr fontId="8" type="noConversion"/>
  </si>
  <si>
    <t>对应地价</t>
    <phoneticPr fontId="8" type="noConversion"/>
  </si>
  <si>
    <t>出让金+开发费</t>
  </si>
  <si>
    <t>企业提供（在右侧录入）</t>
  </si>
  <si>
    <t>处置时需缴纳的相关税费</t>
    <phoneticPr fontId="8" type="noConversion"/>
  </si>
  <si>
    <t>估价方法</t>
  </si>
  <si>
    <t>估价对象及结果</t>
  </si>
  <si>
    <t>成本法</t>
  </si>
  <si>
    <t>现金流量折现法</t>
  </si>
  <si>
    <t>测算结果</t>
  </si>
  <si>
    <t>总价</t>
  </si>
  <si>
    <t>单价</t>
  </si>
  <si>
    <t>评估价值（设定完成装修后的价值）</t>
  </si>
  <si>
    <t>房地产价值（扣除后续装修费用）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</si>
</sst>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楷体"/>
      <family val="3"/>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
      <sz val="11"/>
      <color theme="1"/>
      <name val="宋体"/>
      <family val="3"/>
      <charset val="134"/>
      <scheme val="minor"/>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61"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254" fillId="0" borderId="0" xfId="0" applyFont="1" applyAlignment="1"/>
    <xf numFmtId="0" fontId="254" fillId="5" borderId="0" xfId="0" applyFont="1" applyFill="1" applyAlignment="1"/>
    <xf numFmtId="0" fontId="120" fillId="0" borderId="9"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120" fillId="0" borderId="44" xfId="0" applyNumberFormat="1" applyFont="1" applyFill="1" applyBorder="1" applyAlignment="1" applyProtection="1">
      <alignment horizontal="center" vertical="center" wrapText="1"/>
      <protection locked="0"/>
    </xf>
    <xf numFmtId="0" fontId="102" fillId="0" borderId="78"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2" fillId="0" borderId="32" xfId="0" applyNumberFormat="1" applyFont="1" applyFill="1" applyBorder="1" applyAlignment="1" applyProtection="1">
      <alignment horizontal="center" vertical="center" wrapText="1"/>
      <protection locked="0"/>
    </xf>
    <xf numFmtId="0" fontId="116"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6"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97" fontId="46" fillId="0" borderId="1" xfId="0" applyNumberFormat="1" applyFont="1" applyBorder="1" applyAlignment="1" applyProtection="1">
      <alignment horizontal="center" vertical="center" wrapText="1"/>
      <protection locked="0"/>
    </xf>
    <xf numFmtId="197" fontId="46" fillId="0" borderId="49" xfId="0" applyNumberFormat="1" applyFont="1" applyFill="1" applyBorder="1" applyAlignment="1" applyProtection="1">
      <alignment horizontal="center" vertical="center"/>
      <protection locked="0"/>
    </xf>
    <xf numFmtId="49" fontId="134" fillId="0" borderId="7" xfId="0" applyNumberFormat="1" applyFont="1" applyFill="1" applyBorder="1" applyAlignment="1" applyProtection="1">
      <alignment horizontal="center" vertical="center" wrapText="1"/>
      <protection locked="0"/>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0" fontId="111" fillId="0" borderId="1" xfId="0" applyFont="1" applyBorder="1">
      <alignment vertical="center"/>
    </xf>
    <xf numFmtId="9" fontId="111" fillId="0" borderId="1" xfId="0" applyNumberFormat="1" applyFont="1" applyBorder="1">
      <alignment vertical="center"/>
    </xf>
    <xf numFmtId="1" fontId="111" fillId="0" borderId="1" xfId="0" applyNumberFormat="1" applyFont="1" applyBorder="1">
      <alignment vertical="center"/>
    </xf>
    <xf numFmtId="0" fontId="254" fillId="0" borderId="0" xfId="0" applyFont="1" applyFill="1" applyAlignment="1"/>
    <xf numFmtId="0" fontId="98" fillId="0" borderId="0" xfId="0" applyFont="1">
      <alignment vertical="center"/>
    </xf>
    <xf numFmtId="0" fontId="255" fillId="0" borderId="51" xfId="1" applyFont="1" applyFill="1" applyBorder="1" applyAlignment="1" applyProtection="1">
      <alignment vertical="center"/>
    </xf>
    <xf numFmtId="49" fontId="255"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57" fillId="0" borderId="23" xfId="1" applyFont="1" applyFill="1" applyBorder="1" applyAlignment="1" applyProtection="1">
      <alignment horizontal="right"/>
    </xf>
    <xf numFmtId="0" fontId="257" fillId="0" borderId="5" xfId="1" applyFont="1" applyFill="1" applyBorder="1" applyAlignment="1" applyProtection="1"/>
    <xf numFmtId="177" fontId="257" fillId="0" borderId="1" xfId="1" applyNumberFormat="1" applyFont="1" applyFill="1" applyBorder="1" applyAlignment="1" applyProtection="1">
      <alignment horizontal="center"/>
    </xf>
    <xf numFmtId="0" fontId="257"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0" fontId="149" fillId="5" borderId="126" xfId="16" applyFont="1" applyFill="1" applyBorder="1" applyAlignment="1" applyProtection="1">
      <alignment horizontal="left" vertical="center" wrapText="1"/>
    </xf>
    <xf numFmtId="0" fontId="149" fillId="5" borderId="123" xfId="9" applyFont="1" applyFill="1" applyBorder="1" applyAlignment="1" applyProtection="1">
      <alignment horizontal="left" vertical="center" wrapText="1"/>
    </xf>
    <xf numFmtId="1" fontId="0" fillId="0" borderId="0" xfId="0" applyNumberFormat="1">
      <alignment vertical="center"/>
    </xf>
    <xf numFmtId="0" fontId="102" fillId="7" borderId="1" xfId="0" applyFont="1" applyFill="1" applyBorder="1" applyProtection="1">
      <alignment vertical="center"/>
      <protection locked="0"/>
    </xf>
    <xf numFmtId="0" fontId="120" fillId="7" borderId="1" xfId="0" applyFont="1" applyFill="1" applyBorder="1" applyProtection="1">
      <alignment vertical="center"/>
      <protection locked="0"/>
    </xf>
    <xf numFmtId="0" fontId="99" fillId="5" borderId="0" xfId="0" applyFont="1" applyFill="1">
      <alignment vertical="center"/>
    </xf>
    <xf numFmtId="10" fontId="0" fillId="0" borderId="0" xfId="17" applyNumberFormat="1" applyFont="1">
      <alignment vertical="center"/>
    </xf>
    <xf numFmtId="0" fontId="262" fillId="0" borderId="162" xfId="0" applyFont="1" applyBorder="1" applyAlignment="1">
      <alignment horizontal="justify" vertical="center" wrapText="1"/>
    </xf>
    <xf numFmtId="0" fontId="262" fillId="0" borderId="164" xfId="0" applyFont="1" applyBorder="1" applyAlignment="1">
      <alignment vertical="center" wrapText="1"/>
    </xf>
    <xf numFmtId="0" fontId="262" fillId="0" borderId="165" xfId="0" applyFont="1" applyBorder="1" applyAlignment="1">
      <alignment horizontal="justify" vertical="center" wrapText="1"/>
    </xf>
    <xf numFmtId="0" fontId="263" fillId="0" borderId="162" xfId="0" applyFont="1" applyBorder="1" applyAlignment="1">
      <alignment horizontal="left" vertical="center" wrapText="1"/>
    </xf>
    <xf numFmtId="1" fontId="263" fillId="0" borderId="162" xfId="0" applyNumberFormat="1" applyFont="1" applyBorder="1" applyAlignment="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82"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262" fillId="0" borderId="158" xfId="0" applyFont="1" applyBorder="1" applyAlignment="1">
      <alignment horizontal="right" vertical="center" wrapText="1" indent="13"/>
    </xf>
    <xf numFmtId="0" fontId="262" fillId="0" borderId="159" xfId="0" applyFont="1" applyBorder="1" applyAlignment="1">
      <alignment horizontal="right" vertical="center" wrapText="1" indent="13"/>
    </xf>
    <xf numFmtId="0" fontId="262" fillId="0" borderId="160" xfId="0" applyFont="1" applyBorder="1" applyAlignment="1">
      <alignment vertical="center" wrapText="1"/>
    </xf>
    <xf numFmtId="0" fontId="262" fillId="0" borderId="161" xfId="0" applyFont="1" applyBorder="1" applyAlignment="1">
      <alignment vertical="center" wrapText="1"/>
    </xf>
    <xf numFmtId="0" fontId="262" fillId="0" borderId="166" xfId="0" applyFont="1" applyBorder="1" applyAlignment="1">
      <alignment vertical="center" wrapText="1"/>
    </xf>
    <xf numFmtId="0" fontId="262" fillId="0" borderId="163" xfId="0" applyFont="1" applyBorder="1" applyAlignment="1">
      <alignment vertical="center" wrapText="1"/>
    </xf>
    <xf numFmtId="0" fontId="262" fillId="0" borderId="167" xfId="0" applyFont="1" applyBorder="1" applyAlignment="1">
      <alignment vertical="center" wrapText="1"/>
    </xf>
    <xf numFmtId="0" fontId="263" fillId="0" borderId="168" xfId="0" applyFont="1" applyBorder="1" applyAlignment="1">
      <alignment horizontal="justify" vertical="center" wrapText="1"/>
    </xf>
    <xf numFmtId="0" fontId="263" fillId="0" borderId="169" xfId="0" applyFont="1" applyBorder="1" applyAlignment="1">
      <alignment horizontal="justify" vertical="center" wrapText="1"/>
    </xf>
    <xf numFmtId="0" fontId="263" fillId="0" borderId="170" xfId="0" applyFont="1" applyBorder="1" applyAlignment="1">
      <alignment horizontal="justify" vertical="center" wrapText="1"/>
    </xf>
    <xf numFmtId="0" fontId="263" fillId="0" borderId="171" xfId="0" applyFont="1" applyBorder="1" applyAlignment="1">
      <alignment horizontal="justify"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7</xdr:row>
      <xdr:rowOff>114300</xdr:rowOff>
    </xdr:from>
    <xdr:to>
      <xdr:col>8</xdr:col>
      <xdr:colOff>9525</xdr:colOff>
      <xdr:row>38</xdr:row>
      <xdr:rowOff>38100</xdr:rowOff>
    </xdr:to>
    <xdr:pic>
      <xdr:nvPicPr>
        <xdr:cNvPr id="3" name="图片 2" descr="C:\Users\Administrator\AppData\Roaming\Tencent\Users\273361491\QQ\WinTemp\RichOle\`P9U3G]4L9IVG}AR$(R}@6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219200"/>
          <a:ext cx="72009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304800</xdr:colOff>
      <xdr:row>38</xdr:row>
      <xdr:rowOff>133350</xdr:rowOff>
    </xdr:to>
    <xdr:sp macro="" textlink="">
      <xdr:nvSpPr>
        <xdr:cNvPr id="136194" name="AutoShape 2" descr="C:\Users\Administrator\AppData\Roaming\Tencent\Users\273361491\QQ\WinTemp\RichOle\71T(BTAQQI4T(]7(XIN(K.png"/>
        <xdr:cNvSpPr>
          <a:spLocks noChangeAspect="1" noChangeArrowheads="1"/>
        </xdr:cNvSpPr>
      </xdr:nvSpPr>
      <xdr:spPr bwMode="auto">
        <a:xfrm>
          <a:off x="0" y="56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44</xdr:row>
      <xdr:rowOff>0</xdr:rowOff>
    </xdr:from>
    <xdr:to>
      <xdr:col>1</xdr:col>
      <xdr:colOff>304800</xdr:colOff>
      <xdr:row>45</xdr:row>
      <xdr:rowOff>133350</xdr:rowOff>
    </xdr:to>
    <xdr:sp macro="" textlink="">
      <xdr:nvSpPr>
        <xdr:cNvPr id="136195" name="AutoShape 3" descr="C:\Users\Administrator\AppData\Roaming\Tencent\Users\273361491\QQ\WinTemp\RichOle\71T(BTAQQI4T(]7(XIN(K.png"/>
        <xdr:cNvSpPr>
          <a:spLocks noChangeAspect="1" noChangeArrowheads="1"/>
        </xdr:cNvSpPr>
      </xdr:nvSpPr>
      <xdr:spPr bwMode="auto">
        <a:xfrm>
          <a:off x="1314450" y="67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38099</xdr:colOff>
      <xdr:row>36</xdr:row>
      <xdr:rowOff>103683</xdr:rowOff>
    </xdr:from>
    <xdr:to>
      <xdr:col>11</xdr:col>
      <xdr:colOff>1019175</xdr:colOff>
      <xdr:row>79</xdr:row>
      <xdr:rowOff>4793</xdr:rowOff>
    </xdr:to>
    <xdr:pic>
      <xdr:nvPicPr>
        <xdr:cNvPr id="6" name="图片 5" descr="C:\Users\Administrator\AppData\Roaming\Tencent\Users\273361491\QQ\WinTemp\RichOle\Y$K%{%}EN0DT238~OIY7X7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99" y="5609133"/>
          <a:ext cx="11887201" cy="651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79</xdr:row>
      <xdr:rowOff>47625</xdr:rowOff>
    </xdr:from>
    <xdr:to>
      <xdr:col>11</xdr:col>
      <xdr:colOff>1076325</xdr:colOff>
      <xdr:row>123</xdr:row>
      <xdr:rowOff>47625</xdr:rowOff>
    </xdr:to>
    <xdr:pic>
      <xdr:nvPicPr>
        <xdr:cNvPr id="7" name="图片 6" descr="C:\Users\Administrator\AppData\Roaming\Tencent\Users\273361491\QQ\WinTemp\RichOle\2$A76HK12HCM8NNKXM3K2`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12163425"/>
          <a:ext cx="119538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304800</xdr:colOff>
      <xdr:row>125</xdr:row>
      <xdr:rowOff>133350</xdr:rowOff>
    </xdr:to>
    <xdr:sp macro="" textlink="">
      <xdr:nvSpPr>
        <xdr:cNvPr id="136198" name="AutoShape 6" descr="C:\Users\Administrator\AppData\Roaming\Tencent\Users\273361491\QQ\WinTemp\RichOle\%88D3KN}}F`L37HN0~6SC.png"/>
        <xdr:cNvSpPr>
          <a:spLocks noChangeAspect="1" noChangeArrowheads="1"/>
        </xdr:cNvSpPr>
      </xdr:nvSpPr>
      <xdr:spPr bwMode="auto">
        <a:xfrm>
          <a:off x="0" y="189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124</xdr:row>
      <xdr:rowOff>0</xdr:rowOff>
    </xdr:from>
    <xdr:to>
      <xdr:col>11</xdr:col>
      <xdr:colOff>1019175</xdr:colOff>
      <xdr:row>168</xdr:row>
      <xdr:rowOff>0</xdr:rowOff>
    </xdr:to>
    <xdr:pic>
      <xdr:nvPicPr>
        <xdr:cNvPr id="9" name="图片 8" descr="C:\Users\Administrator\AppData\Roaming\Tencent\Users\273361491\QQ\WinTemp\RichOle\Z81R{BI(VQ[EYVOM%N3[6{B.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92850"/>
          <a:ext cx="11925300"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6087;&#23467;&#39033;&#30446;&#36164;&#20135;&#35777;&#21048;&#21270;&#29616;&#37329;&#27969;&#39044;&#27979;-&#65288;&#24066;&#22330;&#20215;&#20540;&#29992;&#65289;-&#26368;&#32456;0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现金流量 (2)"/>
      <sheetName val="报告用表"/>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row r="53">
          <cell r="A53">
            <v>402453.1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北京市大兴区旧宫镇DX07-0201-0006、0007地块R2二类居住用地住宅（自持）用房房地产房地产抵押价值预评估</v>
      </c>
    </row>
    <row r="3" spans="1:2" s="1364" customFormat="1">
      <c r="A3" s="1362" t="s">
        <v>1188</v>
      </c>
      <c r="B3" s="1363" t="str">
        <f>'预评函-封皮'!B40</f>
        <v>中国建设银行股份有限公司北京城建支行</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受贵公司委托，我公司对北京市大兴区旧宫镇DX07-0201-0006、0007地块R2二类居住用地住宅（自持）用房房地产房地产抵押价值进行了预评估。</v>
      </c>
    </row>
    <row r="7" spans="1:2" s="1364" customFormat="1">
      <c r="A7" s="1362" t="s">
        <v>1231</v>
      </c>
      <c r="B7" s="1363" t="str">
        <f>'预评函-1'!A7</f>
        <v>估价对象为北京市大兴区旧宫镇DX07-0201-0006、0007地块R2二类居住用地住宅（自持）用房房地产房地产，为所有。根据《国有土地使用证》[]，估价对象（分摊）出让国有建设用地使用权面积为37742.35平方米，建筑面积为130002.77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大兴区旧宫镇DX07-0201-0006、0007地块R2二类居住用地住宅（自持）用房房地产房地产,属开发建设的居住项目，该项目尚在开发建设中。根据《国有土地使用证》[]，估价对象（分摊）出让国有建设用地使用权面积为37742.35平方米，规划建筑面积为130002.77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2021年4月28日（评估专业人员实地查勘之日）</v>
      </c>
    </row>
    <row r="13" spans="1:2" s="1364" customFormat="1">
      <c r="A13" s="1362" t="s">
        <v>1194</v>
      </c>
      <c r="B13" s="1363" t="str">
        <f>'预评函-1'!A18</f>
        <v>本次估价的“房地产价值”是指在正常市场情况下，在价值时点2021年4月28日，估价对象规划用途为住宅、地下车库、地下仓储，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本次评估采用的主估价方法为基准地价系数修正法和基准地价系数修正法。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北京市大兴区旧宫镇DX07-0201-0006、0007地块R2二类居住用地住宅（自持）用房房地产房地产</v>
      </c>
    </row>
    <row r="42" spans="1:2" s="1364" customFormat="1">
      <c r="A42" s="1362" t="s">
        <v>1255</v>
      </c>
      <c r="B42" s="1363" t="str">
        <f>'预评函-3'!B2</f>
        <v>建筑面积</v>
      </c>
    </row>
    <row r="43" spans="1:2" s="1364" customFormat="1">
      <c r="A43" s="1362" t="s">
        <v>1256</v>
      </c>
      <c r="B43" s="1363">
        <f>'预评函-3'!B4</f>
        <v>130002.77000000002</v>
      </c>
    </row>
    <row r="44" spans="1:2" s="1364" customFormat="1">
      <c r="A44" s="1362" t="s">
        <v>1240</v>
      </c>
      <c r="B44" s="1363" t="str">
        <f>'预评函-3'!C2</f>
        <v>(分摊)土地面积</v>
      </c>
    </row>
    <row r="45" spans="1:2" s="1364" customFormat="1">
      <c r="A45" s="1362" t="s">
        <v>1212</v>
      </c>
      <c r="B45" s="1363">
        <f>'预评函-3'!C4</f>
        <v>37742.35</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46" sqref="B4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2995</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3" t="s">
        <v>3164</v>
      </c>
      <c r="B25" s="1730" t="s">
        <v>757</v>
      </c>
      <c r="C25" s="1731"/>
    </row>
    <row r="26" spans="1:3">
      <c r="A26" s="1730" t="s">
        <v>1739</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2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225"/>
      <c r="B54" s="1738" t="s">
        <v>832</v>
      </c>
      <c r="C54" s="1735" t="s">
        <v>1248</v>
      </c>
    </row>
    <row r="55" spans="1:4">
      <c r="A55" s="3225"/>
      <c r="B55" s="1738" t="s">
        <v>833</v>
      </c>
      <c r="C55" s="1735" t="s">
        <v>1249</v>
      </c>
    </row>
    <row r="56" spans="1:4">
      <c r="A56" s="3225"/>
      <c r="B56" s="1738" t="s">
        <v>834</v>
      </c>
      <c r="C56" s="1735" t="s">
        <v>1253</v>
      </c>
    </row>
    <row r="57" spans="1:4">
      <c r="A57" s="322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47" customWidth="1"/>
    <col min="12" max="13" width="10" style="2848"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6" t="s">
        <v>2874</v>
      </c>
      <c r="B1" s="3226" t="str">
        <f>IF(B10="北京市","北京市",C10)&amp;F10&amp;IF(结果表!G1="在建","出让国有建设用地使用权及在建建筑物",IF(结果表!G1="土地","出让国有建设用地使用权",))&amp;B9&amp;"预评估"</f>
        <v>北京市大兴区旧宫镇DX07-0201-0006、0007地块R2二类居住用地住宅（自持）用房房地产房地产抵押价值预评估</v>
      </c>
      <c r="C1" s="3227"/>
      <c r="D1" s="3227"/>
      <c r="E1" s="3227"/>
      <c r="F1" s="3227"/>
      <c r="G1" s="3227"/>
      <c r="H1" s="3227"/>
      <c r="I1" s="3228"/>
      <c r="J1" s="2689"/>
      <c r="K1" s="2588"/>
      <c r="L1" s="2589"/>
      <c r="M1" s="2589"/>
      <c r="N1" s="2590"/>
      <c r="O1" s="1760"/>
      <c r="P1" s="2590"/>
      <c r="Q1" s="2590"/>
      <c r="R1" s="2590"/>
      <c r="S1" s="1866" t="str">
        <f>IF(B10="北京市","北京市",C10)&amp;F10&amp;IF(结果表!G1="在建","出让国有建设用地使用权及在建建筑物房地产抵押价值",IF(结果表!G1="土地","出让国有建设用地使用权抵押价值",B9))</f>
        <v>北京市大兴区旧宫镇DX07-0201-0006、0007地块R2二类居住用地住宅（自持）用房房地产房地产抵押价值</v>
      </c>
      <c r="T1" s="1929"/>
      <c r="U1" s="1929"/>
      <c r="V1" s="1929"/>
      <c r="W1" s="1929"/>
      <c r="X1" s="1929"/>
      <c r="Y1" s="1929"/>
      <c r="Z1" s="1929"/>
      <c r="AA1" s="1929"/>
      <c r="AB1" s="1929"/>
    </row>
    <row r="2" spans="1:28">
      <c r="A2" s="2587" t="s">
        <v>2875</v>
      </c>
      <c r="B2" s="2591"/>
      <c r="C2" s="2592"/>
      <c r="D2" s="2890"/>
      <c r="E2" s="2880"/>
      <c r="F2" s="2880"/>
      <c r="G2" s="2881"/>
      <c r="H2" s="2881"/>
      <c r="I2" s="2881"/>
      <c r="J2" s="2689"/>
      <c r="K2" s="2588"/>
      <c r="L2" s="2589"/>
      <c r="M2" s="2589"/>
      <c r="N2" s="2590"/>
      <c r="O2" s="1760"/>
      <c r="P2" s="2590"/>
      <c r="Q2" s="2590"/>
      <c r="R2" s="2590"/>
      <c r="S2" s="1866" t="str">
        <f>IF(B10="北京市","北京市",C10)&amp;F10&amp;IF(结果表!G1="在建","出让国有建设用地使用权及在建建筑物房地产",IF(结果表!G1="土地","出让国有建设用地使用权","房地产"))</f>
        <v>北京市大兴区旧宫镇DX07-0201-0006、0007地块R2二类居住用地住宅（自持）用房房地产房地产</v>
      </c>
      <c r="T2" s="1929"/>
      <c r="U2" s="1929"/>
      <c r="V2" s="1929"/>
      <c r="W2" s="1929"/>
      <c r="X2" s="1929"/>
      <c r="Y2" s="1929"/>
      <c r="Z2" s="1929"/>
      <c r="AA2" s="1929"/>
      <c r="AB2" s="1929"/>
    </row>
    <row r="3" spans="1:28">
      <c r="A3" s="308" t="s">
        <v>2876</v>
      </c>
      <c r="B3" s="2593">
        <v>44314</v>
      </c>
      <c r="C3" s="2594" t="s">
        <v>2877</v>
      </c>
      <c r="D3" s="2593">
        <f>B3</f>
        <v>44314</v>
      </c>
      <c r="E3" s="2881"/>
      <c r="F3" s="2881"/>
      <c r="G3" s="2881"/>
      <c r="H3" s="2881"/>
      <c r="I3" s="2881"/>
      <c r="J3" s="2689"/>
      <c r="K3" s="2588"/>
      <c r="L3" s="2589"/>
      <c r="M3" s="2589"/>
      <c r="N3" s="2590"/>
      <c r="O3" s="1760"/>
      <c r="P3" s="2590"/>
      <c r="Q3" s="2590"/>
      <c r="R3" s="2590"/>
      <c r="S3" s="1866"/>
      <c r="T3" s="1929"/>
      <c r="U3" s="1929"/>
      <c r="V3" s="1929"/>
      <c r="W3" s="1929"/>
      <c r="X3" s="1929"/>
      <c r="Y3" s="1929"/>
      <c r="Z3" s="1929"/>
      <c r="AA3" s="1929"/>
      <c r="AB3" s="1929"/>
    </row>
    <row r="4" spans="1:28" ht="13.5" thickBot="1">
      <c r="A4" s="1250" t="s">
        <v>2878</v>
      </c>
      <c r="B4" s="2595" t="s">
        <v>3019</v>
      </c>
      <c r="C4" s="2596">
        <f ca="1">SUMIF(注册房地产估价师,B4,估价师及机构信息!B3:B24)</f>
        <v>1419970001</v>
      </c>
      <c r="D4" s="2595" t="s">
        <v>3020</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8"/>
      <c r="K4" s="2598" t="str">
        <f ca="1">CONCATENATE(B4,"（注册号：",C4,")、",D4,"（注册号：",E4,")")</f>
        <v>吴薇（注册号：1419970001)、郑燚（注册号：1120070131)</v>
      </c>
      <c r="L4" s="2589"/>
      <c r="M4" s="2589"/>
      <c r="N4" s="2590"/>
      <c r="O4" s="1760"/>
      <c r="P4" s="2590"/>
      <c r="Q4" s="2590"/>
      <c r="R4" s="2590"/>
      <c r="S4" s="1866"/>
      <c r="T4" s="1929"/>
      <c r="U4" s="1929"/>
      <c r="V4" s="1929"/>
      <c r="W4" s="1929"/>
      <c r="X4" s="1929"/>
      <c r="Y4" s="1929"/>
      <c r="Z4" s="1929"/>
      <c r="AA4" s="1929"/>
      <c r="AB4" s="1929"/>
    </row>
    <row r="5" spans="1:28" ht="14.25" thickTop="1" thickBot="1">
      <c r="A5" s="2599" t="s">
        <v>2879</v>
      </c>
      <c r="B5" s="3051" t="s">
        <v>3021</v>
      </c>
      <c r="C5" s="2600"/>
      <c r="D5" s="2601"/>
      <c r="E5" s="2882"/>
      <c r="F5" s="2882"/>
      <c r="G5" s="2882"/>
      <c r="H5" s="2882"/>
      <c r="I5" s="2882"/>
      <c r="J5" s="2658"/>
      <c r="K5" s="2598" t="str">
        <f>IF(F4="——","",IF(H4="——",F4&amp;"（注册号："&amp;G4&amp;")",CONCATENATE(F4,"（注册号：",G4,")、",H4,"（注册号：",I4,")")))</f>
        <v>（注册号：0)、（注册号：0)</v>
      </c>
      <c r="L5" s="2589"/>
      <c r="M5" s="2589"/>
      <c r="N5" s="2590"/>
      <c r="O5" s="1760"/>
      <c r="P5" s="2590"/>
      <c r="Q5" s="2590"/>
      <c r="R5" s="2590"/>
      <c r="S5" s="1929"/>
      <c r="T5" s="1929"/>
      <c r="U5" s="1929"/>
      <c r="V5" s="1929"/>
      <c r="W5" s="1929"/>
      <c r="X5" s="1929"/>
      <c r="Y5" s="1929"/>
      <c r="Z5" s="1929"/>
      <c r="AA5" s="1929"/>
      <c r="AB5" s="1929"/>
    </row>
    <row r="6" spans="1:28" ht="13.5" thickTop="1">
      <c r="A6" s="2602" t="s">
        <v>2880</v>
      </c>
      <c r="B6" s="3051" t="s">
        <v>3021</v>
      </c>
      <c r="C6" s="2603"/>
      <c r="D6" s="2604"/>
      <c r="E6" s="2880"/>
      <c r="F6" s="2882"/>
      <c r="G6" s="2882"/>
      <c r="H6" s="2882"/>
      <c r="I6" s="2882"/>
      <c r="J6" s="2658"/>
      <c r="K6" s="2833" t="str">
        <f>IF(COUNTIF(B6,"*上海银行*"),"上海银行","")</f>
        <v/>
      </c>
      <c r="L6" s="2831"/>
      <c r="M6" s="2831"/>
      <c r="N6" s="2658"/>
      <c r="O6" s="2669"/>
      <c r="P6" s="2658"/>
      <c r="Q6" s="2658"/>
      <c r="R6" s="2658"/>
    </row>
    <row r="7" spans="1:28">
      <c r="A7" s="2602" t="s">
        <v>2881</v>
      </c>
      <c r="B7" s="3052" t="s">
        <v>3022</v>
      </c>
      <c r="C7" s="2603"/>
      <c r="D7" s="2604"/>
      <c r="E7" s="2880"/>
      <c r="F7" s="2882"/>
      <c r="G7" s="2882"/>
      <c r="H7" s="2882"/>
      <c r="I7" s="2882"/>
      <c r="J7" s="2658"/>
      <c r="K7" s="2834"/>
      <c r="L7" s="2831"/>
      <c r="M7" s="2831"/>
      <c r="N7" s="2658"/>
      <c r="O7" s="2669"/>
      <c r="P7" s="2658"/>
      <c r="Q7" s="2658"/>
      <c r="R7" s="2658"/>
    </row>
    <row r="8" spans="1:28">
      <c r="A8" s="2605" t="s">
        <v>2882</v>
      </c>
      <c r="B8" s="2606" t="s">
        <v>3023</v>
      </c>
      <c r="C8" s="2607"/>
      <c r="D8" s="3229" t="s">
        <v>2883</v>
      </c>
      <c r="E8" s="2608" t="s">
        <v>3024</v>
      </c>
      <c r="F8" s="2609"/>
      <c r="G8" s="2881"/>
      <c r="H8" s="2881"/>
      <c r="I8" s="2881"/>
      <c r="J8" s="2658"/>
      <c r="K8" s="2832"/>
      <c r="L8" s="2831"/>
      <c r="M8" s="2831"/>
      <c r="N8" s="2658"/>
      <c r="O8" s="2669"/>
      <c r="P8" s="2658"/>
      <c r="Q8" s="2658"/>
      <c r="R8" s="2658"/>
    </row>
    <row r="9" spans="1:28" ht="13.5" thickBot="1">
      <c r="A9" s="2610" t="s">
        <v>2884</v>
      </c>
      <c r="B9" s="2611" t="s">
        <v>3024</v>
      </c>
      <c r="C9" s="2612"/>
      <c r="D9" s="3230"/>
      <c r="E9" s="2611"/>
      <c r="F9" s="2613"/>
      <c r="G9" s="2883"/>
      <c r="H9" s="2883"/>
      <c r="I9" s="2883"/>
      <c r="J9" s="2658"/>
      <c r="K9" s="2834"/>
      <c r="L9" s="2831"/>
      <c r="M9" s="2831"/>
      <c r="N9" s="2658"/>
      <c r="O9" s="2669"/>
      <c r="P9" s="2658"/>
      <c r="Q9" s="2658"/>
      <c r="R9" s="2658"/>
    </row>
    <row r="10" spans="1:28" ht="13.5" thickTop="1">
      <c r="A10" s="2614" t="s">
        <v>2885</v>
      </c>
      <c r="B10" s="2615" t="s">
        <v>3025</v>
      </c>
      <c r="C10" s="2616"/>
      <c r="D10" s="2601"/>
      <c r="E10" s="2617" t="s">
        <v>2886</v>
      </c>
      <c r="F10" s="2884" t="s">
        <v>3026</v>
      </c>
      <c r="G10" s="2885"/>
      <c r="H10" s="2886"/>
      <c r="I10" s="2887"/>
      <c r="J10" s="2658"/>
      <c r="K10" s="2834"/>
      <c r="L10" s="2831"/>
      <c r="M10" s="2831"/>
      <c r="N10" s="2658"/>
      <c r="O10" s="2669"/>
      <c r="P10" s="2658"/>
      <c r="Q10" s="2658"/>
      <c r="R10" s="2658"/>
    </row>
    <row r="11" spans="1:28">
      <c r="A11" s="2618" t="s">
        <v>2887</v>
      </c>
      <c r="B11" s="2619"/>
      <c r="C11" s="2620"/>
      <c r="D11" s="2621"/>
      <c r="E11" s="2590"/>
      <c r="F11" s="2590"/>
      <c r="G11" s="2590"/>
      <c r="H11" s="2590"/>
      <c r="I11" s="2590"/>
      <c r="J11" s="2658"/>
      <c r="K11" s="2834"/>
      <c r="L11" s="2831"/>
      <c r="M11" s="2831"/>
      <c r="N11" s="2658"/>
      <c r="O11" s="2669"/>
      <c r="P11" s="2658"/>
      <c r="Q11" s="2658"/>
      <c r="R11" s="2658"/>
    </row>
    <row r="12" spans="1:28">
      <c r="A12" s="2622" t="s">
        <v>2888</v>
      </c>
      <c r="B12" s="2619" t="s">
        <v>3027</v>
      </c>
      <c r="C12" s="329" t="s">
        <v>2889</v>
      </c>
      <c r="D12" s="2623" t="s">
        <v>2890</v>
      </c>
      <c r="E12" s="2623" t="s">
        <v>2891</v>
      </c>
      <c r="F12" s="2623" t="s">
        <v>2892</v>
      </c>
      <c r="G12" s="2623" t="s">
        <v>2893</v>
      </c>
      <c r="H12" s="2623" t="s">
        <v>2894</v>
      </c>
      <c r="I12" s="2623" t="s">
        <v>2895</v>
      </c>
      <c r="J12" s="2658"/>
      <c r="K12" s="2834"/>
      <c r="L12" s="2831"/>
      <c r="M12" s="2831"/>
      <c r="N12" s="2658"/>
      <c r="O12" s="2669"/>
      <c r="P12" s="2658"/>
      <c r="Q12" s="2658"/>
      <c r="R12" s="2658"/>
    </row>
    <row r="13" spans="1:28">
      <c r="A13" s="1241"/>
      <c r="B13" s="2624"/>
      <c r="C13" s="2625" t="s">
        <v>2896</v>
      </c>
      <c r="D13" s="965">
        <v>68443</v>
      </c>
      <c r="E13" s="965"/>
      <c r="F13" s="965"/>
      <c r="G13" s="965">
        <v>61138</v>
      </c>
      <c r="H13" s="965">
        <v>61138</v>
      </c>
      <c r="I13" s="965">
        <v>44408</v>
      </c>
      <c r="J13" s="2658"/>
      <c r="K13" s="2834"/>
      <c r="L13" s="2831"/>
      <c r="M13" s="2831"/>
      <c r="N13" s="2658"/>
      <c r="O13" s="2669"/>
      <c r="P13" s="2658"/>
      <c r="Q13" s="2658"/>
      <c r="R13" s="2658"/>
    </row>
    <row r="14" spans="1:28">
      <c r="A14" s="1241"/>
      <c r="B14" s="2624"/>
      <c r="C14" s="2625" t="s">
        <v>2897</v>
      </c>
      <c r="D14" s="2626">
        <v>70</v>
      </c>
      <c r="E14" s="2626"/>
      <c r="F14" s="2626"/>
      <c r="G14" s="2626">
        <v>50</v>
      </c>
      <c r="H14" s="2626">
        <v>50</v>
      </c>
      <c r="I14" s="2626"/>
      <c r="J14" s="2658"/>
      <c r="K14" s="2835"/>
      <c r="L14" s="2831"/>
      <c r="M14" s="2831"/>
      <c r="N14" s="2658"/>
      <c r="O14" s="2669"/>
      <c r="P14" s="2658"/>
      <c r="Q14" s="2658"/>
      <c r="R14" s="2658"/>
    </row>
    <row r="15" spans="1:28">
      <c r="A15" s="326"/>
      <c r="B15" s="2627"/>
      <c r="C15" s="2628" t="s">
        <v>2898</v>
      </c>
      <c r="D15" s="2629">
        <f>IF(B12="出让",IF(D13="","",ROUNDDOWN(MIN((D13-$D$3)/365,D14),2)),D14)</f>
        <v>66.099999999999994</v>
      </c>
      <c r="E15" s="2629" t="str">
        <f>IF(B12="出让",IF(E13="","",ROUNDDOWN(MIN((E13-$D$3)/365,E14),2)),E14)</f>
        <v/>
      </c>
      <c r="F15" s="2629" t="str">
        <f>IF(B12="出让",IF(F13="","",ROUNDDOWN(MIN((F13-$D$3)/365,F14),2)),F14)</f>
        <v/>
      </c>
      <c r="G15" s="2629">
        <f>IF(B12="出让",IF(G13="","",ROUNDDOWN(MIN((G13-$D$3)/365,G14),2)),G14)</f>
        <v>46.09</v>
      </c>
      <c r="H15" s="2629">
        <f>IF(B12="出让",IF(H13="","",ROUNDDOWN(MIN((H13-$D$3)/365,H14),2)),H14)</f>
        <v>46.09</v>
      </c>
      <c r="I15" s="2629">
        <f>IF(B12="出让",IF(I13="","",ROUNDDOWN(MIN((I13-$D$3)/365,I14),2)),I14)</f>
        <v>0.25</v>
      </c>
      <c r="J15" s="2658"/>
      <c r="K15" s="2836"/>
      <c r="L15" s="2670"/>
      <c r="M15" s="2670"/>
      <c r="N15" s="2727"/>
      <c r="O15" s="2670"/>
      <c r="P15" s="2727"/>
      <c r="Q15" s="2658"/>
      <c r="R15" s="2658"/>
    </row>
    <row r="16" spans="1:28">
      <c r="A16" s="2617" t="s">
        <v>2899</v>
      </c>
      <c r="B16" s="3236" t="s">
        <v>3030</v>
      </c>
      <c r="C16" s="3237"/>
      <c r="D16" s="3238"/>
      <c r="E16" s="2632" t="s">
        <v>2900</v>
      </c>
      <c r="F16" s="3239"/>
      <c r="G16" s="3240"/>
      <c r="H16" s="3240"/>
      <c r="I16" s="3241"/>
      <c r="J16" s="2658"/>
      <c r="K16" s="2836"/>
      <c r="L16" s="2670"/>
      <c r="M16" s="2670"/>
      <c r="N16" s="2727"/>
      <c r="O16" s="2670"/>
      <c r="P16" s="2727"/>
      <c r="Q16" s="2658"/>
      <c r="R16" s="2658"/>
    </row>
    <row r="17" spans="1:28">
      <c r="A17" s="319" t="s">
        <v>2901</v>
      </c>
      <c r="B17" s="308" t="s">
        <v>2902</v>
      </c>
      <c r="C17" s="11">
        <f>'数据-汇总表'!E3</f>
        <v>130002.77000000002</v>
      </c>
      <c r="D17" s="2541" t="s">
        <v>2903</v>
      </c>
      <c r="E17" s="3242" t="s">
        <v>2904</v>
      </c>
      <c r="F17" s="3243"/>
      <c r="G17" s="3243"/>
      <c r="H17" s="3243"/>
      <c r="I17" s="3244"/>
      <c r="J17" s="2658"/>
      <c r="K17" s="2837"/>
      <c r="L17" s="2670"/>
      <c r="M17" s="2670"/>
      <c r="N17" s="2727"/>
      <c r="O17" s="2670"/>
      <c r="P17" s="2727"/>
      <c r="Q17" s="2658"/>
      <c r="R17" s="2658"/>
      <c r="S17" s="2658"/>
      <c r="T17" s="2658"/>
      <c r="U17" s="2658"/>
      <c r="V17" s="2658"/>
    </row>
    <row r="18" spans="1:28" ht="24.75" thickBot="1">
      <c r="A18" s="2633" t="s">
        <v>2905</v>
      </c>
      <c r="B18" s="1250" t="s">
        <v>2906</v>
      </c>
      <c r="C18" s="2634">
        <f>'数据-汇总表'!D3</f>
        <v>37742.35</v>
      </c>
      <c r="D18" s="1252" t="s">
        <v>2907</v>
      </c>
      <c r="E18" s="3245" t="s">
        <v>2908</v>
      </c>
      <c r="F18" s="3246"/>
      <c r="G18" s="3246"/>
      <c r="H18" s="3246"/>
      <c r="I18" s="3247"/>
      <c r="J18" s="2658"/>
      <c r="K18" s="2837"/>
      <c r="L18" s="2670"/>
      <c r="M18" s="2670"/>
      <c r="N18" s="2727"/>
      <c r="O18" s="2670"/>
      <c r="P18" s="2727"/>
      <c r="Q18" s="2658"/>
      <c r="R18" s="2658"/>
      <c r="S18" s="2658"/>
      <c r="T18" s="2658"/>
      <c r="U18" s="2658"/>
      <c r="V18" s="2658"/>
    </row>
    <row r="19" spans="1:28" ht="37.5" thickTop="1" thickBot="1">
      <c r="A19" s="333" t="s">
        <v>1740</v>
      </c>
      <c r="B19" s="313" t="s">
        <v>2909</v>
      </c>
      <c r="C19" s="1747" t="s">
        <v>3028</v>
      </c>
      <c r="D19" s="1748" t="s">
        <v>2910</v>
      </c>
      <c r="E19" s="1749" t="s">
        <v>3028</v>
      </c>
      <c r="F19" s="1750" t="str">
        <f>IF(AND(C19="是",E19="否"),"是否提供他项权证或相关说明","")</f>
        <v/>
      </c>
      <c r="G19" s="1751"/>
      <c r="H19" s="2882"/>
      <c r="I19" s="2882"/>
      <c r="J19" s="2658"/>
      <c r="K19" s="2834"/>
      <c r="L19" s="2831"/>
      <c r="M19" s="2831"/>
      <c r="N19" s="2727"/>
      <c r="O19" s="2670"/>
      <c r="P19" s="2727"/>
      <c r="Q19" s="2658"/>
      <c r="R19" s="2658"/>
      <c r="S19" s="2658"/>
      <c r="T19" s="2658"/>
      <c r="U19" s="2658"/>
      <c r="V19" s="2658"/>
    </row>
    <row r="20" spans="1:28">
      <c r="A20" s="2851" t="s">
        <v>2911</v>
      </c>
      <c r="B20" s="3232" t="s">
        <v>2912</v>
      </c>
      <c r="C20" s="3233"/>
      <c r="D20" s="3234" t="s">
        <v>2913</v>
      </c>
      <c r="E20" s="3235"/>
      <c r="F20" s="2866" t="s">
        <v>1741</v>
      </c>
      <c r="G20" s="2882"/>
      <c r="H20" s="2882"/>
      <c r="I20" s="2882"/>
      <c r="J20" s="2658"/>
      <c r="K20" s="3231" t="s">
        <v>2914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9"/>
      <c r="N20" s="2631"/>
      <c r="O20" s="2630"/>
      <c r="P20" s="2631"/>
      <c r="Q20" s="2590"/>
      <c r="R20" s="2590"/>
      <c r="S20" s="2590"/>
      <c r="T20" s="2590"/>
      <c r="U20" s="2590"/>
      <c r="V20" s="2590"/>
      <c r="W20" s="1929"/>
      <c r="X20" s="1929"/>
      <c r="Y20" s="1929"/>
      <c r="Z20" s="1929"/>
      <c r="AA20" s="1929"/>
      <c r="AB20" s="1929"/>
    </row>
    <row r="21" spans="1:28" ht="24.75" thickBot="1">
      <c r="A21" s="2851"/>
      <c r="B21" s="2852" t="s">
        <v>2915</v>
      </c>
      <c r="C21" s="2853" t="s">
        <v>3029</v>
      </c>
      <c r="D21" s="1752" t="s">
        <v>2916</v>
      </c>
      <c r="E21" s="2854" t="s">
        <v>1742</v>
      </c>
      <c r="F21" s="2867"/>
      <c r="G21" s="2882"/>
      <c r="H21" s="2882"/>
      <c r="I21" s="2882"/>
      <c r="J21" s="2658"/>
      <c r="K21" s="32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1"/>
      <c r="O21" s="2630"/>
      <c r="P21" s="2631"/>
      <c r="Q21" s="2590"/>
      <c r="R21" s="2590"/>
      <c r="S21" s="2590"/>
      <c r="T21" s="2590"/>
      <c r="U21" s="2590"/>
      <c r="V21" s="2590"/>
      <c r="W21" s="1929"/>
      <c r="X21" s="1929"/>
      <c r="Y21" s="1929"/>
      <c r="Z21" s="1929"/>
      <c r="AA21" s="1929"/>
      <c r="AB21" s="1929"/>
    </row>
    <row r="22" spans="1:28" ht="24.75" thickBot="1">
      <c r="A22" s="2851"/>
      <c r="B22" s="2855" t="s">
        <v>2917</v>
      </c>
      <c r="C22" s="2853" t="s">
        <v>1743</v>
      </c>
      <c r="D22" s="2881"/>
      <c r="E22" s="2881"/>
      <c r="F22" s="2881"/>
      <c r="G22" s="2882"/>
      <c r="H22" s="2882"/>
      <c r="I22" s="2882"/>
      <c r="J22" s="2658"/>
      <c r="K22" s="32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1"/>
      <c r="O22" s="2630"/>
      <c r="P22" s="2631"/>
      <c r="Q22" s="2590"/>
      <c r="R22" s="2590"/>
      <c r="S22" s="2590"/>
      <c r="T22" s="2590"/>
      <c r="U22" s="2590"/>
      <c r="V22" s="2590"/>
      <c r="W22" s="1929"/>
      <c r="X22" s="1929"/>
      <c r="Y22" s="1929"/>
      <c r="Z22" s="1929"/>
      <c r="AA22" s="1929"/>
      <c r="AB22" s="1929"/>
    </row>
    <row r="23" spans="1:28">
      <c r="A23" s="2856" t="s">
        <v>2918</v>
      </c>
      <c r="B23" s="2720" t="s">
        <v>2919</v>
      </c>
      <c r="C23" s="2857"/>
      <c r="D23" s="2858" t="s">
        <v>2919</v>
      </c>
      <c r="E23" s="2859"/>
      <c r="F23" s="2881"/>
      <c r="G23" s="2882"/>
      <c r="H23" s="2882"/>
      <c r="I23" s="2882"/>
      <c r="J23" s="2658"/>
      <c r="K23" s="2838"/>
      <c r="L23" s="2693"/>
      <c r="M23" s="2831"/>
      <c r="N23" s="2727"/>
      <c r="O23" s="2670"/>
      <c r="P23" s="2727"/>
      <c r="Q23" s="2658"/>
      <c r="R23" s="2658"/>
      <c r="S23" s="2658"/>
      <c r="T23" s="2658"/>
      <c r="U23" s="2658"/>
      <c r="V23" s="2658"/>
    </row>
    <row r="24" spans="1:28">
      <c r="A24" s="2856"/>
      <c r="B24" s="2720" t="s">
        <v>1744</v>
      </c>
      <c r="C24" s="2860"/>
      <c r="D24" s="2856" t="s">
        <v>1744</v>
      </c>
      <c r="E24" s="2861"/>
      <c r="F24" s="2881"/>
      <c r="G24" s="2882"/>
      <c r="H24" s="2882"/>
      <c r="I24" s="2882"/>
      <c r="J24" s="2658"/>
      <c r="K24" s="2838"/>
      <c r="L24" s="2693"/>
      <c r="M24" s="2831"/>
      <c r="N24" s="2727"/>
      <c r="O24" s="2670"/>
      <c r="P24" s="2727"/>
      <c r="Q24" s="2658"/>
      <c r="R24" s="2658"/>
      <c r="S24" s="2658"/>
      <c r="T24" s="2658"/>
      <c r="U24" s="2658"/>
      <c r="V24" s="2658"/>
    </row>
    <row r="25" spans="1:28">
      <c r="A25" s="2856"/>
      <c r="B25" s="2720" t="s">
        <v>1745</v>
      </c>
      <c r="C25" s="2860"/>
      <c r="D25" s="2856" t="s">
        <v>1745</v>
      </c>
      <c r="E25" s="2861"/>
      <c r="F25" s="2881"/>
      <c r="G25" s="2882"/>
      <c r="H25" s="2882"/>
      <c r="I25" s="2882"/>
      <c r="J25" s="2658"/>
      <c r="K25" s="2834"/>
      <c r="L25" s="2831"/>
      <c r="M25" s="2831"/>
      <c r="N25" s="2727"/>
      <c r="O25" s="2670"/>
      <c r="P25" s="2727"/>
      <c r="Q25" s="2658"/>
      <c r="R25" s="2658"/>
      <c r="S25" s="2658"/>
      <c r="T25" s="2658"/>
      <c r="U25" s="2658"/>
      <c r="V25" s="2658"/>
    </row>
    <row r="26" spans="1:28" ht="13.5" thickBot="1">
      <c r="A26" s="2862"/>
      <c r="B26" s="2863" t="s">
        <v>1746</v>
      </c>
      <c r="C26" s="2864"/>
      <c r="D26" s="2862" t="s">
        <v>1746</v>
      </c>
      <c r="E26" s="2865"/>
      <c r="F26" s="2883"/>
      <c r="G26" s="2883"/>
      <c r="H26" s="2883"/>
      <c r="I26" s="2883"/>
      <c r="J26" s="2658"/>
      <c r="K26" s="2834"/>
      <c r="L26" s="2831"/>
      <c r="M26" s="2831"/>
      <c r="N26" s="2727"/>
      <c r="O26" s="2670"/>
      <c r="P26" s="2727"/>
      <c r="Q26" s="2658"/>
      <c r="R26" s="2658"/>
      <c r="S26" s="2658"/>
      <c r="T26" s="2658"/>
      <c r="U26" s="2658"/>
      <c r="V26" s="2658"/>
    </row>
    <row r="27" spans="1:28" ht="13.5" thickTop="1">
      <c r="A27" s="3249" t="s">
        <v>2920</v>
      </c>
      <c r="B27" s="326" t="s">
        <v>2921</v>
      </c>
      <c r="C27" s="2635" t="s">
        <v>3031</v>
      </c>
      <c r="D27" s="2636"/>
      <c r="E27" s="2882"/>
      <c r="F27" s="2882"/>
      <c r="G27" s="2882"/>
      <c r="H27" s="2882"/>
      <c r="I27" s="2882"/>
      <c r="J27" s="2658"/>
      <c r="K27" s="2836"/>
      <c r="L27" s="2670"/>
      <c r="M27" s="2670"/>
      <c r="N27" s="2727"/>
      <c r="O27" s="2670"/>
      <c r="P27" s="2727"/>
      <c r="Q27" s="2658"/>
      <c r="R27" s="2658"/>
      <c r="S27" s="2658"/>
      <c r="T27" s="2658"/>
      <c r="U27" s="2658"/>
      <c r="V27" s="2658"/>
    </row>
    <row r="28" spans="1:28">
      <c r="A28" s="3249"/>
      <c r="B28" s="308" t="s">
        <v>2922</v>
      </c>
      <c r="C28" s="2637"/>
      <c r="D28" s="2638"/>
      <c r="E28" s="2882"/>
      <c r="F28" s="2882"/>
      <c r="G28" s="2882"/>
      <c r="H28" s="2882"/>
      <c r="I28" s="2882"/>
      <c r="J28" s="2658"/>
      <c r="K28" s="2834"/>
      <c r="L28" s="2831"/>
      <c r="M28" s="2831"/>
      <c r="N28" s="2658"/>
      <c r="O28" s="2669"/>
      <c r="P28" s="2658"/>
      <c r="Q28" s="2658"/>
      <c r="R28" s="2658"/>
      <c r="S28" s="2658"/>
      <c r="T28" s="2658"/>
      <c r="U28" s="2658"/>
      <c r="V28" s="2658"/>
    </row>
    <row r="29" spans="1:28">
      <c r="A29" s="3249"/>
      <c r="B29" s="308" t="s">
        <v>2923</v>
      </c>
      <c r="C29" s="2639"/>
      <c r="D29" s="2640"/>
      <c r="E29" s="2882"/>
      <c r="F29" s="2882"/>
      <c r="G29" s="2882"/>
      <c r="H29" s="2882"/>
      <c r="I29" s="2882"/>
      <c r="J29" s="2658"/>
      <c r="K29" s="2834"/>
      <c r="L29" s="2831"/>
      <c r="M29" s="2831"/>
      <c r="N29" s="2658"/>
      <c r="O29" s="2669"/>
      <c r="P29" s="2658"/>
      <c r="Q29" s="2658"/>
      <c r="R29" s="2658"/>
      <c r="S29" s="2658"/>
      <c r="T29" s="2658"/>
      <c r="U29" s="2658"/>
      <c r="V29" s="2658"/>
    </row>
    <row r="30" spans="1:28">
      <c r="A30" s="3250"/>
      <c r="B30" s="308" t="s">
        <v>2924</v>
      </c>
      <c r="C30" s="3251"/>
      <c r="D30" s="3252"/>
      <c r="E30" s="2882"/>
      <c r="F30" s="2882"/>
      <c r="G30" s="2882"/>
      <c r="H30" s="2882"/>
      <c r="I30" s="2882"/>
      <c r="J30" s="2658"/>
      <c r="K30" s="2834"/>
      <c r="L30" s="2831"/>
      <c r="M30" s="2831"/>
      <c r="N30" s="2658"/>
      <c r="O30" s="2669"/>
      <c r="P30" s="2658"/>
      <c r="Q30" s="2658"/>
      <c r="R30" s="2658"/>
      <c r="S30" s="2658"/>
      <c r="T30" s="2658"/>
      <c r="U30" s="2658"/>
      <c r="V30" s="2658"/>
    </row>
    <row r="31" spans="1:28">
      <c r="A31" s="3253" t="s">
        <v>2925</v>
      </c>
      <c r="B31" s="2641"/>
      <c r="C31" s="2542" t="str">
        <f>IF(B31="现房","成新及维护状况正常否",IF(B31="在建","工程状态是否正常",IF(B31="土地","是否闲置","-")))</f>
        <v>-</v>
      </c>
      <c r="D31" s="1556"/>
      <c r="E31" s="2642"/>
      <c r="F31" s="2882"/>
      <c r="G31" s="2882"/>
      <c r="H31" s="2882"/>
      <c r="I31" s="2882"/>
      <c r="J31" s="2658"/>
      <c r="K31" s="2833"/>
      <c r="L31" s="2831"/>
      <c r="M31" s="2831"/>
      <c r="N31" s="2658"/>
      <c r="O31" s="2669"/>
      <c r="P31" s="2658"/>
      <c r="Q31" s="2658"/>
      <c r="R31" s="2658"/>
      <c r="S31" s="2658"/>
      <c r="T31" s="2658"/>
      <c r="U31" s="2658"/>
      <c r="V31" s="2658"/>
    </row>
    <row r="32" spans="1:28">
      <c r="A32" s="3254"/>
      <c r="B32" s="2641"/>
      <c r="C32" s="2542" t="str">
        <f>IF(B32="现房","成新及维护状况是否正常",IF(B32="在建","工程状态是否正常",IF(B32="土地","是否闲置","-")))</f>
        <v>-</v>
      </c>
      <c r="D32" s="1556"/>
      <c r="E32" s="2642"/>
      <c r="F32" s="2882"/>
      <c r="G32" s="2882"/>
      <c r="H32" s="2882"/>
      <c r="I32" s="2882"/>
      <c r="J32" s="2658"/>
      <c r="K32" s="2834"/>
      <c r="L32" s="2831"/>
      <c r="M32" s="2831"/>
      <c r="N32" s="2658"/>
      <c r="O32" s="2669"/>
      <c r="P32" s="2658"/>
      <c r="Q32" s="2658"/>
      <c r="R32" s="2658"/>
      <c r="S32" s="2658"/>
      <c r="T32" s="2658"/>
      <c r="U32" s="2658"/>
      <c r="V32" s="2658"/>
    </row>
    <row r="33" spans="1:30">
      <c r="A33" s="3254"/>
      <c r="B33" s="2644"/>
      <c r="C33" s="1774" t="str">
        <f>IF(B33="现房","成新及维护状况是否正常",IF(B33="在建","工程状态是否正常",IF(B33="土地","是否闲置","-")))</f>
        <v>-</v>
      </c>
      <c r="D33" s="1548"/>
      <c r="E33" s="2645"/>
      <c r="F33" s="2882"/>
      <c r="G33" s="2882"/>
      <c r="H33" s="2882"/>
      <c r="I33" s="2882"/>
      <c r="J33" s="2658"/>
      <c r="K33" s="2834"/>
      <c r="L33" s="2831"/>
      <c r="M33" s="2831"/>
      <c r="N33" s="2658"/>
      <c r="O33" s="2669"/>
      <c r="P33" s="2658"/>
      <c r="Q33" s="2658"/>
      <c r="R33" s="2658"/>
      <c r="S33" s="2658"/>
      <c r="T33" s="2658"/>
      <c r="U33" s="2658"/>
      <c r="V33" s="2658"/>
    </row>
    <row r="34" spans="1:30">
      <c r="A34" s="308" t="s">
        <v>2926</v>
      </c>
      <c r="B34" s="2210" t="s">
        <v>3032</v>
      </c>
      <c r="C34" s="2210" t="s">
        <v>3033</v>
      </c>
      <c r="D34" s="2210" t="s">
        <v>3034</v>
      </c>
      <c r="E34" s="2210" t="s">
        <v>3035</v>
      </c>
      <c r="F34" s="2210" t="s">
        <v>3036</v>
      </c>
      <c r="G34" s="2210" t="s">
        <v>3037</v>
      </c>
      <c r="H34" s="2210" t="s">
        <v>3038</v>
      </c>
      <c r="I34" s="2882"/>
      <c r="J34" s="2658"/>
      <c r="K34" s="2646">
        <f>COUNTIF(B34:H34,"——")</f>
        <v>0</v>
      </c>
      <c r="L34" s="329" t="s">
        <v>2927</v>
      </c>
      <c r="M34" s="329" t="s">
        <v>2928</v>
      </c>
      <c r="N34" s="329" t="s">
        <v>2929</v>
      </c>
      <c r="O34" s="329" t="s">
        <v>2930</v>
      </c>
      <c r="P34" s="329" t="s">
        <v>2931</v>
      </c>
      <c r="Q34" s="329" t="s">
        <v>2932</v>
      </c>
      <c r="R34" s="329" t="s">
        <v>2933</v>
      </c>
      <c r="S34" s="3248" t="s">
        <v>2934</v>
      </c>
      <c r="T34" s="2647" t="str">
        <f>NUMBERSTRING(7-K34,1)&amp;"通"</f>
        <v>七通</v>
      </c>
      <c r="U34" s="2658"/>
      <c r="V34" s="2658"/>
    </row>
    <row r="35" spans="1:30">
      <c r="A35" s="2648"/>
      <c r="B35" s="3255" t="s">
        <v>2935</v>
      </c>
      <c r="C35" s="3255"/>
      <c r="D35" s="3255"/>
      <c r="E35" s="3255"/>
      <c r="F35" s="673">
        <f>C10</f>
        <v>0</v>
      </c>
      <c r="G35" s="2882"/>
      <c r="H35" s="2882"/>
      <c r="I35" s="2882"/>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48"/>
      <c r="T35" s="335" t="str">
        <f>IF(T34="一通",L35,IF(T34="二通",M35,IF(T34="三通",N35,IF(T34="四通",O35,IF(T34="五通",P35,IF(T34="六通",Q35,R35))))))</f>
        <v>通路、通电、通讯、通上水、通下水、通热、燃气</v>
      </c>
      <c r="U35" s="2658"/>
      <c r="V35" s="2658"/>
    </row>
    <row r="36" spans="1:30">
      <c r="A36" s="2649"/>
      <c r="B36" s="673" t="s">
        <v>2891</v>
      </c>
      <c r="C36" s="673" t="s">
        <v>2892</v>
      </c>
      <c r="D36" s="673" t="s">
        <v>2890</v>
      </c>
      <c r="E36" s="673" t="s">
        <v>2895</v>
      </c>
      <c r="F36" s="2888"/>
      <c r="G36" s="2882"/>
      <c r="H36" s="2882"/>
      <c r="I36" s="2882"/>
      <c r="J36" s="2658"/>
      <c r="K36" s="2834"/>
      <c r="L36" s="2831"/>
      <c r="M36" s="2831"/>
      <c r="N36" s="2658"/>
      <c r="O36" s="2669"/>
      <c r="P36" s="2658"/>
      <c r="Q36" s="2658"/>
      <c r="R36" s="2658"/>
      <c r="S36" s="2658"/>
      <c r="T36" s="2658"/>
      <c r="U36" s="2658"/>
      <c r="V36" s="2658"/>
    </row>
    <row r="37" spans="1:30">
      <c r="A37" s="2849" t="s">
        <v>2936</v>
      </c>
      <c r="B37" s="2650"/>
      <c r="C37" s="2650"/>
      <c r="D37" s="2650" t="s">
        <v>526</v>
      </c>
      <c r="E37" s="2650"/>
      <c r="F37" s="2888"/>
      <c r="G37" s="2882"/>
      <c r="H37" s="2882"/>
      <c r="I37" s="2882"/>
      <c r="J37" s="2658"/>
      <c r="K37" s="2834"/>
      <c r="L37" s="2831"/>
      <c r="M37" s="2831"/>
      <c r="N37" s="2658"/>
      <c r="O37" s="2669"/>
      <c r="P37" s="2658"/>
      <c r="Q37" s="2658"/>
      <c r="R37" s="2658"/>
      <c r="S37" s="2658"/>
      <c r="T37" s="2658"/>
      <c r="U37" s="2658"/>
      <c r="V37" s="2658"/>
    </row>
    <row r="38" spans="1:30" ht="13.5" thickBot="1">
      <c r="A38" s="2850" t="s">
        <v>2937</v>
      </c>
      <c r="B38" s="2651"/>
      <c r="C38" s="2651"/>
      <c r="D38" s="2651" t="s">
        <v>3204</v>
      </c>
      <c r="E38" s="2651"/>
      <c r="F38" s="2889"/>
      <c r="G38" s="2883"/>
      <c r="H38" s="2883"/>
      <c r="I38" s="2883"/>
      <c r="J38" s="2658"/>
      <c r="K38" s="2834"/>
      <c r="L38" s="2831"/>
      <c r="M38" s="2831"/>
      <c r="N38" s="2658"/>
      <c r="O38" s="2669"/>
      <c r="P38" s="2658"/>
      <c r="Q38" s="2658"/>
      <c r="R38" s="2658"/>
      <c r="S38" s="2658"/>
      <c r="T38" s="2658"/>
      <c r="U38" s="2658"/>
      <c r="V38" s="2658"/>
    </row>
    <row r="39" spans="1:30" s="2654" customFormat="1" ht="14.25" thickTop="1" thickBot="1">
      <c r="A39" s="2652" t="s">
        <v>2938</v>
      </c>
      <c r="B39" s="2653"/>
      <c r="C39" s="2653"/>
      <c r="D39" s="2653"/>
      <c r="E39" s="2653"/>
      <c r="F39" s="2653"/>
      <c r="G39" s="2653"/>
      <c r="H39" s="2653"/>
      <c r="I39" s="2653"/>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90"/>
      <c r="B40" s="2590"/>
      <c r="C40" s="2590"/>
      <c r="D40" s="2590"/>
      <c r="E40" s="2590"/>
      <c r="F40" s="2590"/>
      <c r="G40" s="2590"/>
      <c r="H40" s="2590"/>
      <c r="I40" s="1762"/>
      <c r="J40" s="2727"/>
      <c r="K40" s="2833"/>
      <c r="L40" s="2670"/>
      <c r="M40" s="2670"/>
      <c r="N40" s="2727"/>
      <c r="O40" s="2670"/>
      <c r="P40" s="2658"/>
      <c r="Q40" s="2658"/>
      <c r="R40" s="2658"/>
      <c r="S40" s="2658"/>
      <c r="T40" s="2658"/>
      <c r="U40" s="2658"/>
      <c r="V40" s="2658"/>
    </row>
    <row r="41" spans="1:30">
      <c r="A41" s="2655" t="s">
        <v>2939</v>
      </c>
      <c r="B41" s="1941"/>
      <c r="C41" s="1556"/>
      <c r="D41" s="2590"/>
      <c r="E41" s="2590"/>
      <c r="F41" s="2590"/>
      <c r="G41" s="2590"/>
      <c r="H41" s="2590"/>
      <c r="I41" s="1760"/>
      <c r="J41" s="2658"/>
      <c r="K41" s="2834"/>
      <c r="L41" s="2831"/>
      <c r="M41" s="2831"/>
      <c r="N41" s="2658"/>
      <c r="O41" s="2669"/>
      <c r="P41" s="2658"/>
      <c r="Q41" s="2658"/>
      <c r="R41" s="2658"/>
      <c r="S41" s="2658"/>
      <c r="T41" s="2658"/>
      <c r="U41" s="2658"/>
      <c r="V41" s="2658"/>
    </row>
    <row r="42" spans="1:30" ht="25.5">
      <c r="A42" s="329" t="s">
        <v>2940</v>
      </c>
      <c r="B42" s="11" t="s">
        <v>2941</v>
      </c>
      <c r="C42" s="11" t="s">
        <v>2942</v>
      </c>
      <c r="D42" s="11" t="s">
        <v>2943</v>
      </c>
      <c r="E42" s="11" t="s">
        <v>2944</v>
      </c>
      <c r="F42" s="11" t="s">
        <v>2945</v>
      </c>
      <c r="G42" s="11" t="s">
        <v>2946</v>
      </c>
      <c r="H42" s="11" t="s">
        <v>2947</v>
      </c>
      <c r="I42" s="11" t="s">
        <v>2948</v>
      </c>
      <c r="J42" s="2845" t="s">
        <v>2949</v>
      </c>
      <c r="K42" s="2846" t="s">
        <v>2950</v>
      </c>
      <c r="L42" s="2846" t="s">
        <v>2951</v>
      </c>
      <c r="M42" s="2846" t="s">
        <v>2952</v>
      </c>
      <c r="N42" s="2839" t="s">
        <v>2953</v>
      </c>
      <c r="O42" s="2839" t="s">
        <v>2954</v>
      </c>
      <c r="P42" s="2839" t="s">
        <v>2955</v>
      </c>
      <c r="Q42" s="2840" t="s">
        <v>2956</v>
      </c>
      <c r="R42" s="2840" t="s">
        <v>2957</v>
      </c>
      <c r="S42" s="2658"/>
      <c r="T42" s="2658"/>
      <c r="U42" s="2658"/>
      <c r="V42" s="2658"/>
    </row>
    <row r="43" spans="1:30" s="1927" customFormat="1">
      <c r="A43" s="1754"/>
      <c r="B43" s="1182"/>
      <c r="C43" s="1182"/>
      <c r="D43" s="1182"/>
      <c r="E43" s="1182"/>
      <c r="F43" s="1182"/>
      <c r="G43" s="1182"/>
      <c r="H43" s="1182"/>
      <c r="I43" s="1182"/>
      <c r="J43" s="2656"/>
      <c r="K43" s="2657"/>
      <c r="L43" s="2657"/>
      <c r="M43" s="1182"/>
      <c r="N43" s="1182"/>
      <c r="O43" s="1182"/>
      <c r="P43" s="1182"/>
      <c r="Q43" s="1182"/>
      <c r="R43" s="1182"/>
      <c r="S43" s="2658"/>
      <c r="T43" s="2658"/>
      <c r="U43" s="2658"/>
      <c r="V43" s="2658"/>
    </row>
    <row r="44" spans="1:30" s="1927" customFormat="1">
      <c r="A44" s="1754"/>
      <c r="B44" s="1754"/>
      <c r="C44" s="1182"/>
      <c r="D44" s="1182"/>
      <c r="E44" s="1182"/>
      <c r="F44" s="1182"/>
      <c r="G44" s="1182"/>
      <c r="H44" s="1182"/>
      <c r="I44" s="1182"/>
      <c r="J44" s="2656"/>
      <c r="K44" s="2657"/>
      <c r="L44" s="2657"/>
      <c r="M44" s="1182"/>
      <c r="N44" s="1182"/>
      <c r="O44" s="1182"/>
      <c r="P44" s="1182"/>
      <c r="Q44" s="1182"/>
      <c r="R44" s="1182"/>
      <c r="S44" s="2658"/>
      <c r="T44" s="2658"/>
      <c r="U44" s="2658"/>
      <c r="V44" s="2658"/>
    </row>
    <row r="45" spans="1:30" s="1927" customFormat="1">
      <c r="A45" s="1754"/>
      <c r="B45" s="1754"/>
      <c r="C45" s="1182"/>
      <c r="D45" s="1182"/>
      <c r="E45" s="1182"/>
      <c r="F45" s="1182"/>
      <c r="G45" s="1182"/>
      <c r="H45" s="1182"/>
      <c r="I45" s="1182"/>
      <c r="J45" s="2656"/>
      <c r="K45" s="2657"/>
      <c r="L45" s="2657"/>
      <c r="M45" s="1182"/>
      <c r="N45" s="1182"/>
      <c r="O45" s="1182"/>
      <c r="P45" s="1182"/>
      <c r="Q45" s="1182"/>
      <c r="R45" s="1182"/>
      <c r="S45" s="2658"/>
      <c r="T45" s="2658"/>
      <c r="U45" s="2658"/>
      <c r="V45" s="2658"/>
    </row>
    <row r="46" spans="1:30" s="1927" customFormat="1">
      <c r="A46" s="1754"/>
      <c r="B46" s="1754"/>
      <c r="C46" s="1182"/>
      <c r="D46" s="1182"/>
      <c r="E46" s="1182"/>
      <c r="F46" s="1182"/>
      <c r="G46" s="1182"/>
      <c r="H46" s="1182"/>
      <c r="I46" s="1182"/>
      <c r="J46" s="2656"/>
      <c r="K46" s="2657"/>
      <c r="L46" s="2657"/>
      <c r="M46" s="1182"/>
      <c r="N46" s="1182"/>
      <c r="O46" s="1182"/>
      <c r="P46" s="1182"/>
      <c r="Q46" s="1182"/>
      <c r="R46" s="1182"/>
      <c r="S46" s="2658"/>
      <c r="T46" s="2658"/>
      <c r="U46" s="2658"/>
      <c r="V46" s="2658"/>
    </row>
    <row r="47" spans="1:30" s="1927" customFormat="1">
      <c r="A47" s="1754"/>
      <c r="B47" s="1754"/>
      <c r="C47" s="1182"/>
      <c r="D47" s="1182"/>
      <c r="E47" s="1182"/>
      <c r="F47" s="1182"/>
      <c r="G47" s="1182"/>
      <c r="H47" s="1182"/>
      <c r="I47" s="1182"/>
      <c r="J47" s="2656"/>
      <c r="K47" s="2657"/>
      <c r="L47" s="2657"/>
      <c r="M47" s="1182"/>
      <c r="N47" s="1182"/>
      <c r="O47" s="1182"/>
      <c r="P47" s="1182"/>
      <c r="Q47" s="1182"/>
      <c r="R47" s="1182"/>
      <c r="S47" s="2658"/>
      <c r="T47" s="2658"/>
      <c r="U47" s="2658"/>
      <c r="V47" s="2658"/>
    </row>
    <row r="48" spans="1:30" s="1927" customFormat="1">
      <c r="A48" s="1754"/>
      <c r="B48" s="1754"/>
      <c r="C48" s="1182"/>
      <c r="D48" s="1182"/>
      <c r="E48" s="1182"/>
      <c r="F48" s="1182"/>
      <c r="G48" s="1182"/>
      <c r="H48" s="1182"/>
      <c r="I48" s="1182"/>
      <c r="J48" s="2656"/>
      <c r="K48" s="2657"/>
      <c r="L48" s="2657"/>
      <c r="M48" s="1182"/>
      <c r="N48" s="1182"/>
      <c r="O48" s="1182"/>
      <c r="P48" s="1182"/>
      <c r="Q48" s="1182"/>
      <c r="R48" s="1182"/>
      <c r="S48" s="2658"/>
      <c r="T48" s="2658"/>
      <c r="U48" s="2658"/>
      <c r="V48" s="2658"/>
    </row>
    <row r="49" spans="1:22" s="1927" customFormat="1">
      <c r="A49" s="1754"/>
      <c r="B49" s="1754"/>
      <c r="C49" s="1182"/>
      <c r="D49" s="1182"/>
      <c r="E49" s="1182"/>
      <c r="F49" s="1182"/>
      <c r="G49" s="1182"/>
      <c r="H49" s="1182"/>
      <c r="I49" s="1182"/>
      <c r="J49" s="2656"/>
      <c r="K49" s="2657"/>
      <c r="L49" s="2657"/>
      <c r="M49" s="1182"/>
      <c r="N49" s="1182"/>
      <c r="O49" s="1182"/>
      <c r="P49" s="1182"/>
      <c r="Q49" s="1182"/>
      <c r="R49" s="1182"/>
      <c r="S49" s="2658"/>
      <c r="T49" s="2658"/>
      <c r="U49" s="2658"/>
      <c r="V49" s="2658"/>
    </row>
    <row r="50" spans="1:22" s="1927" customFormat="1">
      <c r="A50" s="1754"/>
      <c r="B50" s="1754"/>
      <c r="C50" s="1182"/>
      <c r="D50" s="1182"/>
      <c r="E50" s="1182"/>
      <c r="F50" s="1182"/>
      <c r="G50" s="1182"/>
      <c r="H50" s="1182"/>
      <c r="I50" s="1182"/>
      <c r="J50" s="2656"/>
      <c r="K50" s="2657"/>
      <c r="L50" s="2657"/>
      <c r="M50" s="1182"/>
      <c r="N50" s="1182"/>
      <c r="O50" s="1182"/>
      <c r="P50" s="1182"/>
      <c r="Q50" s="1182"/>
      <c r="R50" s="1182"/>
      <c r="S50" s="2658"/>
      <c r="T50" s="2658"/>
      <c r="U50" s="2658"/>
      <c r="V50" s="2658"/>
    </row>
    <row r="51" spans="1:22" s="1927" customFormat="1">
      <c r="A51" s="1754"/>
      <c r="B51" s="1754"/>
      <c r="C51" s="1182"/>
      <c r="D51" s="1182"/>
      <c r="E51" s="1182"/>
      <c r="F51" s="1182"/>
      <c r="G51" s="1182"/>
      <c r="H51" s="1182"/>
      <c r="I51" s="1182"/>
      <c r="J51" s="2656"/>
      <c r="K51" s="2657"/>
      <c r="L51" s="2657"/>
      <c r="M51" s="1182"/>
      <c r="N51" s="1182"/>
      <c r="O51" s="1182"/>
      <c r="P51" s="1182"/>
      <c r="Q51" s="1182"/>
      <c r="R51" s="1182"/>
    </row>
    <row r="52" spans="1:22" s="1927" customFormat="1">
      <c r="A52" s="1754"/>
      <c r="B52" s="1754"/>
      <c r="C52" s="1754"/>
      <c r="D52" s="1754"/>
      <c r="E52" s="1754"/>
      <c r="F52" s="1182"/>
      <c r="G52" s="1754"/>
      <c r="H52" s="1754"/>
      <c r="I52" s="1754"/>
      <c r="J52" s="2659"/>
      <c r="K52" s="2657"/>
      <c r="L52" s="2657"/>
      <c r="M52" s="2657"/>
      <c r="N52" s="1754"/>
      <c r="O52" s="1754"/>
      <c r="P52" s="1754"/>
      <c r="Q52" s="1754"/>
      <c r="R52" s="1754"/>
    </row>
    <row r="53" spans="1:22" s="1927" customFormat="1">
      <c r="A53" s="1754"/>
      <c r="B53" s="1754"/>
      <c r="C53" s="1754"/>
      <c r="D53" s="1754"/>
      <c r="E53" s="1754"/>
      <c r="F53" s="1182"/>
      <c r="G53" s="1754"/>
      <c r="H53" s="1754"/>
      <c r="I53" s="1754"/>
      <c r="J53" s="2659"/>
      <c r="K53" s="2657"/>
      <c r="L53" s="2657"/>
      <c r="M53" s="2657"/>
      <c r="N53" s="1754"/>
      <c r="O53" s="1754"/>
      <c r="P53" s="1754"/>
      <c r="Q53" s="1754"/>
      <c r="R53" s="1754"/>
    </row>
    <row r="54" spans="1:22" s="1927" customFormat="1">
      <c r="A54" s="1754"/>
      <c r="B54" s="1754"/>
      <c r="C54" s="1754"/>
      <c r="D54" s="1754"/>
      <c r="E54" s="1754"/>
      <c r="F54" s="1182"/>
      <c r="G54" s="1754"/>
      <c r="H54" s="1754"/>
      <c r="I54" s="1754"/>
      <c r="J54" s="2659"/>
      <c r="K54" s="2657"/>
      <c r="L54" s="2657"/>
      <c r="M54" s="2657"/>
      <c r="N54" s="1754"/>
      <c r="O54" s="1754"/>
      <c r="P54" s="1754"/>
      <c r="Q54" s="1754"/>
      <c r="R54" s="1754"/>
    </row>
    <row r="55" spans="1:22" s="1927" customFormat="1">
      <c r="A55" s="1754"/>
      <c r="B55" s="1754"/>
      <c r="C55" s="1754"/>
      <c r="D55" s="1754"/>
      <c r="E55" s="1754"/>
      <c r="F55" s="1182"/>
      <c r="G55" s="1754"/>
      <c r="H55" s="1754"/>
      <c r="I55" s="1754"/>
      <c r="J55" s="2659"/>
      <c r="K55" s="2657"/>
      <c r="L55" s="2657"/>
      <c r="M55" s="2657"/>
      <c r="N55" s="1754"/>
      <c r="O55" s="1754"/>
      <c r="P55" s="1754"/>
      <c r="Q55" s="1754"/>
      <c r="R55" s="1754"/>
    </row>
    <row r="56" spans="1:22" s="1927" customFormat="1">
      <c r="A56" s="1754"/>
      <c r="B56" s="1754"/>
      <c r="C56" s="1754"/>
      <c r="D56" s="1754"/>
      <c r="E56" s="1754"/>
      <c r="F56" s="1182"/>
      <c r="G56" s="1754"/>
      <c r="H56" s="1754"/>
      <c r="I56" s="1754"/>
      <c r="J56" s="2659"/>
      <c r="K56" s="2657"/>
      <c r="L56" s="2657"/>
      <c r="M56" s="2657"/>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1752</v>
      </c>
      <c r="AZ2" s="1180"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ROUND(G13/B13*A13+G14/B14*A14,2)</f>
        <v>37742.35</v>
      </c>
      <c r="B3" s="14">
        <f>IF(C3="否",G5-AT5,G5)</f>
        <v>130002.77000000002</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130002.77000000002</v>
      </c>
      <c r="H5" s="16">
        <f t="shared" ref="H5:AT5" si="0">SUM(H13:H656)</f>
        <v>130002.77000000002</v>
      </c>
      <c r="I5" s="16">
        <f t="shared" si="0"/>
        <v>101252.65000000002</v>
      </c>
      <c r="J5" s="16">
        <f t="shared" si="0"/>
        <v>0</v>
      </c>
      <c r="K5" s="16">
        <f t="shared" si="0"/>
        <v>20301.22</v>
      </c>
      <c r="L5" s="16">
        <f t="shared" si="0"/>
        <v>0</v>
      </c>
      <c r="M5" s="16">
        <f t="shared" si="0"/>
        <v>8448.9000000000015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130002.77000000002</v>
      </c>
      <c r="BA5" s="18">
        <f t="shared" si="1"/>
        <v>130002.77000000002</v>
      </c>
      <c r="BB5" s="18">
        <f t="shared" si="1"/>
        <v>101252.65000000002</v>
      </c>
      <c r="BC5" s="18">
        <f t="shared" si="1"/>
        <v>20301.22</v>
      </c>
      <c r="BD5" s="18">
        <f t="shared" si="1"/>
        <v>8448.9000000000015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37742.35</v>
      </c>
      <c r="F6" s="16" t="s">
        <v>1</v>
      </c>
      <c r="G6" s="16" t="s">
        <v>2</v>
      </c>
      <c r="H6" s="20">
        <f>SUMIF(I$12:AB$12,"总值",I6:AB6)</f>
        <v>37742.35</v>
      </c>
      <c r="I6" s="16">
        <f t="shared" ref="I6:AB6" si="2">ROUND($A$3*I5/$B$3,2)</f>
        <v>29395.63</v>
      </c>
      <c r="J6" s="16">
        <f t="shared" si="2"/>
        <v>0</v>
      </c>
      <c r="K6" s="16">
        <f t="shared" si="2"/>
        <v>5893.84</v>
      </c>
      <c r="L6" s="16">
        <f t="shared" si="2"/>
        <v>0</v>
      </c>
      <c r="M6" s="16">
        <f t="shared" si="2"/>
        <v>2452.88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37742.35</v>
      </c>
      <c r="AZ6" s="16" t="s">
        <v>3</v>
      </c>
      <c r="BA6" s="16">
        <f>ROUND($AY$6*BA5/$AZ$5,2)</f>
        <v>37742.35</v>
      </c>
      <c r="BB6" s="16">
        <f>ROUND($AY$6*BB5/$AZ$5,2)</f>
        <v>29395.63</v>
      </c>
      <c r="BC6" s="16">
        <f t="shared" ref="BC6:BH6" si="4">ROUND($AY$6*BC5/$AZ$5,2)</f>
        <v>5893.84</v>
      </c>
      <c r="BD6" s="16">
        <f t="shared" si="4"/>
        <v>2452.88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3162</v>
      </c>
      <c r="J9" s="918"/>
      <c r="K9" s="1787" t="s">
        <v>3165</v>
      </c>
      <c r="L9" s="918"/>
      <c r="M9" s="1787" t="s">
        <v>3165</v>
      </c>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3158</v>
      </c>
      <c r="J10" s="918"/>
      <c r="K10" s="1793" t="s">
        <v>3226</v>
      </c>
      <c r="L10" s="918"/>
      <c r="M10" s="1793" t="s">
        <v>3227</v>
      </c>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3163</v>
      </c>
      <c r="J11" s="1799"/>
      <c r="K11" s="1798" t="s">
        <v>3226</v>
      </c>
      <c r="L11" s="1799"/>
      <c r="M11" s="1798" t="s">
        <v>3228</v>
      </c>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住宅</v>
      </c>
      <c r="BC11" s="1783" t="str">
        <f>K10</f>
        <v>车库</v>
      </c>
      <c r="BD11" s="1783" t="str">
        <f>M10</f>
        <v>仓储</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自持住宅</v>
      </c>
      <c r="BC12" s="1808" t="str">
        <f>K11</f>
        <v>车库</v>
      </c>
      <c r="BD12" s="1808" t="str">
        <f>M11</f>
        <v>戊类库房</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v>17187.740000000002</v>
      </c>
      <c r="B13" s="1182">
        <v>61543.259999999995</v>
      </c>
      <c r="C13" s="3062" t="s">
        <v>3159</v>
      </c>
      <c r="D13" s="1809" t="s">
        <v>3161</v>
      </c>
      <c r="E13" s="16">
        <f>IF($C$3="是",ROUND($A$3*G13/$B$3,2),ROUND($A$3*(G13-AT13)/$B$3,2))</f>
        <v>12987.6</v>
      </c>
      <c r="F13" s="32"/>
      <c r="G13" s="33">
        <f>H13+AC13+AT13</f>
        <v>44735.520000000011</v>
      </c>
      <c r="H13" s="20">
        <f>SUMIF(I$12:AB$12,"总值",I13:AB13)</f>
        <v>44735.520000000011</v>
      </c>
      <c r="I13" s="1810">
        <v>29097.760000000009</v>
      </c>
      <c r="J13" s="1810"/>
      <c r="K13" s="1810">
        <v>10132.66</v>
      </c>
      <c r="L13" s="1810"/>
      <c r="M13" s="1810">
        <v>5505.1</v>
      </c>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17187.740000000002</v>
      </c>
      <c r="AW13" s="11">
        <f t="shared" si="6"/>
        <v>61543.259999999995</v>
      </c>
      <c r="AX13" s="11" t="str">
        <f t="shared" si="6"/>
        <v>06地块住宅</v>
      </c>
      <c r="AY13" s="1532">
        <f>ROUND($AY$6*AZ13/$AZ$5,2)</f>
        <v>12987.6</v>
      </c>
      <c r="AZ13" s="16">
        <f>BA13+BL13</f>
        <v>44735.520000000011</v>
      </c>
      <c r="BA13" s="16">
        <f>SUM(BB13:BK13)</f>
        <v>44735.520000000011</v>
      </c>
      <c r="BB13" s="16">
        <f>IF($D13="是",I13-J13,0)</f>
        <v>29097.760000000009</v>
      </c>
      <c r="BC13" s="16">
        <f>IF($D13="是",K13-L13,0)</f>
        <v>10132.66</v>
      </c>
      <c r="BD13" s="16">
        <f>IF($D13="是",M13-N13,0)</f>
        <v>5505.1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v>49191.79</v>
      </c>
      <c r="B14" s="1182">
        <v>166125.62000000002</v>
      </c>
      <c r="C14" s="3062" t="s">
        <v>3160</v>
      </c>
      <c r="D14" s="1809" t="s">
        <v>3161</v>
      </c>
      <c r="E14" s="16">
        <f>IF($C$3="是",ROUND($A$3*G14/$B$3,2),ROUND($A$3*(G14-AT14)/$B$3,2))</f>
        <v>24754.75</v>
      </c>
      <c r="F14" s="32"/>
      <c r="G14" s="33">
        <f>H14+AC14+AT14</f>
        <v>85267.250000000015</v>
      </c>
      <c r="H14" s="20">
        <f>SUMIF(I$12:AB$12,"总值",I14:AB14)</f>
        <v>85267.250000000015</v>
      </c>
      <c r="I14" s="1810">
        <v>72154.890000000014</v>
      </c>
      <c r="J14" s="1810"/>
      <c r="K14" s="1810">
        <v>10168.56</v>
      </c>
      <c r="L14" s="1810"/>
      <c r="M14" s="1810">
        <v>2943.8</v>
      </c>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49191.79</v>
      </c>
      <c r="AW14" s="11">
        <f t="shared" si="6"/>
        <v>166125.62000000002</v>
      </c>
      <c r="AX14" s="11" t="str">
        <f t="shared" si="6"/>
        <v>07地块住宅</v>
      </c>
      <c r="AY14" s="1532">
        <f>ROUND($AY$6*AZ14/$AZ$5,2)</f>
        <v>24754.75</v>
      </c>
      <c r="AZ14" s="16">
        <f>BA14+BL14</f>
        <v>85267.250000000015</v>
      </c>
      <c r="BA14" s="16">
        <f>SUM(BB14:BK14)</f>
        <v>85267.250000000015</v>
      </c>
      <c r="BB14" s="16">
        <f>IF($D14="是",I14-J14,0)</f>
        <v>72154.890000000014</v>
      </c>
      <c r="BC14" s="16">
        <f>IF($D14="是",K14-L14,0)</f>
        <v>10168.56</v>
      </c>
      <c r="BD14" s="16">
        <f>IF($D14="是",M14-N14,0)</f>
        <v>2943.8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62"/>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62"/>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62"/>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146035</v>
      </c>
      <c r="B18" s="34"/>
      <c r="C18" s="3063"/>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146035</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65">
        <f>ROUND(A18/(A13+A14),2)</f>
        <v>2.2000000000000002</v>
      </c>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2.2000000000000002</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6" t="s">
        <v>0</v>
      </c>
      <c r="B1" s="3256" t="s">
        <v>4</v>
      </c>
      <c r="C1" s="3256" t="s">
        <v>5</v>
      </c>
      <c r="D1" s="3257" t="s">
        <v>53</v>
      </c>
      <c r="E1" s="3257" t="s">
        <v>54</v>
      </c>
      <c r="F1" s="3257"/>
      <c r="G1" s="3257"/>
      <c r="H1" s="3257"/>
      <c r="I1" s="3257"/>
      <c r="J1" s="3257"/>
      <c r="K1" s="3257"/>
      <c r="L1" s="3257"/>
      <c r="M1" s="3257"/>
    </row>
    <row r="2" spans="1:13" ht="27" customHeight="1">
      <c r="A2" s="3256"/>
      <c r="B2" s="3256"/>
      <c r="C2" s="3256"/>
      <c r="D2" s="3257"/>
      <c r="E2" s="3257" t="s">
        <v>37</v>
      </c>
      <c r="F2" s="3257" t="s">
        <v>38</v>
      </c>
      <c r="G2" s="3257"/>
      <c r="H2" s="3257"/>
      <c r="I2" s="3257"/>
      <c r="J2" s="3257" t="s">
        <v>39</v>
      </c>
      <c r="K2" s="3257"/>
      <c r="L2" s="3257"/>
      <c r="M2" s="3257"/>
    </row>
    <row r="3" spans="1:13" ht="28.5">
      <c r="A3" s="3256"/>
      <c r="B3" s="3256"/>
      <c r="C3" s="3256"/>
      <c r="D3" s="3257"/>
      <c r="E3" s="32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7" t="s">
        <v>55</v>
      </c>
      <c r="B9" s="3257"/>
      <c r="C9" s="32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12" sqref="E1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68"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267" t="s">
        <v>1816</v>
      </c>
      <c r="B2" s="3267"/>
      <c r="C2" s="3267"/>
      <c r="D2" s="904" t="s">
        <v>1792</v>
      </c>
      <c r="E2" s="1823" t="s">
        <v>1793</v>
      </c>
      <c r="F2" s="2877"/>
      <c r="G2" s="2869"/>
      <c r="H2" s="2870"/>
      <c r="I2" s="2544" t="s">
        <v>1817</v>
      </c>
      <c r="J2" s="2877"/>
      <c r="K2" s="2877"/>
      <c r="L2" s="2877"/>
      <c r="M2" s="2877"/>
      <c r="N2" s="2879"/>
      <c r="O2" s="2877"/>
      <c r="P2" s="2877"/>
    </row>
    <row r="3" spans="1:16" ht="15.75" thickBot="1">
      <c r="A3" s="3268" t="s">
        <v>1790</v>
      </c>
      <c r="B3" s="3268"/>
      <c r="C3" s="3268"/>
      <c r="D3" s="46">
        <f>'数据-基础表'!AY6</f>
        <v>37742.35</v>
      </c>
      <c r="E3" s="46">
        <f>'数据-基础表'!AZ5</f>
        <v>130002.77000000002</v>
      </c>
      <c r="F3" s="2877"/>
      <c r="G3" s="1306"/>
      <c r="H3" s="1157" t="s">
        <v>1791</v>
      </c>
      <c r="I3" s="964">
        <f>ROUND('数据-基础表'!B3/'数据-基础表'!A3,2)</f>
        <v>3.44</v>
      </c>
      <c r="J3" s="2877"/>
      <c r="K3" s="2877"/>
      <c r="L3" s="2877"/>
      <c r="M3" s="2877"/>
      <c r="N3" s="2879"/>
      <c r="O3" s="2877"/>
      <c r="P3" s="2877"/>
    </row>
    <row r="4" spans="1:16" ht="15">
      <c r="A4" s="3269"/>
      <c r="B4" s="3270"/>
      <c r="C4" s="3271"/>
      <c r="D4" s="1825" t="s">
        <v>1792</v>
      </c>
      <c r="E4" s="1826" t="s">
        <v>1793</v>
      </c>
      <c r="F4" s="2877"/>
      <c r="G4" s="2871" t="s">
        <v>1818</v>
      </c>
      <c r="H4" s="1157" t="s">
        <v>1798</v>
      </c>
      <c r="I4" s="964">
        <f>ROUND(SUMIF('数据-基础表'!I9:AS9,"地上",'数据-基础表'!I5:AS5)/'数据-基础表'!A3,2)</f>
        <v>2.68</v>
      </c>
      <c r="J4" s="2877"/>
      <c r="K4" s="2877"/>
      <c r="L4" s="2877"/>
      <c r="M4" s="2877"/>
      <c r="N4" s="2879"/>
      <c r="O4" s="2877"/>
      <c r="P4" s="2877"/>
    </row>
    <row r="5" spans="1:16">
      <c r="A5" s="47" t="s">
        <v>1794</v>
      </c>
      <c r="B5" s="3272" t="s">
        <v>1795</v>
      </c>
      <c r="C5" s="3272"/>
      <c r="D5" s="48">
        <f>ROUND($D$3*E5/$E$3,2)</f>
        <v>29395.63</v>
      </c>
      <c r="E5" s="49">
        <f>SUMIF('数据-基础表'!$11:$11,"住宅",'数据-基础表'!$5:$5)</f>
        <v>101252.65000000002</v>
      </c>
      <c r="F5" s="2877"/>
      <c r="G5" s="1306"/>
      <c r="H5" s="1157" t="s">
        <v>1791</v>
      </c>
      <c r="I5" s="964">
        <f>ROUND(E31/D31,2)</f>
        <v>3.44</v>
      </c>
      <c r="J5" s="2877"/>
      <c r="K5" s="2877"/>
      <c r="L5" s="2877"/>
      <c r="M5" s="2877"/>
      <c r="N5" s="2877"/>
      <c r="O5" s="2877"/>
      <c r="P5" s="2877"/>
    </row>
    <row r="6" spans="1:16" ht="15" thickBot="1">
      <c r="A6" s="1828"/>
      <c r="B6" s="3272" t="s">
        <v>1796</v>
      </c>
      <c r="C6" s="3272"/>
      <c r="D6" s="48">
        <f>ROUND($D$3*E6/$E$3,2)</f>
        <v>8346.7199999999993</v>
      </c>
      <c r="E6" s="49">
        <f>E3-E5</f>
        <v>28750.119999999995</v>
      </c>
      <c r="F6" s="2877"/>
      <c r="G6" s="2872" t="s">
        <v>1797</v>
      </c>
      <c r="H6" s="1307" t="s">
        <v>1798</v>
      </c>
      <c r="I6" s="2873">
        <f>ROUND(F31/D31,2)</f>
        <v>2.68</v>
      </c>
      <c r="J6" s="2877"/>
      <c r="K6" s="2877"/>
      <c r="L6" s="2877"/>
      <c r="M6" s="2877"/>
      <c r="N6" s="2877"/>
      <c r="O6" s="2877"/>
      <c r="P6" s="2877"/>
    </row>
    <row r="7" spans="1:16" ht="15.75" thickBot="1">
      <c r="A7" s="3264"/>
      <c r="B7" s="3265"/>
      <c r="C7" s="3266"/>
      <c r="D7" s="1825" t="s">
        <v>1792</v>
      </c>
      <c r="E7" s="1829" t="s">
        <v>1799</v>
      </c>
      <c r="F7" s="2877"/>
      <c r="G7" s="2874" t="s">
        <v>1800</v>
      </c>
      <c r="H7" s="2875"/>
      <c r="I7" s="3066">
        <f>'数据-基础表'!A19</f>
        <v>2.2000000000000002</v>
      </c>
      <c r="J7" s="2877"/>
      <c r="K7" s="2877"/>
      <c r="L7" s="2877"/>
      <c r="M7" s="2877"/>
      <c r="N7" s="2877"/>
      <c r="O7" s="2877"/>
      <c r="P7" s="2877"/>
    </row>
    <row r="8" spans="1:16">
      <c r="A8" s="47" t="s">
        <v>1801</v>
      </c>
      <c r="B8" s="50" t="s">
        <v>1802</v>
      </c>
      <c r="C8" s="48" t="s">
        <v>1803</v>
      </c>
      <c r="D8" s="48">
        <f t="shared" ref="D8:D15" si="0">ROUND($D$3*E8/$E$3,2)</f>
        <v>29395.63</v>
      </c>
      <c r="E8" s="51">
        <f>SUMIF('数据-基础表'!BB10:BK10,"地上",'数据-基础表'!BB5:BK5)</f>
        <v>101252.65000000002</v>
      </c>
      <c r="F8" s="2877"/>
      <c r="G8" s="2878"/>
      <c r="H8" s="2878"/>
      <c r="I8" s="2877"/>
      <c r="J8" s="2877"/>
      <c r="K8" s="2877"/>
      <c r="L8" s="2877"/>
      <c r="M8" s="2877"/>
      <c r="N8" s="2877"/>
      <c r="O8" s="2877"/>
      <c r="P8" s="2877"/>
    </row>
    <row r="9" spans="1:16">
      <c r="A9" s="1830"/>
      <c r="B9" s="1831"/>
      <c r="C9" s="48" t="s">
        <v>1804</v>
      </c>
      <c r="D9" s="48">
        <f t="shared" si="0"/>
        <v>0</v>
      </c>
      <c r="E9" s="52">
        <v>0</v>
      </c>
      <c r="F9" s="2877"/>
      <c r="G9" s="2878"/>
      <c r="H9" s="2878"/>
      <c r="I9" s="2877"/>
      <c r="J9" s="2877"/>
      <c r="K9" s="2877"/>
      <c r="L9" s="2877"/>
      <c r="M9" s="2877"/>
      <c r="N9" s="2877"/>
      <c r="O9" s="2877"/>
      <c r="P9" s="2877"/>
    </row>
    <row r="10" spans="1:16">
      <c r="A10" s="1830"/>
      <c r="B10" s="1831"/>
      <c r="C10" s="48" t="s">
        <v>1813</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0"/>
      <c r="B11" s="1831"/>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0"/>
      <c r="B12" s="1831"/>
      <c r="C12" s="48" t="s">
        <v>1806</v>
      </c>
      <c r="D12" s="48">
        <f t="shared" si="0"/>
        <v>2452.88</v>
      </c>
      <c r="E12" s="51">
        <f>SUMPRODUCT(('数据-基础表'!BB10:BK10="地下")*('数据-基础表'!BB11:BK11="仓储")*('数据-基础表'!BB5:BK5))</f>
        <v>8448.9000000000015</v>
      </c>
      <c r="F12" s="2877"/>
      <c r="G12" s="2878"/>
      <c r="H12" s="2878"/>
      <c r="I12" s="2877"/>
      <c r="J12" s="2877"/>
      <c r="K12" s="2877"/>
      <c r="L12" s="2877"/>
      <c r="M12" s="2877"/>
      <c r="N12" s="2877"/>
      <c r="O12" s="2877"/>
      <c r="P12" s="2877"/>
    </row>
    <row r="13" spans="1:16">
      <c r="A13" s="1830"/>
      <c r="B13" s="1831"/>
      <c r="C13" s="48" t="s">
        <v>1807</v>
      </c>
      <c r="D13" s="48">
        <f t="shared" si="0"/>
        <v>5893.84</v>
      </c>
      <c r="E13" s="51">
        <f>SUMPRODUCT(('数据-基础表'!BB10:BK10="地下")*('数据-基础表'!BB11:BK11="车库")*('数据-基础表'!BB5:BK5))</f>
        <v>20301.22</v>
      </c>
      <c r="F13" s="2877"/>
      <c r="G13" s="2878"/>
      <c r="H13" s="2878"/>
      <c r="I13" s="2877"/>
      <c r="J13" s="2877"/>
      <c r="K13" s="2877"/>
      <c r="L13" s="2877"/>
      <c r="M13" s="2877"/>
      <c r="N13" s="2877"/>
      <c r="O13" s="2877"/>
      <c r="P13" s="2877"/>
    </row>
    <row r="14" spans="1:16">
      <c r="A14" s="1830"/>
      <c r="B14" s="1831"/>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0"/>
      <c r="B15" s="1831"/>
      <c r="C15" s="48" t="s">
        <v>1814</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8"/>
      <c r="B16" s="1831"/>
      <c r="C16" s="50" t="s">
        <v>1808</v>
      </c>
      <c r="D16" s="50">
        <f>SUM(D8:D15)</f>
        <v>37742.350000000006</v>
      </c>
      <c r="E16" s="53">
        <f>SUM(E8:E15)</f>
        <v>130002.77000000002</v>
      </c>
      <c r="F16" s="2877"/>
      <c r="G16" s="2878"/>
      <c r="H16" s="1832" t="s">
        <v>1820</v>
      </c>
      <c r="I16" s="1833"/>
      <c r="J16" s="1300"/>
      <c r="K16" s="3261" t="s">
        <v>1820</v>
      </c>
      <c r="L16" s="3262"/>
      <c r="M16" s="3262"/>
      <c r="N16" s="3262"/>
      <c r="O16" s="3262"/>
      <c r="P16" s="3263"/>
    </row>
    <row r="17" spans="1:19" ht="15">
      <c r="A17" s="1834" t="s">
        <v>1821</v>
      </c>
      <c r="B17" s="1835" t="s">
        <v>1822</v>
      </c>
      <c r="C17" s="1836" t="s">
        <v>1823</v>
      </c>
      <c r="D17" s="1837" t="s">
        <v>1811</v>
      </c>
      <c r="E17" s="1838" t="s">
        <v>1812</v>
      </c>
      <c r="F17" s="1839"/>
      <c r="G17" s="1840"/>
      <c r="H17" s="1841" t="s">
        <v>1824</v>
      </c>
      <c r="I17" s="1842" t="s">
        <v>1809</v>
      </c>
      <c r="J17" s="1300"/>
      <c r="K17" s="3258" t="s">
        <v>1825</v>
      </c>
      <c r="L17" s="3259"/>
      <c r="M17" s="3260"/>
      <c r="N17" s="3258" t="s">
        <v>1826</v>
      </c>
      <c r="O17" s="3259"/>
      <c r="P17" s="3260"/>
      <c r="R17" s="1824" t="s">
        <v>1827</v>
      </c>
      <c r="S17" s="60"/>
    </row>
    <row r="18" spans="1:19" ht="15">
      <c r="A18" s="1830"/>
      <c r="B18" s="1843"/>
      <c r="C18" s="1844"/>
      <c r="D18" s="1845"/>
      <c r="E18" s="1846" t="s">
        <v>1828</v>
      </c>
      <c r="F18" s="1847" t="s">
        <v>1829</v>
      </c>
      <c r="G18" s="1848" t="s">
        <v>1830</v>
      </c>
      <c r="H18" s="1172" t="s">
        <v>1831</v>
      </c>
      <c r="I18" s="1849" t="s">
        <v>1832</v>
      </c>
      <c r="J18" s="1300"/>
      <c r="K18" s="1172" t="s">
        <v>1833</v>
      </c>
      <c r="L18" s="1850" t="s">
        <v>1834</v>
      </c>
      <c r="M18" s="964" t="s">
        <v>1835</v>
      </c>
      <c r="N18" s="1172" t="s">
        <v>1833</v>
      </c>
      <c r="O18" s="1850" t="s">
        <v>1834</v>
      </c>
      <c r="P18" s="964" t="s">
        <v>1835</v>
      </c>
      <c r="R18" s="1157" t="s">
        <v>1836</v>
      </c>
      <c r="S18" s="1157" t="s">
        <v>1837</v>
      </c>
    </row>
    <row r="19" spans="1:19">
      <c r="A19" s="1851"/>
      <c r="B19" s="50" t="s">
        <v>1810</v>
      </c>
      <c r="C19" s="3064" t="s">
        <v>3229</v>
      </c>
      <c r="D19" s="48">
        <f>ROUND($D$3*E19/$E$3,2)</f>
        <v>29395.63</v>
      </c>
      <c r="E19" s="56">
        <f t="shared" ref="E19:E26" si="1">SUM(F19:G19)</f>
        <v>101252.65000000002</v>
      </c>
      <c r="F19" s="3017">
        <f>'数据-基础表'!I5</f>
        <v>101252.65000000002</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2"/>
      <c r="O19" s="1853"/>
      <c r="P19" s="1311">
        <f>N19+O19</f>
        <v>0</v>
      </c>
      <c r="R19" s="1157">
        <f t="shared" ref="R19:S26" si="5">D19+H19</f>
        <v>29395.63</v>
      </c>
      <c r="S19" s="1158">
        <f t="shared" si="5"/>
        <v>101252.65000000002</v>
      </c>
    </row>
    <row r="20" spans="1:19">
      <c r="A20" s="1854"/>
      <c r="B20" s="50" t="s">
        <v>1838</v>
      </c>
      <c r="C20" s="3064" t="s">
        <v>3230</v>
      </c>
      <c r="D20" s="48">
        <f t="shared" ref="D20:D26" si="6">ROUND($D$3*E20/$E$3,2)</f>
        <v>5893.84</v>
      </c>
      <c r="E20" s="56">
        <f t="shared" si="1"/>
        <v>20301.22</v>
      </c>
      <c r="F20" s="3017"/>
      <c r="G20" s="3018">
        <f>'数据-基础表'!K5</f>
        <v>20301.22</v>
      </c>
      <c r="H20" s="679">
        <f t="shared" ref="H20:H26" si="7">ROUND($D$3*I20/$E$3,2)</f>
        <v>0</v>
      </c>
      <c r="I20" s="51">
        <f t="shared" si="2"/>
        <v>0</v>
      </c>
      <c r="J20" s="1300"/>
      <c r="K20" s="1299">
        <f t="shared" si="3"/>
        <v>0</v>
      </c>
      <c r="L20" s="1157">
        <f t="shared" si="4"/>
        <v>0</v>
      </c>
      <c r="M20" s="1311">
        <f t="shared" ref="M20:M26" si="8">K20+L20</f>
        <v>0</v>
      </c>
      <c r="N20" s="1852"/>
      <c r="O20" s="1853"/>
      <c r="P20" s="1311">
        <f t="shared" ref="P20:P26" si="9">N20+O20</f>
        <v>0</v>
      </c>
      <c r="R20" s="1157">
        <f t="shared" si="5"/>
        <v>5893.84</v>
      </c>
      <c r="S20" s="1158">
        <f t="shared" si="5"/>
        <v>20301.22</v>
      </c>
    </row>
    <row r="21" spans="1:19">
      <c r="A21" s="1854"/>
      <c r="B21" s="50" t="s">
        <v>1838</v>
      </c>
      <c r="C21" s="3064" t="s">
        <v>3231</v>
      </c>
      <c r="D21" s="48">
        <f t="shared" si="6"/>
        <v>2452.88</v>
      </c>
      <c r="E21" s="56">
        <f t="shared" si="1"/>
        <v>8448.9000000000015</v>
      </c>
      <c r="F21" s="3017"/>
      <c r="G21" s="3018">
        <f>'数据-基础表'!M5</f>
        <v>8448.9000000000015</v>
      </c>
      <c r="H21" s="679">
        <f t="shared" si="7"/>
        <v>0</v>
      </c>
      <c r="I21" s="51">
        <f t="shared" si="2"/>
        <v>0</v>
      </c>
      <c r="J21" s="1300"/>
      <c r="K21" s="1299">
        <f t="shared" si="3"/>
        <v>0</v>
      </c>
      <c r="L21" s="1157">
        <f t="shared" si="4"/>
        <v>0</v>
      </c>
      <c r="M21" s="1311">
        <f t="shared" si="8"/>
        <v>0</v>
      </c>
      <c r="N21" s="1852"/>
      <c r="O21" s="1853"/>
      <c r="P21" s="1311">
        <f t="shared" si="9"/>
        <v>0</v>
      </c>
      <c r="R21" s="1157">
        <f t="shared" si="5"/>
        <v>2452.88</v>
      </c>
      <c r="S21" s="1158">
        <f t="shared" si="5"/>
        <v>8448.9000000000015</v>
      </c>
    </row>
    <row r="22" spans="1:19">
      <c r="A22" s="1854"/>
      <c r="B22" s="50" t="s">
        <v>1838</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2"/>
      <c r="O22" s="1853"/>
      <c r="P22" s="1311">
        <f t="shared" si="9"/>
        <v>0</v>
      </c>
      <c r="R22" s="1157">
        <f t="shared" si="5"/>
        <v>0</v>
      </c>
      <c r="S22" s="1158">
        <f t="shared" si="5"/>
        <v>0</v>
      </c>
    </row>
    <row r="23" spans="1:19">
      <c r="A23" s="1854"/>
      <c r="B23" s="50" t="s">
        <v>1838</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2"/>
      <c r="O23" s="1853"/>
      <c r="P23" s="1311">
        <f t="shared" si="9"/>
        <v>0</v>
      </c>
      <c r="R23" s="1157">
        <f t="shared" si="5"/>
        <v>0</v>
      </c>
      <c r="S23" s="1158">
        <f t="shared" si="5"/>
        <v>0</v>
      </c>
    </row>
    <row r="24" spans="1:19">
      <c r="A24" s="1854"/>
      <c r="B24" s="50" t="s">
        <v>1838</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2"/>
      <c r="O24" s="1853"/>
      <c r="P24" s="1311">
        <f t="shared" si="9"/>
        <v>0</v>
      </c>
      <c r="R24" s="1157">
        <f t="shared" si="5"/>
        <v>0</v>
      </c>
      <c r="S24" s="1158">
        <f t="shared" si="5"/>
        <v>0</v>
      </c>
    </row>
    <row r="25" spans="1:19">
      <c r="A25" s="1854"/>
      <c r="B25" s="50" t="s">
        <v>1838</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2"/>
      <c r="O25" s="1853"/>
      <c r="P25" s="1311">
        <f t="shared" si="9"/>
        <v>0</v>
      </c>
      <c r="R25" s="1157">
        <f t="shared" si="5"/>
        <v>0</v>
      </c>
      <c r="S25" s="1158">
        <f t="shared" si="5"/>
        <v>0</v>
      </c>
    </row>
    <row r="26" spans="1:19">
      <c r="A26" s="1854"/>
      <c r="B26" s="50" t="s">
        <v>1838</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5"/>
      <c r="O26" s="1856"/>
      <c r="P26" s="63">
        <f t="shared" si="9"/>
        <v>0</v>
      </c>
      <c r="R26" s="1157">
        <f t="shared" si="5"/>
        <v>0</v>
      </c>
      <c r="S26" s="1158">
        <f t="shared" si="5"/>
        <v>0</v>
      </c>
    </row>
    <row r="27" spans="1:19" ht="15.75" thickBot="1">
      <c r="A27" s="1854"/>
      <c r="B27" s="48"/>
      <c r="C27" s="1857" t="s">
        <v>1839</v>
      </c>
      <c r="D27" s="1301">
        <f>SUM(D19:D26)</f>
        <v>37742.35</v>
      </c>
      <c r="E27" s="1302">
        <f>IF(SUM(E19:E26)='数据-基础表'!BA5,SUM(E19:E26),IF(F27="地上面积有误","面积有误","地下面积有误"))</f>
        <v>130002.77000000002</v>
      </c>
      <c r="F27" s="1301">
        <f>IF(SUM(F19:F26)=E8,SUM(F19:F26),"地上面积有误")</f>
        <v>101252.65000000002</v>
      </c>
      <c r="G27" s="1303">
        <f>SUM(G19:G26)</f>
        <v>28750.120000000003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37742.35</v>
      </c>
      <c r="S27" s="1157">
        <f>IF(SUM(S19:S26)=$E$3,SUM(S19:S26),SUM(S19:S26)&amp;"误差"&amp;ROUND(SUM(S19:S26)-E3,2))</f>
        <v>130002.77000000002</v>
      </c>
    </row>
    <row r="28" spans="1:19">
      <c r="A28" s="1854"/>
      <c r="B28" s="50" t="s">
        <v>1840</v>
      </c>
      <c r="C28" s="1169"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4"/>
      <c r="B29" s="50" t="s">
        <v>1840</v>
      </c>
      <c r="C29" s="1858"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4"/>
      <c r="B30" s="50"/>
      <c r="C30" s="1859" t="s">
        <v>1839</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0"/>
      <c r="B31" s="1861"/>
      <c r="C31" s="944" t="s">
        <v>1843</v>
      </c>
      <c r="D31" s="685">
        <f>D27+D30</f>
        <v>37742.35</v>
      </c>
      <c r="E31" s="685">
        <f>E27+E30</f>
        <v>130002.77000000002</v>
      </c>
      <c r="F31" s="686">
        <f>F27+F30</f>
        <v>101252.65000000002</v>
      </c>
      <c r="G31" s="687">
        <f>G27+G30</f>
        <v>28750.120000000003</v>
      </c>
      <c r="H31" s="2877"/>
      <c r="I31" s="2877"/>
      <c r="J31" s="2877"/>
      <c r="K31" s="2877"/>
      <c r="L31" s="2877"/>
      <c r="M31" s="2877"/>
      <c r="N31" s="2877"/>
      <c r="O31" s="2877"/>
      <c r="P31" s="2877"/>
    </row>
    <row r="32" spans="1:19">
      <c r="A32" s="1827"/>
      <c r="B32" s="1827" t="s">
        <v>1844</v>
      </c>
      <c r="C32" s="1827"/>
      <c r="D32" s="1827"/>
      <c r="E32" s="1184">
        <f>SUMIF(C19:C26,"*住宅*",E19:E26)</f>
        <v>101252.65000000002</v>
      </c>
      <c r="F32" s="1827"/>
      <c r="G32" s="1827"/>
      <c r="H32" s="2877"/>
      <c r="I32" s="2877"/>
      <c r="J32" s="2877"/>
      <c r="K32" s="2877"/>
      <c r="L32" s="2877"/>
      <c r="M32" s="2877"/>
      <c r="N32" s="2877"/>
      <c r="O32" s="2877"/>
      <c r="P32" s="2877"/>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3" customFormat="1" ht="15.75" thickBot="1">
      <c r="A2" s="1867" t="s">
        <v>1846</v>
      </c>
      <c r="B2" s="1176">
        <f>项目基本情况!D3</f>
        <v>44314</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3"/>
      <c r="AO2" s="2893"/>
      <c r="AP2" s="2893"/>
      <c r="AQ2" s="2893"/>
      <c r="AR2" s="2893"/>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3"/>
      <c r="AO3" s="2893"/>
      <c r="AP3" s="2893"/>
      <c r="AQ3" s="2893"/>
      <c r="AR3" s="2893"/>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76"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893"/>
      <c r="AO4" s="2893"/>
      <c r="AP4" s="2893"/>
      <c r="AQ4" s="2893"/>
      <c r="AR4" s="2893"/>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3233</v>
      </c>
      <c r="O5" s="1886" t="s">
        <v>1866</v>
      </c>
      <c r="P5" s="1889" t="s">
        <v>1867</v>
      </c>
      <c r="Q5" s="65" t="s">
        <v>1868</v>
      </c>
      <c r="R5" s="1890" t="s">
        <v>1869</v>
      </c>
      <c r="S5" s="1891" t="s">
        <v>1870</v>
      </c>
      <c r="T5" s="1892" t="s">
        <v>1871</v>
      </c>
      <c r="U5" s="1177" t="s">
        <v>1872</v>
      </c>
      <c r="V5" s="1178" t="s">
        <v>1873</v>
      </c>
      <c r="W5" s="1178" t="s">
        <v>1874</v>
      </c>
      <c r="X5" s="67"/>
      <c r="Y5" s="66" t="s">
        <v>1875</v>
      </c>
      <c r="Z5" s="1893" t="s">
        <v>1872</v>
      </c>
      <c r="AA5" s="1178" t="s">
        <v>1873</v>
      </c>
      <c r="AB5" s="1178" t="s">
        <v>1874</v>
      </c>
      <c r="AC5" s="67"/>
      <c r="AD5" s="67" t="s">
        <v>1875</v>
      </c>
      <c r="AE5" s="1177" t="s">
        <v>1876</v>
      </c>
      <c r="AF5" s="1178" t="s">
        <v>1877</v>
      </c>
      <c r="AG5" s="66" t="s">
        <v>1878</v>
      </c>
      <c r="AH5" s="1177" t="s">
        <v>1879</v>
      </c>
      <c r="AI5" s="1893" t="s">
        <v>1880</v>
      </c>
      <c r="AJ5" s="1893" t="s">
        <v>1881</v>
      </c>
      <c r="AK5" s="1178" t="s">
        <v>1882</v>
      </c>
      <c r="AL5" s="1178" t="s">
        <v>1883</v>
      </c>
      <c r="AM5" s="66" t="s">
        <v>1884</v>
      </c>
      <c r="AN5" s="1894" t="s">
        <v>1885</v>
      </c>
      <c r="AO5" s="1746" t="s">
        <v>1886</v>
      </c>
      <c r="AP5" s="1159" t="s">
        <v>1887</v>
      </c>
      <c r="AQ5" s="1895" t="s">
        <v>1888</v>
      </c>
      <c r="AR5" s="1895"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自持住宅</v>
      </c>
      <c r="B6" s="1897" t="str">
        <f>IF(A6=0,"","经营性")</f>
        <v>经营性</v>
      </c>
      <c r="C6" s="1898" t="s">
        <v>3158</v>
      </c>
      <c r="D6" s="967">
        <f>SUMIF(项目基本情况!D$12:I$12,C6,项目基本情况!D$14:I$14)</f>
        <v>70</v>
      </c>
      <c r="E6" s="966">
        <f>IF(B6="","",SUMIF(项目基本情况!D$12:I$12,C6,项目基本情况!D$13:I$13))</f>
        <v>68443</v>
      </c>
      <c r="F6" s="68">
        <f>SUMIF(项目基本情况!D$12:I$12,C6,项目基本情况!D$15:I$15)</f>
        <v>66.099999999999994</v>
      </c>
      <c r="G6" s="69">
        <f>IF(ISERROR(ROUND(POWER(1+H6,D6-F6)*(POWER(1+H6,F6)-1)/(POWER(1+H6,D6)-1),3)),0,ROUND(POWER(1+H6,D6-F6)*(POWER(1+H6,F6)-1)/(POWER(1+H6,D6)-1),3))</f>
        <v>0.98899999999999999</v>
      </c>
      <c r="H6" s="741">
        <v>0.04</v>
      </c>
      <c r="I6" s="741">
        <v>4.4999999999999998E-2</v>
      </c>
      <c r="J6" s="70">
        <v>8.5000000000000006E-2</v>
      </c>
      <c r="K6" s="1161">
        <f>SUMIF('数据-汇总表'!C$19:C$33,A6,'数据-汇总表'!E$19:E$33)</f>
        <v>101252.65000000002</v>
      </c>
      <c r="L6" s="742">
        <v>6500</v>
      </c>
      <c r="M6" s="71">
        <f t="shared" ref="M6:M14" si="0">ROUND(K6*L6/10000,0)</f>
        <v>65814</v>
      </c>
      <c r="N6" s="740">
        <f>ROUND(1-(1-0%)*(2021-2020)/60,2)</f>
        <v>0.98</v>
      </c>
      <c r="O6" s="71" t="str">
        <f>IF($N$5="成新度","——",ROUND(M6*N6,0))</f>
        <v>——</v>
      </c>
      <c r="P6" s="72" t="str">
        <f>IF($N$5="成新度","——",M6-O6)</f>
        <v>——</v>
      </c>
      <c r="Q6" s="743">
        <v>0.1</v>
      </c>
      <c r="R6" s="73">
        <f ca="1">SUMIF('数据-汇总表'!C$19:C$33,A6,'数据-汇总表'!R$19:R$27)</f>
        <v>29395.63</v>
      </c>
      <c r="S6" s="54">
        <f>IF('数据-汇总表'!$I$17="按面积比例",SUMIF('数据-汇总表'!C$19:C$33,A6,'数据-汇总表'!K$19:K$33),SUMIF('数据-汇总表'!C$19:C$33,A6,'数据-汇总表'!N$19:N$33))</f>
        <v>0</v>
      </c>
      <c r="T6" s="1333">
        <f>ROUND($L$14*S6/10000,0)</f>
        <v>0</v>
      </c>
      <c r="U6" s="74"/>
      <c r="V6" s="75"/>
      <c r="W6" s="75"/>
      <c r="X6" s="1171"/>
      <c r="Y6" s="76"/>
      <c r="Z6" s="77"/>
      <c r="AA6" s="70"/>
      <c r="AB6" s="70"/>
      <c r="AC6" s="1171"/>
      <c r="AD6" s="78"/>
      <c r="AE6" s="1172">
        <f ca="1">IF(AN6="",0,SUMIF(INDIRECT("'"&amp;AN6&amp;"'"&amp;"!E:E"),$AE$5,INDIRECT("'"&amp;AN6&amp;"'"&amp;"!F:F")))</f>
        <v>0</v>
      </c>
      <c r="AF6" s="1531"/>
      <c r="AG6" s="143">
        <f>IF(AF6="",0,AE6-AF6)</f>
        <v>0</v>
      </c>
      <c r="AH6" s="79"/>
      <c r="AI6" s="81"/>
      <c r="AJ6" s="82"/>
      <c r="AK6" s="83"/>
      <c r="AL6" s="84"/>
      <c r="AM6" s="85"/>
      <c r="AN6" s="1899"/>
      <c r="AO6" s="55" t="e">
        <f ca="1">SUMIF(INDIRECT("'"&amp;AN6&amp;"'"&amp;"!A:A"),"总价",INDIRECT("'"&amp;AN6&amp;"'"&amp;"!B:B"))</f>
        <v>#REF!</v>
      </c>
      <c r="AP6" s="1900">
        <f>IF(C6="住宅",K6*L6,0)</f>
        <v>658142225.00000012</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自持车库</v>
      </c>
      <c r="B7" s="1897" t="str">
        <f t="shared" ref="B7:B13" si="1">IF(A7=0,"","经营性")</f>
        <v>经营性</v>
      </c>
      <c r="C7" s="1898" t="s">
        <v>3226</v>
      </c>
      <c r="D7" s="967">
        <f>SUMIF(项目基本情况!D$12:I$12,C7,项目基本情况!D$14:I$14)</f>
        <v>50</v>
      </c>
      <c r="E7" s="966">
        <f>IF(B7="","",SUMIF(项目基本情况!D$12:I$12,C7,项目基本情况!D$13:I$13))</f>
        <v>61138</v>
      </c>
      <c r="F7" s="68">
        <f>SUMIF(项目基本情况!D$12:I$12,C7,项目基本情况!D$15:I$15)</f>
        <v>46.09</v>
      </c>
      <c r="G7" s="69">
        <f t="shared" ref="G7:G11" si="2">IF(ISERROR(ROUND(POWER(1+H7,D7-F7)*(POWER(1+H7,F7)-1)/(POWER(1+H7,D7)-1),3)),0,ROUND(POWER(1+H7,D7-F7)*(POWER(1+H7,F7)-1)/(POWER(1+H7,D7)-1),3))</f>
        <v>0.97699999999999998</v>
      </c>
      <c r="H7" s="741">
        <v>4.4999999999999998E-2</v>
      </c>
      <c r="I7" s="741">
        <v>0.05</v>
      </c>
      <c r="J7" s="70">
        <v>8.5000000000000006E-2</v>
      </c>
      <c r="K7" s="1161">
        <f>SUMIF('数据-汇总表'!C$19:C$33,A7,'数据-汇总表'!E$19:E$33)</f>
        <v>20301.22</v>
      </c>
      <c r="L7" s="742">
        <v>5500</v>
      </c>
      <c r="M7" s="71">
        <f t="shared" si="0"/>
        <v>11166</v>
      </c>
      <c r="N7" s="740">
        <f>N6</f>
        <v>0.98</v>
      </c>
      <c r="O7" s="71" t="str">
        <f t="shared" ref="O7:O14" si="3">IF($N$5="成新度","——",ROUND(M7*N7,0))</f>
        <v>——</v>
      </c>
      <c r="P7" s="72" t="str">
        <f t="shared" ref="P7:P14" si="4">IF($N$5="成新度","——",M7-O7)</f>
        <v>——</v>
      </c>
      <c r="Q7" s="743">
        <v>0.05</v>
      </c>
      <c r="R7" s="73">
        <f ca="1">SUMIF('数据-汇总表'!C$19:C$33,A7,'数据-汇总表'!R$19:R$27)</f>
        <v>5893.84</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自持储藏室</v>
      </c>
      <c r="B8" s="1897" t="str">
        <f t="shared" si="1"/>
        <v>经营性</v>
      </c>
      <c r="C8" s="1898" t="s">
        <v>3227</v>
      </c>
      <c r="D8" s="967">
        <f>SUMIF(项目基本情况!D$12:I$12,C8,项目基本情况!D$14:I$14)</f>
        <v>50</v>
      </c>
      <c r="E8" s="966">
        <f>IF(B8="","",SUMIF(项目基本情况!D$12:I$12,C8,项目基本情况!D$13:I$13))</f>
        <v>61138</v>
      </c>
      <c r="F8" s="68">
        <f>SUMIF(项目基本情况!D$12:I$12,C8,项目基本情况!D$15:I$15)</f>
        <v>46.09</v>
      </c>
      <c r="G8" s="69">
        <f t="shared" si="2"/>
        <v>0.97699999999999998</v>
      </c>
      <c r="H8" s="741">
        <v>4.4999999999999998E-2</v>
      </c>
      <c r="I8" s="741">
        <v>0.05</v>
      </c>
      <c r="J8" s="70">
        <v>8.5000000000000006E-2</v>
      </c>
      <c r="K8" s="1161">
        <f>SUMIF('数据-汇总表'!C$19:C$33,A8,'数据-汇总表'!E$19:E$33)</f>
        <v>8448.9000000000015</v>
      </c>
      <c r="L8" s="742">
        <f>L7</f>
        <v>5500</v>
      </c>
      <c r="M8" s="71">
        <f>ROUND(K8*L8/10000,0)</f>
        <v>4647</v>
      </c>
      <c r="N8" s="740">
        <f>N6</f>
        <v>0.98</v>
      </c>
      <c r="O8" s="71" t="str">
        <f t="shared" si="3"/>
        <v>——</v>
      </c>
      <c r="P8" s="72" t="str">
        <f t="shared" si="4"/>
        <v>——</v>
      </c>
      <c r="Q8" s="743">
        <v>0.05</v>
      </c>
      <c r="R8" s="73">
        <f ca="1">SUMIF('数据-汇总表'!C$19:C$33,A8,'数据-汇总表'!R$19:R$27)</f>
        <v>2452.88</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1890</v>
      </c>
      <c r="B14" s="1897" t="s">
        <v>1891</v>
      </c>
      <c r="C14" s="1902"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1"/>
      <c r="AO14" s="2893"/>
      <c r="AP14" s="2893"/>
      <c r="AQ14" s="2893"/>
      <c r="AR14" s="2893"/>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1892</v>
      </c>
      <c r="B15" s="1897" t="s">
        <v>1891</v>
      </c>
      <c r="C15" s="1902"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1"/>
      <c r="AO15" s="2893"/>
      <c r="AP15" s="2893"/>
      <c r="AQ15" s="2893"/>
      <c r="AR15" s="2893"/>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1894</v>
      </c>
      <c r="B16" s="93"/>
      <c r="C16" s="942"/>
      <c r="D16" s="1904"/>
      <c r="E16" s="93"/>
      <c r="F16" s="93"/>
      <c r="G16" s="94">
        <f>ROUND(SUMPRODUCT(G6:G13,K6:K13)/SUMPRODUCT((G6:G13&gt;0)*(K6:K13)),3)</f>
        <v>0.98599999999999999</v>
      </c>
      <c r="H16" s="95">
        <f>ROUND(SUMPRODUCT(H6:H13,K6:K13)/SUMPRODUCT((H6:H13&gt;0)*(K6:K13)),3)</f>
        <v>4.1000000000000002E-2</v>
      </c>
      <c r="I16" s="96"/>
      <c r="J16" s="96"/>
      <c r="K16" s="97">
        <f>SUM(K6:K15)</f>
        <v>130002.77000000002</v>
      </c>
      <c r="L16" s="98">
        <f>ROUND(M16*10000/SUM(K6:K14),0)</f>
        <v>6279</v>
      </c>
      <c r="M16" s="98">
        <f>SUM(M6:M14)</f>
        <v>81627</v>
      </c>
      <c r="N16" s="99">
        <f>ROUND(SUMPRODUCT(M6:M14,N6:N14)/M16,3)</f>
        <v>0.98</v>
      </c>
      <c r="O16" s="98">
        <f>SUM(O6:O14)</f>
        <v>0</v>
      </c>
      <c r="P16" s="98">
        <f>SUM(P6:P14)</f>
        <v>0</v>
      </c>
      <c r="Q16" s="100">
        <f>ROUND(SUMPRODUCT(Q6:Q13,K6:K13)/SUMPRODUCT((Q6:Q13&gt;0)*(K6:K13)),2)</f>
        <v>0.09</v>
      </c>
      <c r="R16" s="1165">
        <f ca="1">SUM(R6:R13)</f>
        <v>37742.35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6" t="s">
        <v>1896</v>
      </c>
      <c r="B19" s="108"/>
      <c r="C19" s="3021" t="s">
        <v>3007</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7" t="s">
        <v>1897</v>
      </c>
      <c r="B20" s="109">
        <v>3</v>
      </c>
      <c r="C20" s="3022" t="s">
        <v>3005</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8" t="s">
        <v>1898</v>
      </c>
      <c r="B21" s="109">
        <f>B20</f>
        <v>3</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7" t="s">
        <v>1899</v>
      </c>
      <c r="B22" s="110">
        <f>B19+B20</f>
        <v>3</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8" t="s">
        <v>1900</v>
      </c>
      <c r="B23" s="110">
        <f>B19+B21</f>
        <v>3</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9"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1"/>
      <c r="B25" s="1871"/>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7" t="s">
        <v>1902</v>
      </c>
      <c r="B26" s="1910"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2" customFormat="1" ht="27.75">
      <c r="A27" s="1911" t="s">
        <v>1905</v>
      </c>
      <c r="B27" s="112">
        <v>160</v>
      </c>
      <c r="C27" s="3023" t="s">
        <v>3009</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1907</v>
      </c>
      <c r="B29" s="117">
        <f ca="1">成本法!C9+成本法!C10</f>
        <v>2195</v>
      </c>
      <c r="C29" s="3024" t="s">
        <v>2996</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1908</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1910</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1911</v>
      </c>
      <c r="B33" s="682">
        <v>0.05</v>
      </c>
      <c r="C33" s="3025" t="s">
        <v>2997</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1912</v>
      </c>
      <c r="B34" s="118">
        <v>7.0000000000000007E-2</v>
      </c>
      <c r="C34" s="3025" t="s">
        <v>2998</v>
      </c>
      <c r="D34" s="2904" t="s">
        <v>3006</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1913</v>
      </c>
      <c r="B35" s="115">
        <v>200</v>
      </c>
      <c r="C35" s="3025" t="s">
        <v>2999</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1914</v>
      </c>
      <c r="B36" s="119">
        <v>1.4999999999999999E-2</v>
      </c>
      <c r="C36" s="3025" t="s">
        <v>3000</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5" t="s">
        <v>1915</v>
      </c>
      <c r="B37" s="120">
        <v>2.5000000000000001E-2</v>
      </c>
      <c r="C37" s="3025" t="s">
        <v>3001</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3" t="s">
        <v>1916</v>
      </c>
      <c r="B38" s="118">
        <v>2.5000000000000001E-2</v>
      </c>
      <c r="C38" s="3025" t="s">
        <v>3001</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6"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7" t="s">
        <v>3225</v>
      </c>
      <c r="B40" s="1210">
        <f ca="1">IF(A40="利息：取LPR",存贷款利率!G1,存贷款利率!G1+C40)</f>
        <v>4.3499999999999997E-2</v>
      </c>
      <c r="C40" s="3036">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1" t="s">
        <v>1918</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7"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7" t="s">
        <v>1920</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8" t="s">
        <v>1921</v>
      </c>
      <c r="B44" s="124">
        <v>0.05</v>
      </c>
      <c r="C44" s="3025" t="s">
        <v>3010</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8" t="s">
        <v>1922</v>
      </c>
      <c r="B45" s="122">
        <v>0.03</v>
      </c>
      <c r="C45" s="3024" t="s">
        <v>3002</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8" t="s">
        <v>1923</v>
      </c>
      <c r="B46" s="122">
        <v>0.02</v>
      </c>
      <c r="C46" s="3024" t="s">
        <v>3003</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9" t="s">
        <v>1924</v>
      </c>
      <c r="B47" s="125">
        <v>0</v>
      </c>
      <c r="C47" s="3027" t="s">
        <v>3011</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0" t="s">
        <v>1925</v>
      </c>
      <c r="B48" s="126">
        <v>0.03</v>
      </c>
      <c r="C48" s="3024" t="s">
        <v>3002</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6" t="s">
        <v>1926</v>
      </c>
      <c r="B49" s="122">
        <v>5.0000000000000001E-4</v>
      </c>
      <c r="C49" s="3024" t="s">
        <v>3004</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1"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4"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1" t="s">
        <v>1929</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3" t="s">
        <v>1930</v>
      </c>
      <c r="B53" s="1922" t="s">
        <v>56</v>
      </c>
      <c r="C53" s="2879" t="s">
        <v>1931</v>
      </c>
      <c r="D53" s="3026" t="s">
        <v>3008</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3" t="s">
        <v>1932</v>
      </c>
      <c r="B54" s="80">
        <v>30</v>
      </c>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3" t="s">
        <v>1933</v>
      </c>
      <c r="B55" s="80">
        <v>24</v>
      </c>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3" t="s">
        <v>1934</v>
      </c>
      <c r="B56" s="80">
        <v>18</v>
      </c>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3" t="s">
        <v>1935</v>
      </c>
      <c r="B57" s="80">
        <v>12</v>
      </c>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3"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3" t="s">
        <v>1937</v>
      </c>
      <c r="B59" s="80">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3"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3"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3"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4"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70" customWidth="1"/>
    <col min="2" max="2" width="24.5" style="1756" customWidth="1"/>
    <col min="3" max="3" width="24.5" style="2728" customWidth="1"/>
    <col min="4" max="4" width="2.625" style="2728" customWidth="1"/>
    <col min="5" max="5" width="5.875" style="2728" customWidth="1"/>
    <col min="6" max="6" width="27" style="1756"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7"/>
    <col min="30" max="16384" width="9" style="1870"/>
  </cols>
  <sheetData>
    <row r="1" spans="1:29" s="2676" customFormat="1" ht="18.75" thickBot="1">
      <c r="A1" s="3273" t="s">
        <v>2988</v>
      </c>
      <c r="B1" s="3274"/>
      <c r="C1" s="3274"/>
      <c r="D1" s="3274"/>
      <c r="E1" s="3274"/>
      <c r="F1" s="3274"/>
      <c r="G1" s="32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2984</v>
      </c>
      <c r="D2" s="2680"/>
      <c r="E2" s="2677"/>
      <c r="F2" s="2681"/>
      <c r="G2" s="2679" t="s">
        <v>2985</v>
      </c>
      <c r="H2" s="907"/>
      <c r="I2" s="907"/>
      <c r="J2" s="907"/>
      <c r="K2" s="907"/>
      <c r="L2" s="907"/>
      <c r="M2" s="907"/>
      <c r="N2" s="907"/>
      <c r="O2" s="907"/>
      <c r="P2" s="907"/>
      <c r="Q2" s="907"/>
      <c r="R2" s="907"/>
    </row>
    <row r="3" spans="1:29" ht="60">
      <c r="A3" s="2660" t="s">
        <v>2986</v>
      </c>
      <c r="B3" s="2682" t="s">
        <v>2958</v>
      </c>
      <c r="C3" s="3068" t="s">
        <v>3171</v>
      </c>
      <c r="D3" s="2683"/>
      <c r="E3" s="2661" t="s">
        <v>2986</v>
      </c>
      <c r="F3" s="2684" t="s">
        <v>2959</v>
      </c>
      <c r="G3" s="2685" t="s">
        <v>2987</v>
      </c>
      <c r="H3" s="907"/>
      <c r="I3" s="907"/>
      <c r="J3" s="907"/>
      <c r="K3" s="907"/>
      <c r="L3" s="907"/>
      <c r="M3" s="907"/>
      <c r="N3" s="907"/>
      <c r="O3" s="907"/>
      <c r="P3" s="907"/>
      <c r="Q3" s="907"/>
      <c r="R3" s="907"/>
    </row>
    <row r="4" spans="1:29" ht="21.75" customHeight="1">
      <c r="A4" s="2661"/>
      <c r="B4" s="329" t="s">
        <v>2960</v>
      </c>
      <c r="C4" s="2686"/>
      <c r="D4" s="2683"/>
      <c r="E4" s="2687"/>
      <c r="F4" s="1556" t="s">
        <v>2961</v>
      </c>
      <c r="G4" s="2688" t="s">
        <v>2962</v>
      </c>
      <c r="H4" s="907"/>
      <c r="I4" s="907"/>
      <c r="J4" s="907"/>
      <c r="K4" s="907"/>
      <c r="L4" s="907"/>
      <c r="M4" s="907"/>
      <c r="N4" s="907"/>
      <c r="O4" s="907"/>
      <c r="P4" s="907"/>
      <c r="Q4" s="907"/>
      <c r="R4" s="907"/>
    </row>
    <row r="5" spans="1:29" ht="24">
      <c r="A5" s="2661"/>
      <c r="B5" s="329" t="s">
        <v>2963</v>
      </c>
      <c r="C5" s="2686"/>
      <c r="D5" s="2683"/>
      <c r="E5" s="2687"/>
      <c r="F5" s="329" t="s">
        <v>2964</v>
      </c>
      <c r="G5" s="2688" t="s">
        <v>2965</v>
      </c>
      <c r="H5" s="907"/>
      <c r="I5" s="907"/>
      <c r="J5" s="907"/>
      <c r="K5" s="907"/>
      <c r="L5" s="907"/>
      <c r="M5" s="907"/>
      <c r="N5" s="907"/>
      <c r="O5" s="907"/>
      <c r="P5" s="907"/>
      <c r="Q5" s="907"/>
      <c r="R5" s="907"/>
    </row>
    <row r="6" spans="1:29" ht="60">
      <c r="A6" s="2661"/>
      <c r="B6" s="329" t="s">
        <v>2966</v>
      </c>
      <c r="C6" s="3069" t="s">
        <v>3345</v>
      </c>
      <c r="D6" s="2683"/>
      <c r="E6" s="2687"/>
      <c r="F6" s="329" t="s">
        <v>2967</v>
      </c>
      <c r="G6" s="2688" t="s">
        <v>2968</v>
      </c>
      <c r="H6" s="907"/>
      <c r="I6" s="907"/>
      <c r="J6" s="907"/>
      <c r="K6" s="907"/>
      <c r="L6" s="907"/>
      <c r="M6" s="907"/>
      <c r="N6" s="907"/>
      <c r="O6" s="907"/>
      <c r="P6" s="907"/>
      <c r="Q6" s="907"/>
      <c r="R6" s="907"/>
    </row>
    <row r="7" spans="1:29" ht="24.75" thickBot="1">
      <c r="A7" s="2661"/>
      <c r="B7" s="329" t="s">
        <v>2964</v>
      </c>
      <c r="C7" s="3069" t="s">
        <v>3172</v>
      </c>
      <c r="D7" s="2689"/>
      <c r="E7" s="2690"/>
      <c r="F7" s="2691" t="s">
        <v>2969</v>
      </c>
      <c r="G7" s="2692" t="s">
        <v>2970</v>
      </c>
      <c r="H7" s="907"/>
      <c r="I7" s="907"/>
      <c r="J7" s="907"/>
      <c r="K7" s="907"/>
      <c r="L7" s="907"/>
      <c r="M7" s="907"/>
      <c r="N7" s="907"/>
      <c r="O7" s="907"/>
      <c r="P7" s="907"/>
      <c r="Q7" s="907"/>
      <c r="R7" s="907"/>
    </row>
    <row r="8" spans="1:29" ht="24">
      <c r="A8" s="2661"/>
      <c r="B8" s="329" t="s">
        <v>2967</v>
      </c>
      <c r="C8" s="3069" t="s">
        <v>3173</v>
      </c>
      <c r="D8" s="2689"/>
      <c r="E8" s="2689"/>
      <c r="F8" s="2693"/>
      <c r="G8" s="2693"/>
      <c r="H8" s="907"/>
      <c r="I8" s="907"/>
      <c r="J8" s="907"/>
      <c r="K8" s="907"/>
      <c r="L8" s="907"/>
      <c r="M8" s="907"/>
      <c r="N8" s="907"/>
      <c r="O8" s="907"/>
      <c r="P8" s="907"/>
      <c r="Q8" s="907"/>
      <c r="R8" s="907"/>
    </row>
    <row r="9" spans="1:29" ht="36">
      <c r="A9" s="2661"/>
      <c r="B9" s="329" t="s">
        <v>2971</v>
      </c>
      <c r="C9" s="3070" t="s">
        <v>3174</v>
      </c>
      <c r="D9" s="2683"/>
      <c r="E9" s="2689"/>
      <c r="F9" s="2693"/>
      <c r="G9" s="2693"/>
      <c r="H9" s="907"/>
      <c r="I9" s="907"/>
      <c r="J9" s="907"/>
      <c r="K9" s="907"/>
      <c r="L9" s="907"/>
      <c r="M9" s="907"/>
      <c r="N9" s="907"/>
      <c r="O9" s="907"/>
      <c r="P9" s="907"/>
      <c r="Q9" s="907"/>
      <c r="R9" s="907"/>
    </row>
    <row r="10" spans="1:29" s="2699" customFormat="1" ht="15" thickBot="1">
      <c r="A10" s="2662"/>
      <c r="B10" s="2694" t="s">
        <v>2972</v>
      </c>
      <c r="C10" s="2695" t="s">
        <v>3175</v>
      </c>
      <c r="D10" s="2683"/>
      <c r="E10" s="2683"/>
      <c r="F10" s="2693"/>
      <c r="G10" s="2693"/>
      <c r="H10" s="2696"/>
      <c r="I10" s="2697"/>
      <c r="J10" s="2698"/>
      <c r="K10" s="2696"/>
      <c r="L10" s="2697"/>
      <c r="M10" s="2698"/>
      <c r="N10" s="2696"/>
      <c r="O10" s="2697"/>
      <c r="P10" s="2698"/>
      <c r="Q10" s="2696"/>
      <c r="R10" s="2697"/>
      <c r="S10" s="907"/>
      <c r="T10" s="907"/>
      <c r="U10" s="907"/>
      <c r="V10" s="907"/>
      <c r="W10" s="907"/>
      <c r="X10" s="907"/>
      <c r="Y10" s="907"/>
      <c r="Z10" s="907"/>
      <c r="AA10" s="907"/>
      <c r="AB10" s="907"/>
      <c r="AC10" s="907"/>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7"/>
      <c r="T11" s="907"/>
      <c r="U11" s="907"/>
      <c r="V11" s="907"/>
      <c r="W11" s="907"/>
      <c r="X11" s="907"/>
      <c r="Y11" s="907"/>
      <c r="Z11" s="907"/>
      <c r="AA11" s="907"/>
      <c r="AB11" s="907"/>
      <c r="AC11" s="907"/>
    </row>
    <row r="12" spans="1:29" s="2676" customFormat="1" ht="18">
      <c r="A12" s="2700"/>
      <c r="B12" s="2689"/>
      <c r="C12" s="2683"/>
      <c r="D12" s="2702"/>
      <c r="E12" s="2683"/>
      <c r="F12" s="2689"/>
      <c r="G12" s="2701"/>
      <c r="H12" s="2703"/>
      <c r="I12" s="2704"/>
      <c r="J12" s="2703"/>
      <c r="K12" s="2703"/>
      <c r="L12" s="2705"/>
      <c r="M12" s="2703"/>
      <c r="N12" s="2706"/>
      <c r="O12" s="2707"/>
      <c r="P12" s="2706"/>
      <c r="Q12" s="2706"/>
      <c r="R12" s="2674"/>
      <c r="S12" s="2675"/>
      <c r="T12" s="2675"/>
      <c r="U12" s="2675"/>
      <c r="V12" s="2675"/>
      <c r="W12" s="2675"/>
      <c r="X12" s="2675"/>
      <c r="Y12" s="2675"/>
      <c r="Z12" s="2675"/>
      <c r="AA12" s="2675"/>
      <c r="AB12" s="2675"/>
      <c r="AC12" s="2675"/>
    </row>
    <row r="13" spans="1:29" ht="15.75" thickBot="1">
      <c r="A13" s="2708" t="s">
        <v>2989</v>
      </c>
      <c r="B13" s="2702"/>
      <c r="C13" s="2702"/>
      <c r="D13" s="2700"/>
      <c r="E13" s="2702"/>
      <c r="F13" s="2702"/>
      <c r="G13" s="2702"/>
    </row>
    <row r="14" spans="1:29" ht="15" thickBot="1">
      <c r="A14" s="2712"/>
      <c r="B14" s="2712"/>
      <c r="C14" s="2713" t="s">
        <v>2973</v>
      </c>
      <c r="D14" s="2683"/>
      <c r="E14" s="2714"/>
      <c r="F14" s="2714"/>
      <c r="G14" s="2679" t="s">
        <v>2974</v>
      </c>
    </row>
    <row r="15" spans="1:29" ht="63.75">
      <c r="A15" s="2663" t="s">
        <v>2975</v>
      </c>
      <c r="B15" s="2715" t="s">
        <v>2958</v>
      </c>
      <c r="C15" s="2716" t="str">
        <f>C3</f>
        <v>估价对象周边居住用地比例较高、居住小区规模和社区发展完善程度，德茂小区、润枫锦尚、有德家苑等住宅项目，综合评价居住社区成熟度较好</v>
      </c>
      <c r="D15" s="2683"/>
      <c r="E15" s="2664" t="s">
        <v>2976</v>
      </c>
      <c r="F15" s="2715" t="s">
        <v>2977</v>
      </c>
      <c r="G15" s="2717" t="str">
        <f>G3</f>
        <v>估价对象位于XX开发区，园区建设成熟度XX，产业集聚程度XX</v>
      </c>
    </row>
    <row r="16" spans="1:29" ht="38.25">
      <c r="A16" s="2665"/>
      <c r="B16" s="2718" t="s">
        <v>2960</v>
      </c>
      <c r="C16" s="2719">
        <f>C4</f>
        <v>0</v>
      </c>
      <c r="D16" s="2683"/>
      <c r="E16" s="2666"/>
      <c r="F16" s="2720" t="s">
        <v>2961</v>
      </c>
      <c r="G16" s="2721" t="str">
        <f>G4</f>
        <v>估价对象周边道路状况、公共交通通达情况、停车便捷程度，综合评价交通便捷度较好</v>
      </c>
    </row>
    <row r="17" spans="1:18">
      <c r="A17" s="2665"/>
      <c r="B17" s="2718" t="s">
        <v>2963</v>
      </c>
      <c r="C17" s="2719">
        <f>C5</f>
        <v>0</v>
      </c>
      <c r="D17" s="2689"/>
      <c r="E17" s="2666"/>
      <c r="F17" s="2720" t="s">
        <v>2978</v>
      </c>
      <c r="G17" s="2722"/>
    </row>
    <row r="18" spans="1:18" ht="63.75">
      <c r="A18" s="2665"/>
      <c r="B18" s="2720" t="s">
        <v>2966</v>
      </c>
      <c r="C18" s="2721" t="str">
        <f>C6</f>
        <v>估价对象周边道路状况、公共交通通达情况：341、453、555等公交线路及地铁八号线经过、停车便捷程度较好，综合评价交通便捷度较好</v>
      </c>
      <c r="D18" s="2689"/>
      <c r="E18" s="2666"/>
      <c r="F18" s="2720" t="s">
        <v>2969</v>
      </c>
      <c r="G18" s="2721" t="str">
        <f>G7</f>
        <v>该园区内是否有污染型企业，绿化情况，卫生条件，整体环境状况判断</v>
      </c>
    </row>
    <row r="19" spans="1:18" ht="25.5">
      <c r="A19" s="2665"/>
      <c r="B19" s="2720" t="s">
        <v>2979</v>
      </c>
      <c r="C19" s="2722"/>
      <c r="D19" s="2683"/>
      <c r="E19" s="2666"/>
      <c r="F19" s="329" t="s">
        <v>2964</v>
      </c>
      <c r="G19" s="2721" t="str">
        <f>G5</f>
        <v>估价对象所在区域公共配套设施齐备情况</v>
      </c>
    </row>
    <row r="20" spans="1:18" ht="38.25">
      <c r="A20" s="2665"/>
      <c r="B20" s="2720" t="s">
        <v>2980</v>
      </c>
      <c r="C20" s="2719" t="str">
        <f>C9</f>
        <v>区域自然环境：南海子公园、旧宫公园、市民公园；人文环境；综合评价环境状况一般</v>
      </c>
      <c r="D20" s="2689"/>
      <c r="E20" s="2666"/>
      <c r="F20" s="329" t="s">
        <v>2967</v>
      </c>
      <c r="G20" s="2721" t="str">
        <f>G6</f>
        <v>估价对象所在区域基础设施水平</v>
      </c>
    </row>
    <row r="21" spans="1:18" ht="25.5">
      <c r="A21" s="2665"/>
      <c r="B21" s="329" t="s">
        <v>2964</v>
      </c>
      <c r="C21" s="2721" t="str">
        <f>C7</f>
        <v>估价对象所在区域公共配套设施齐备情况一般</v>
      </c>
      <c r="D21" s="2683"/>
      <c r="E21" s="2666"/>
      <c r="F21" s="2720" t="s">
        <v>2981</v>
      </c>
      <c r="G21" s="2723"/>
    </row>
    <row r="22" spans="1:18" ht="13.5" customHeight="1">
      <c r="A22" s="2665"/>
      <c r="B22" s="329" t="s">
        <v>2967</v>
      </c>
      <c r="C22" s="2721" t="str">
        <f>C8</f>
        <v>估价对象所在区域基础设施水平较高</v>
      </c>
      <c r="D22" s="2683"/>
      <c r="E22" s="2666"/>
      <c r="F22" s="2720" t="s">
        <v>2972</v>
      </c>
      <c r="G22" s="2722"/>
    </row>
    <row r="23" spans="1:18" s="907" customFormat="1" ht="15" thickBot="1">
      <c r="A23" s="2665"/>
      <c r="B23" s="2720" t="s">
        <v>2981</v>
      </c>
      <c r="C23" s="2723"/>
      <c r="D23" s="1925"/>
      <c r="E23" s="2667"/>
      <c r="F23" s="2724" t="s">
        <v>2982</v>
      </c>
      <c r="G23" s="2725"/>
      <c r="H23" s="2709"/>
      <c r="I23" s="2710"/>
      <c r="J23" s="2709"/>
      <c r="K23" s="2709"/>
      <c r="L23" s="2710"/>
      <c r="M23" s="2709"/>
      <c r="N23" s="2709"/>
      <c r="O23" s="2710"/>
      <c r="P23" s="2709"/>
      <c r="Q23" s="2709"/>
      <c r="R23" s="2711"/>
    </row>
    <row r="24" spans="1:18" s="907" customFormat="1" ht="15" thickBot="1">
      <c r="A24" s="2668"/>
      <c r="B24" s="2724" t="s">
        <v>2983</v>
      </c>
      <c r="C24" s="2726" t="str">
        <f>C10</f>
        <v>城市次干道-德贤路</v>
      </c>
      <c r="D24" s="1925"/>
      <c r="E24" s="2658"/>
      <c r="F24" s="2658"/>
      <c r="G24" s="2727"/>
      <c r="H24" s="2709"/>
      <c r="I24" s="2710"/>
      <c r="J24" s="2709"/>
      <c r="K24" s="2709"/>
      <c r="L24" s="2710"/>
      <c r="M24" s="2709"/>
      <c r="N24" s="2709"/>
      <c r="O24" s="2710"/>
      <c r="P24" s="2709"/>
      <c r="Q24" s="2709"/>
      <c r="R24" s="2711"/>
    </row>
    <row r="25" spans="1:18" s="907" customFormat="1">
      <c r="B25" s="2709"/>
      <c r="C25" s="2709"/>
      <c r="D25" s="2709"/>
      <c r="H25" s="2709"/>
      <c r="I25" s="2710"/>
      <c r="J25" s="2709"/>
      <c r="K25" s="2709"/>
      <c r="L25" s="2710"/>
      <c r="M25" s="2709"/>
      <c r="N25" s="2709"/>
      <c r="O25" s="2710"/>
      <c r="P25" s="2709"/>
      <c r="Q25" s="2709"/>
      <c r="R25" s="2711"/>
    </row>
    <row r="26" spans="1:18" s="907" customFormat="1">
      <c r="B26" s="2709"/>
      <c r="C26" s="2709"/>
      <c r="D26" s="2709"/>
      <c r="H26" s="2709"/>
      <c r="I26" s="2710"/>
      <c r="J26" s="2709"/>
      <c r="K26" s="2709"/>
      <c r="L26" s="2710"/>
      <c r="M26" s="2709"/>
      <c r="N26" s="2709"/>
      <c r="O26" s="2710"/>
      <c r="P26" s="2709"/>
      <c r="Q26" s="2709"/>
      <c r="R26" s="2711"/>
    </row>
    <row r="27" spans="1:18" s="907" customFormat="1">
      <c r="B27" s="2709"/>
      <c r="C27" s="2709"/>
      <c r="D27" s="2709"/>
      <c r="H27" s="2709"/>
      <c r="I27" s="2710"/>
      <c r="J27" s="2709"/>
      <c r="K27" s="2709"/>
      <c r="L27" s="2710"/>
      <c r="M27" s="2709"/>
      <c r="N27" s="2709"/>
      <c r="O27" s="2710"/>
      <c r="P27" s="2709"/>
      <c r="Q27" s="2709"/>
      <c r="R27" s="2711"/>
    </row>
    <row r="28" spans="1:18" s="907" customFormat="1">
      <c r="B28" s="2709"/>
      <c r="C28" s="2709"/>
      <c r="D28" s="2709"/>
      <c r="H28" s="2709"/>
      <c r="I28" s="2710"/>
      <c r="J28" s="2709"/>
      <c r="K28" s="2709"/>
      <c r="L28" s="2710"/>
      <c r="M28" s="2709"/>
      <c r="N28" s="2709"/>
      <c r="O28" s="2710"/>
      <c r="P28" s="2709"/>
      <c r="Q28" s="2709"/>
      <c r="R28" s="2711"/>
    </row>
    <row r="29" spans="1:18" s="907" customFormat="1">
      <c r="B29" s="2709"/>
      <c r="C29" s="2709"/>
      <c r="D29" s="2709"/>
      <c r="H29" s="2709"/>
      <c r="I29" s="2710"/>
      <c r="J29" s="2709"/>
      <c r="K29" s="2709"/>
      <c r="L29" s="2710"/>
      <c r="M29" s="2709"/>
      <c r="N29" s="2709"/>
      <c r="O29" s="2710"/>
      <c r="P29" s="2709"/>
      <c r="Q29" s="2709"/>
      <c r="R29" s="2711"/>
    </row>
    <row r="30" spans="1:18" s="907" customFormat="1">
      <c r="B30" s="2709"/>
      <c r="C30" s="2709"/>
      <c r="D30" s="2709"/>
      <c r="H30" s="2709"/>
      <c r="I30" s="2710"/>
      <c r="J30" s="2709"/>
      <c r="K30" s="2709"/>
      <c r="L30" s="2710"/>
      <c r="M30" s="2709"/>
      <c r="N30" s="2709"/>
      <c r="O30" s="2710"/>
      <c r="P30" s="2709"/>
      <c r="Q30" s="2709"/>
      <c r="R30" s="2711"/>
    </row>
    <row r="31" spans="1:18" s="907" customFormat="1">
      <c r="B31" s="2709"/>
      <c r="C31" s="2709"/>
      <c r="D31" s="2709"/>
      <c r="H31" s="2709"/>
      <c r="I31" s="2710"/>
      <c r="J31" s="2709"/>
      <c r="K31" s="2709"/>
      <c r="L31" s="2710"/>
      <c r="M31" s="2709"/>
      <c r="N31" s="2709"/>
      <c r="O31" s="2710"/>
      <c r="P31" s="2709"/>
      <c r="Q31" s="2709"/>
      <c r="R31" s="2711"/>
    </row>
    <row r="32" spans="1:18" s="907" customFormat="1">
      <c r="B32" s="2709"/>
      <c r="C32" s="2709"/>
      <c r="D32" s="2709"/>
      <c r="H32" s="2709"/>
      <c r="I32" s="2710"/>
      <c r="J32" s="2709"/>
      <c r="K32" s="2709"/>
      <c r="L32" s="2710"/>
      <c r="M32" s="2709"/>
      <c r="N32" s="2709"/>
      <c r="O32" s="2710"/>
      <c r="P32" s="2709"/>
      <c r="Q32" s="2709"/>
      <c r="R32" s="2711"/>
    </row>
    <row r="33" spans="2:18" s="907" customFormat="1">
      <c r="B33" s="2709"/>
      <c r="C33" s="2709"/>
      <c r="D33" s="2709"/>
      <c r="H33" s="2709"/>
      <c r="I33" s="2710"/>
      <c r="J33" s="2709"/>
      <c r="K33" s="2709"/>
      <c r="L33" s="2710"/>
      <c r="M33" s="2709"/>
      <c r="N33" s="2709"/>
      <c r="O33" s="2710"/>
      <c r="P33" s="2709"/>
      <c r="Q33" s="2709"/>
      <c r="R33" s="2711"/>
    </row>
    <row r="34" spans="2:18" s="907" customFormat="1">
      <c r="B34" s="2709"/>
      <c r="C34" s="2709"/>
      <c r="D34" s="2709"/>
      <c r="H34" s="2709"/>
      <c r="I34" s="2710"/>
      <c r="J34" s="2709"/>
      <c r="K34" s="2709"/>
      <c r="L34" s="2710"/>
      <c r="M34" s="2709"/>
      <c r="N34" s="2709"/>
      <c r="O34" s="2710"/>
      <c r="P34" s="2709"/>
      <c r="Q34" s="2709"/>
      <c r="R34" s="2711"/>
    </row>
    <row r="35" spans="2:18" s="907" customFormat="1">
      <c r="B35" s="2709"/>
      <c r="C35" s="2709"/>
      <c r="D35" s="2709"/>
      <c r="H35" s="2709"/>
      <c r="I35" s="2710"/>
      <c r="J35" s="2709"/>
      <c r="K35" s="2709"/>
      <c r="L35" s="2710"/>
      <c r="M35" s="2709"/>
      <c r="N35" s="2709"/>
      <c r="O35" s="2710"/>
      <c r="P35" s="2709"/>
      <c r="Q35" s="2709"/>
      <c r="R35" s="2711"/>
    </row>
    <row r="36" spans="2:18" s="907" customFormat="1">
      <c r="B36" s="2709"/>
      <c r="C36" s="2709"/>
      <c r="D36" s="2709"/>
      <c r="H36" s="2709"/>
      <c r="I36" s="2710"/>
      <c r="J36" s="2709"/>
      <c r="K36" s="2709"/>
      <c r="L36" s="2710"/>
      <c r="M36" s="2709"/>
      <c r="N36" s="2709"/>
      <c r="O36" s="2710"/>
      <c r="P36" s="2709"/>
      <c r="Q36" s="2709"/>
      <c r="R36" s="2711"/>
    </row>
    <row r="37" spans="2:18" s="907" customFormat="1">
      <c r="B37" s="2709"/>
      <c r="C37" s="2709"/>
      <c r="D37" s="2709"/>
      <c r="H37" s="2709"/>
      <c r="I37" s="2710"/>
      <c r="J37" s="2709"/>
      <c r="K37" s="2709"/>
      <c r="L37" s="2710"/>
      <c r="M37" s="2709"/>
      <c r="N37" s="2709"/>
      <c r="O37" s="2710"/>
      <c r="P37" s="2709"/>
      <c r="Q37" s="2709"/>
      <c r="R37" s="2711"/>
    </row>
    <row r="38" spans="2:18" s="907" customFormat="1">
      <c r="B38" s="2709"/>
      <c r="C38" s="2709"/>
      <c r="D38" s="2709"/>
      <c r="E38" s="2709"/>
      <c r="F38" s="2709"/>
      <c r="G38" s="2710"/>
      <c r="H38" s="2709"/>
      <c r="I38" s="2710"/>
      <c r="J38" s="2709"/>
      <c r="K38" s="2709"/>
      <c r="L38" s="2710"/>
      <c r="M38" s="2709"/>
      <c r="N38" s="2709"/>
      <c r="O38" s="2710"/>
      <c r="P38" s="2709"/>
      <c r="Q38" s="2709"/>
      <c r="R38" s="2711"/>
    </row>
    <row r="39" spans="2:18" s="907" customFormat="1">
      <c r="B39" s="2709"/>
      <c r="C39" s="2709"/>
      <c r="D39" s="2709"/>
      <c r="E39" s="2709"/>
      <c r="F39" s="2709"/>
      <c r="G39" s="2710"/>
      <c r="H39" s="2709"/>
      <c r="I39" s="2710"/>
      <c r="J39" s="2709"/>
      <c r="K39" s="2709"/>
      <c r="L39" s="2710"/>
      <c r="M39" s="2709"/>
      <c r="N39" s="2709"/>
      <c r="O39" s="2710"/>
      <c r="P39" s="2709"/>
      <c r="Q39" s="2709"/>
      <c r="R39" s="2711"/>
    </row>
    <row r="40" spans="2:18" s="907" customFormat="1">
      <c r="B40" s="2709"/>
      <c r="C40" s="2709"/>
      <c r="D40" s="2709"/>
      <c r="E40" s="2709"/>
      <c r="F40" s="2709"/>
      <c r="G40" s="2710"/>
      <c r="H40" s="2709"/>
      <c r="I40" s="2710"/>
      <c r="J40" s="2709"/>
      <c r="K40" s="2709"/>
      <c r="L40" s="2710"/>
      <c r="M40" s="2709"/>
      <c r="N40" s="2709"/>
      <c r="O40" s="2710"/>
      <c r="P40" s="2709"/>
      <c r="Q40" s="2709"/>
      <c r="R40" s="2711"/>
    </row>
    <row r="41" spans="2:18" s="907" customFormat="1">
      <c r="B41" s="2709"/>
      <c r="C41" s="2709"/>
      <c r="D41" s="2709"/>
      <c r="E41" s="2709"/>
      <c r="F41" s="2709"/>
      <c r="G41" s="2710"/>
      <c r="H41" s="2709"/>
      <c r="I41" s="2710"/>
      <c r="J41" s="2709"/>
      <c r="K41" s="2709"/>
      <c r="L41" s="2710"/>
      <c r="M41" s="2709"/>
      <c r="N41" s="2709"/>
      <c r="O41" s="2710"/>
      <c r="P41" s="2709"/>
      <c r="Q41" s="2709"/>
      <c r="R41" s="2711"/>
    </row>
    <row r="42" spans="2:18" s="907" customFormat="1">
      <c r="B42" s="2709"/>
      <c r="C42" s="2709"/>
      <c r="D42" s="2709"/>
      <c r="E42" s="2709"/>
      <c r="F42" s="2709"/>
      <c r="G42" s="2710"/>
      <c r="H42" s="2709"/>
      <c r="I42" s="2710"/>
      <c r="J42" s="2709"/>
      <c r="K42" s="2709"/>
      <c r="L42" s="2710"/>
      <c r="M42" s="2709"/>
      <c r="N42" s="2709"/>
      <c r="O42" s="2710"/>
      <c r="P42" s="2709"/>
      <c r="Q42" s="2709"/>
      <c r="R42" s="2711"/>
    </row>
    <row r="43" spans="2:18" s="907" customFormat="1">
      <c r="B43" s="2709"/>
      <c r="C43" s="2709"/>
      <c r="D43" s="2709"/>
      <c r="E43" s="2709"/>
      <c r="F43" s="2709"/>
      <c r="G43" s="2710"/>
      <c r="H43" s="2709"/>
      <c r="I43" s="2710"/>
      <c r="J43" s="2709"/>
      <c r="K43" s="2709"/>
      <c r="L43" s="2710"/>
      <c r="M43" s="2709"/>
      <c r="N43" s="2709"/>
      <c r="O43" s="2710"/>
      <c r="P43" s="2709"/>
      <c r="Q43" s="2709"/>
      <c r="R43" s="2711"/>
    </row>
    <row r="44" spans="2:18" s="907" customFormat="1">
      <c r="B44" s="2709"/>
      <c r="C44" s="2709"/>
      <c r="D44" s="2709"/>
      <c r="E44" s="2709"/>
      <c r="F44" s="2709"/>
      <c r="G44" s="2710"/>
      <c r="H44" s="2709"/>
      <c r="I44" s="2710"/>
      <c r="J44" s="2709"/>
      <c r="K44" s="2709"/>
      <c r="L44" s="2710"/>
      <c r="M44" s="2709"/>
      <c r="N44" s="2709"/>
      <c r="O44" s="2710"/>
      <c r="P44" s="2709"/>
      <c r="Q44" s="2709"/>
      <c r="R44" s="2711"/>
    </row>
    <row r="45" spans="2:18" s="907" customFormat="1">
      <c r="B45" s="2709"/>
      <c r="C45" s="2709"/>
      <c r="D45" s="2709"/>
      <c r="E45" s="2709"/>
      <c r="F45" s="2709"/>
      <c r="G45" s="2710"/>
      <c r="H45" s="2709"/>
      <c r="I45" s="2710"/>
      <c r="J45" s="2709"/>
      <c r="K45" s="2709"/>
      <c r="L45" s="2710"/>
      <c r="M45" s="2709"/>
      <c r="N45" s="2709"/>
      <c r="O45" s="2710"/>
      <c r="P45" s="2709"/>
      <c r="Q45" s="2709"/>
      <c r="R45" s="2711"/>
    </row>
    <row r="46" spans="2:18" s="907" customFormat="1">
      <c r="B46" s="2709"/>
      <c r="C46" s="2709"/>
      <c r="D46" s="2709"/>
      <c r="E46" s="2709"/>
      <c r="F46" s="2709"/>
      <c r="G46" s="2710"/>
      <c r="H46" s="2709"/>
      <c r="I46" s="2710"/>
      <c r="J46" s="2709"/>
      <c r="K46" s="2709"/>
      <c r="L46" s="2710"/>
      <c r="M46" s="2709"/>
      <c r="N46" s="2709"/>
      <c r="O46" s="2710"/>
      <c r="P46" s="2709"/>
      <c r="Q46" s="2709"/>
      <c r="R46" s="2711"/>
    </row>
    <row r="47" spans="2:18" s="907" customFormat="1">
      <c r="B47" s="2709"/>
      <c r="C47" s="2709"/>
      <c r="D47" s="2709"/>
      <c r="E47" s="2709"/>
      <c r="F47" s="2709"/>
      <c r="G47" s="2710"/>
      <c r="H47" s="2709"/>
      <c r="I47" s="2710"/>
      <c r="J47" s="2709"/>
      <c r="K47" s="2709"/>
      <c r="L47" s="2710"/>
      <c r="M47" s="2709"/>
      <c r="N47" s="2709"/>
      <c r="O47" s="2710"/>
      <c r="P47" s="2709"/>
      <c r="Q47" s="2709"/>
      <c r="R47" s="2711"/>
    </row>
    <row r="48" spans="2:18" s="907" customFormat="1">
      <c r="B48" s="2709"/>
      <c r="C48" s="2709"/>
      <c r="D48" s="2709"/>
      <c r="E48" s="2709"/>
      <c r="F48" s="2709"/>
      <c r="G48" s="2710"/>
      <c r="H48" s="2709"/>
      <c r="I48" s="2710"/>
      <c r="J48" s="2709"/>
      <c r="K48" s="2709"/>
      <c r="L48" s="2710"/>
      <c r="M48" s="2709"/>
      <c r="N48" s="2709"/>
      <c r="O48" s="2710"/>
      <c r="P48" s="2709"/>
      <c r="Q48" s="2709"/>
      <c r="R48" s="2711"/>
    </row>
    <row r="49" spans="2:18" s="907" customFormat="1">
      <c r="B49" s="2709"/>
      <c r="C49" s="2709"/>
      <c r="D49" s="2709"/>
      <c r="E49" s="2709"/>
      <c r="F49" s="2709"/>
      <c r="G49" s="2710"/>
      <c r="H49" s="2709"/>
      <c r="I49" s="2710"/>
      <c r="J49" s="2709"/>
      <c r="K49" s="2709"/>
      <c r="L49" s="2710"/>
      <c r="M49" s="2709"/>
      <c r="N49" s="2709"/>
      <c r="O49" s="2710"/>
      <c r="P49" s="2709"/>
      <c r="Q49" s="2709"/>
      <c r="R49" s="2711"/>
    </row>
    <row r="50" spans="2:18" s="907" customFormat="1">
      <c r="B50" s="2709"/>
      <c r="C50" s="2709"/>
      <c r="D50" s="2709"/>
      <c r="E50" s="2709"/>
      <c r="F50" s="2709"/>
      <c r="G50" s="2710"/>
      <c r="H50" s="2709"/>
      <c r="I50" s="2710"/>
      <c r="J50" s="2709"/>
      <c r="K50" s="2709"/>
      <c r="L50" s="2710"/>
      <c r="M50" s="2709"/>
      <c r="N50" s="2709"/>
      <c r="O50" s="2710"/>
      <c r="P50" s="2709"/>
      <c r="Q50" s="2709"/>
      <c r="R50" s="2711"/>
    </row>
    <row r="51" spans="2:18" s="907" customFormat="1">
      <c r="B51" s="2709"/>
      <c r="C51" s="2709"/>
      <c r="D51" s="2709"/>
      <c r="E51" s="2709"/>
      <c r="F51" s="2709"/>
      <c r="G51" s="2710"/>
      <c r="H51" s="2709"/>
      <c r="I51" s="2710"/>
      <c r="J51" s="2709"/>
      <c r="K51" s="2709"/>
      <c r="L51" s="2710"/>
      <c r="M51" s="2709"/>
      <c r="N51" s="2709"/>
      <c r="O51" s="2710"/>
      <c r="P51" s="2709"/>
      <c r="Q51" s="2709"/>
      <c r="R51" s="2711"/>
    </row>
    <row r="52" spans="2:18" s="907" customFormat="1">
      <c r="B52" s="2709"/>
      <c r="C52" s="2709"/>
      <c r="D52" s="2709"/>
      <c r="E52" s="2709"/>
      <c r="F52" s="2709"/>
      <c r="G52" s="2710"/>
      <c r="H52" s="2709"/>
      <c r="I52" s="2710"/>
      <c r="J52" s="2709"/>
      <c r="K52" s="2709"/>
      <c r="L52" s="2710"/>
      <c r="M52" s="2709"/>
      <c r="N52" s="2709"/>
      <c r="O52" s="2710"/>
      <c r="P52" s="2709"/>
      <c r="Q52" s="2709"/>
      <c r="R52" s="2711"/>
    </row>
    <row r="53" spans="2:18" s="907" customFormat="1">
      <c r="B53" s="2709"/>
      <c r="C53" s="2709"/>
      <c r="D53" s="2709"/>
      <c r="E53" s="2709"/>
      <c r="F53" s="2709"/>
      <c r="G53" s="2710"/>
      <c r="H53" s="2709"/>
      <c r="I53" s="2710"/>
      <c r="J53" s="2709"/>
      <c r="K53" s="2709"/>
      <c r="L53" s="2710"/>
      <c r="M53" s="2709"/>
      <c r="N53" s="2709"/>
      <c r="O53" s="2710"/>
      <c r="P53" s="2709"/>
      <c r="Q53" s="2709"/>
      <c r="R53" s="2711"/>
    </row>
    <row r="54" spans="2:18" s="907" customFormat="1">
      <c r="B54" s="2709"/>
      <c r="C54" s="2709"/>
      <c r="D54" s="2709"/>
      <c r="E54" s="2709"/>
      <c r="F54" s="2709"/>
      <c r="G54" s="2710"/>
      <c r="H54" s="2709"/>
      <c r="I54" s="2710"/>
      <c r="J54" s="2709"/>
      <c r="K54" s="2709"/>
      <c r="L54" s="2710"/>
      <c r="M54" s="2709"/>
      <c r="N54" s="2709"/>
      <c r="O54" s="2710"/>
      <c r="P54" s="2709"/>
      <c r="Q54" s="2709"/>
      <c r="R54" s="2711"/>
    </row>
    <row r="55" spans="2:18" s="907" customFormat="1">
      <c r="B55" s="2709"/>
      <c r="C55" s="2709"/>
      <c r="D55" s="2709"/>
      <c r="E55" s="2709"/>
      <c r="F55" s="2709"/>
      <c r="G55" s="2710"/>
      <c r="H55" s="2709"/>
      <c r="I55" s="2710"/>
      <c r="J55" s="2709"/>
      <c r="K55" s="2709"/>
      <c r="L55" s="2710"/>
      <c r="M55" s="2709"/>
      <c r="N55" s="2709"/>
      <c r="O55" s="2710"/>
      <c r="P55" s="2709"/>
      <c r="Q55" s="2709"/>
      <c r="R55" s="2711"/>
    </row>
    <row r="56" spans="2:18" s="907" customFormat="1">
      <c r="B56" s="2709"/>
      <c r="C56" s="2709"/>
      <c r="D56" s="2709"/>
      <c r="E56" s="2709"/>
      <c r="F56" s="2709"/>
      <c r="G56" s="2710"/>
      <c r="H56" s="2709"/>
      <c r="I56" s="2710"/>
      <c r="J56" s="2709"/>
      <c r="K56" s="2709"/>
      <c r="L56" s="2710"/>
      <c r="M56" s="2709"/>
      <c r="N56" s="2709"/>
      <c r="O56" s="2710"/>
      <c r="P56" s="2709"/>
      <c r="Q56" s="2709"/>
      <c r="R56" s="2711"/>
    </row>
    <row r="57" spans="2:18" s="907" customFormat="1">
      <c r="B57" s="2709"/>
      <c r="C57" s="2709"/>
      <c r="D57" s="2709"/>
      <c r="E57" s="2709"/>
      <c r="F57" s="2709"/>
      <c r="G57" s="2710"/>
      <c r="H57" s="2709"/>
      <c r="I57" s="2710"/>
      <c r="J57" s="2709"/>
      <c r="K57" s="2709"/>
      <c r="L57" s="2710"/>
      <c r="M57" s="2709"/>
      <c r="N57" s="2709"/>
      <c r="O57" s="2710"/>
      <c r="P57" s="2709"/>
      <c r="Q57" s="2709"/>
      <c r="R57" s="2711"/>
    </row>
    <row r="58" spans="2:18" s="907" customFormat="1">
      <c r="B58" s="2709"/>
      <c r="C58" s="2709"/>
      <c r="D58" s="2709"/>
      <c r="E58" s="2709"/>
      <c r="F58" s="2709"/>
      <c r="G58" s="2710"/>
      <c r="H58" s="2709"/>
      <c r="I58" s="2710"/>
      <c r="J58" s="2709"/>
      <c r="K58" s="2709"/>
      <c r="L58" s="2710"/>
      <c r="M58" s="2709"/>
      <c r="N58" s="2709"/>
      <c r="O58" s="2710"/>
      <c r="P58" s="2709"/>
      <c r="Q58" s="2709"/>
      <c r="R58" s="2711"/>
    </row>
    <row r="59" spans="2:18" s="907" customFormat="1">
      <c r="B59" s="2709"/>
      <c r="C59" s="2709"/>
      <c r="D59" s="2709"/>
      <c r="E59" s="2709"/>
      <c r="F59" s="2709"/>
      <c r="G59" s="2710"/>
      <c r="H59" s="2709"/>
      <c r="I59" s="2710"/>
      <c r="J59" s="2709"/>
      <c r="K59" s="2709"/>
      <c r="L59" s="2710"/>
      <c r="M59" s="2709"/>
      <c r="N59" s="2709"/>
      <c r="O59" s="2710"/>
      <c r="P59" s="2709"/>
      <c r="Q59" s="2709"/>
      <c r="R59" s="2711"/>
    </row>
    <row r="60" spans="2:18" s="907" customFormat="1">
      <c r="B60" s="2709"/>
      <c r="C60" s="2709"/>
      <c r="D60" s="2709"/>
      <c r="E60" s="2709"/>
      <c r="F60" s="2709"/>
      <c r="G60" s="2710"/>
      <c r="H60" s="2709"/>
      <c r="I60" s="2710"/>
      <c r="J60" s="2709"/>
      <c r="K60" s="2709"/>
      <c r="L60" s="2710"/>
      <c r="M60" s="2709"/>
      <c r="N60" s="2709"/>
      <c r="O60" s="2710"/>
      <c r="P60" s="2709"/>
      <c r="Q60" s="2709"/>
      <c r="R60" s="2711"/>
    </row>
    <row r="61" spans="2:18" s="907" customFormat="1">
      <c r="B61" s="2709"/>
      <c r="C61" s="2709"/>
      <c r="D61" s="2709"/>
      <c r="E61" s="2709"/>
      <c r="F61" s="2709"/>
      <c r="G61" s="2710"/>
      <c r="H61" s="2709"/>
      <c r="I61" s="2710"/>
      <c r="J61" s="2709"/>
      <c r="K61" s="2709"/>
      <c r="L61" s="2710"/>
      <c r="M61" s="2709"/>
      <c r="N61" s="2709"/>
      <c r="O61" s="2710"/>
      <c r="P61" s="2709"/>
      <c r="Q61" s="2709"/>
      <c r="R61" s="2711"/>
    </row>
    <row r="62" spans="2:18" s="907" customFormat="1">
      <c r="B62" s="2709"/>
      <c r="C62" s="2709"/>
      <c r="D62" s="2709"/>
      <c r="E62" s="2709"/>
      <c r="F62" s="2709"/>
      <c r="G62" s="2710"/>
      <c r="H62" s="2709"/>
      <c r="I62" s="2710"/>
      <c r="J62" s="2709"/>
      <c r="K62" s="2709"/>
      <c r="L62" s="2710"/>
      <c r="M62" s="2709"/>
      <c r="N62" s="2709"/>
      <c r="O62" s="2710"/>
      <c r="P62" s="2709"/>
      <c r="Q62" s="2709"/>
      <c r="R62" s="2711"/>
    </row>
    <row r="63" spans="2:18" s="907" customFormat="1">
      <c r="B63" s="2709"/>
      <c r="C63" s="2709"/>
      <c r="D63" s="2709"/>
      <c r="E63" s="2709"/>
      <c r="F63" s="2709"/>
      <c r="G63" s="2710"/>
      <c r="H63" s="2709"/>
      <c r="I63" s="2710"/>
      <c r="J63" s="2709"/>
      <c r="K63" s="2709"/>
      <c r="L63" s="2710"/>
      <c r="M63" s="2709"/>
      <c r="N63" s="2709"/>
      <c r="O63" s="2710"/>
      <c r="P63" s="2709"/>
      <c r="Q63" s="2709"/>
      <c r="R63" s="2711"/>
    </row>
    <row r="64" spans="2:18" s="907" customFormat="1">
      <c r="B64" s="2709"/>
      <c r="C64" s="2709"/>
      <c r="D64" s="2709"/>
      <c r="E64" s="2709"/>
      <c r="F64" s="2709"/>
      <c r="G64" s="2710"/>
      <c r="H64" s="2709"/>
      <c r="I64" s="2710"/>
      <c r="J64" s="2709"/>
      <c r="K64" s="2709"/>
      <c r="L64" s="2710"/>
      <c r="M64" s="2709"/>
      <c r="N64" s="2709"/>
      <c r="O64" s="2710"/>
      <c r="P64" s="2709"/>
      <c r="Q64" s="2709"/>
      <c r="R64" s="2711"/>
    </row>
    <row r="65" spans="2:18" s="907" customFormat="1">
      <c r="B65" s="2709"/>
      <c r="C65" s="2709"/>
      <c r="D65" s="2709"/>
      <c r="E65" s="2709"/>
      <c r="F65" s="2709"/>
      <c r="G65" s="2710"/>
      <c r="H65" s="2709"/>
      <c r="I65" s="2710"/>
      <c r="J65" s="2709"/>
      <c r="K65" s="2709"/>
      <c r="L65" s="2710"/>
      <c r="M65" s="2709"/>
      <c r="N65" s="2709"/>
      <c r="O65" s="2710"/>
      <c r="P65" s="2709"/>
      <c r="Q65" s="2709"/>
      <c r="R65" s="2711"/>
    </row>
    <row r="66" spans="2:18" s="907" customFormat="1">
      <c r="B66" s="2709"/>
      <c r="C66" s="2709"/>
      <c r="D66" s="2709"/>
      <c r="E66" s="2709"/>
      <c r="F66" s="2709"/>
      <c r="G66" s="2710"/>
      <c r="H66" s="2709"/>
      <c r="I66" s="2710"/>
      <c r="J66" s="2709"/>
      <c r="K66" s="2709"/>
      <c r="L66" s="2710"/>
      <c r="M66" s="2709"/>
      <c r="N66" s="2709"/>
      <c r="O66" s="2710"/>
      <c r="P66" s="2709"/>
      <c r="Q66" s="2709"/>
      <c r="R66" s="2711"/>
    </row>
    <row r="67" spans="2:18" s="907" customFormat="1">
      <c r="B67" s="2709"/>
      <c r="C67" s="2709"/>
      <c r="D67" s="2709"/>
      <c r="E67" s="2709"/>
      <c r="F67" s="2709"/>
      <c r="G67" s="2710"/>
      <c r="H67" s="2709"/>
      <c r="I67" s="2710"/>
      <c r="J67" s="2709"/>
      <c r="K67" s="2709"/>
      <c r="L67" s="2710"/>
      <c r="M67" s="2709"/>
      <c r="N67" s="2709"/>
      <c r="O67" s="2710"/>
      <c r="P67" s="2709"/>
      <c r="Q67" s="2709"/>
      <c r="R67" s="2711"/>
    </row>
    <row r="68" spans="2:18" s="907" customFormat="1">
      <c r="B68" s="2709"/>
      <c r="C68" s="2709"/>
      <c r="D68" s="2709"/>
      <c r="E68" s="2709"/>
      <c r="F68" s="2709"/>
      <c r="G68" s="2710"/>
      <c r="H68" s="2709"/>
      <c r="I68" s="2710"/>
      <c r="J68" s="2709"/>
      <c r="K68" s="2709"/>
      <c r="L68" s="2710"/>
      <c r="M68" s="2709"/>
      <c r="N68" s="2709"/>
      <c r="O68" s="2710"/>
      <c r="P68" s="2709"/>
      <c r="Q68" s="2709"/>
      <c r="R68" s="2711"/>
    </row>
    <row r="69" spans="2:18" s="907" customFormat="1">
      <c r="B69" s="2709"/>
      <c r="C69" s="2709"/>
      <c r="D69" s="2709"/>
      <c r="E69" s="2709"/>
      <c r="F69" s="2709"/>
      <c r="G69" s="2710"/>
      <c r="H69" s="2709"/>
      <c r="I69" s="2710"/>
      <c r="J69" s="2709"/>
      <c r="K69" s="2709"/>
      <c r="L69" s="2710"/>
      <c r="M69" s="2709"/>
      <c r="N69" s="2709"/>
      <c r="O69" s="2710"/>
      <c r="P69" s="2709"/>
      <c r="Q69" s="2709"/>
      <c r="R69" s="2711"/>
    </row>
    <row r="70" spans="2:18" s="907" customFormat="1">
      <c r="B70" s="2709"/>
      <c r="C70" s="2709"/>
      <c r="D70" s="2709"/>
      <c r="E70" s="2709"/>
      <c r="F70" s="2709"/>
      <c r="G70" s="2710"/>
      <c r="H70" s="2709"/>
      <c r="I70" s="2710"/>
      <c r="J70" s="2709"/>
      <c r="K70" s="2709"/>
      <c r="L70" s="2710"/>
      <c r="M70" s="2709"/>
      <c r="N70" s="2709"/>
      <c r="O70" s="2710"/>
      <c r="P70" s="2709"/>
      <c r="Q70" s="2709"/>
      <c r="R70" s="2711"/>
    </row>
    <row r="71" spans="2:18" s="907" customFormat="1">
      <c r="B71" s="2709"/>
      <c r="C71" s="2709"/>
      <c r="D71" s="2709"/>
      <c r="E71" s="2709"/>
      <c r="F71" s="2709"/>
      <c r="G71" s="2710"/>
      <c r="H71" s="2709"/>
      <c r="I71" s="2710"/>
      <c r="J71" s="2709"/>
      <c r="K71" s="2709"/>
      <c r="L71" s="2710"/>
      <c r="M71" s="2709"/>
      <c r="N71" s="2709"/>
      <c r="O71" s="2710"/>
      <c r="P71" s="2709"/>
      <c r="Q71" s="2709"/>
      <c r="R71" s="2711"/>
    </row>
    <row r="72" spans="2:18" s="907" customFormat="1">
      <c r="B72" s="2709"/>
      <c r="C72" s="2709"/>
      <c r="D72" s="2709"/>
      <c r="E72" s="2709"/>
      <c r="F72" s="2709"/>
      <c r="G72" s="2710"/>
      <c r="H72" s="2709"/>
      <c r="I72" s="2710"/>
      <c r="J72" s="2709"/>
      <c r="K72" s="2709"/>
      <c r="L72" s="2710"/>
      <c r="M72" s="2709"/>
      <c r="N72" s="2709"/>
      <c r="O72" s="2710"/>
      <c r="P72" s="2709"/>
      <c r="Q72" s="2709"/>
      <c r="R72" s="2711"/>
    </row>
    <row r="73" spans="2:18" s="907" customFormat="1">
      <c r="B73" s="2709"/>
      <c r="C73" s="2709"/>
      <c r="D73" s="2709"/>
      <c r="E73" s="2709"/>
      <c r="F73" s="2709"/>
      <c r="G73" s="2710"/>
      <c r="H73" s="2709"/>
      <c r="I73" s="2710"/>
      <c r="J73" s="2709"/>
      <c r="K73" s="2709"/>
      <c r="L73" s="2710"/>
      <c r="M73" s="2709"/>
      <c r="N73" s="2709"/>
      <c r="O73" s="2710"/>
      <c r="P73" s="2709"/>
      <c r="Q73" s="2709"/>
      <c r="R73" s="2711"/>
    </row>
    <row r="74" spans="2:18" s="907" customFormat="1">
      <c r="B74" s="2709"/>
      <c r="C74" s="2709"/>
      <c r="D74" s="2709"/>
      <c r="E74" s="2709"/>
      <c r="F74" s="2709"/>
      <c r="G74" s="2710"/>
      <c r="H74" s="2709"/>
      <c r="I74" s="2710"/>
      <c r="J74" s="2709"/>
      <c r="K74" s="2709"/>
      <c r="L74" s="2710"/>
      <c r="M74" s="2709"/>
      <c r="N74" s="2709"/>
      <c r="O74" s="2710"/>
      <c r="P74" s="2709"/>
      <c r="Q74" s="2709"/>
      <c r="R74" s="2711"/>
    </row>
    <row r="75" spans="2:18" s="907" customFormat="1">
      <c r="B75" s="2709"/>
      <c r="C75" s="2709"/>
      <c r="D75" s="2709"/>
      <c r="E75" s="2709"/>
      <c r="F75" s="2709"/>
      <c r="G75" s="2710"/>
      <c r="H75" s="2709"/>
      <c r="I75" s="2710"/>
      <c r="J75" s="2709"/>
      <c r="K75" s="2709"/>
      <c r="L75" s="2710"/>
      <c r="M75" s="2709"/>
      <c r="N75" s="2709"/>
      <c r="O75" s="2710"/>
      <c r="P75" s="2709"/>
      <c r="Q75" s="2709"/>
      <c r="R75" s="2711"/>
    </row>
    <row r="76" spans="2:18" s="907" customFormat="1">
      <c r="B76" s="2709"/>
      <c r="C76" s="2709"/>
      <c r="D76" s="2709"/>
      <c r="E76" s="2709"/>
      <c r="F76" s="2709"/>
      <c r="G76" s="2710"/>
      <c r="H76" s="2709"/>
      <c r="I76" s="2710"/>
      <c r="J76" s="2709"/>
      <c r="K76" s="2709"/>
      <c r="L76" s="2710"/>
      <c r="M76" s="2709"/>
      <c r="N76" s="2709"/>
      <c r="O76" s="2710"/>
      <c r="P76" s="2709"/>
      <c r="Q76" s="2709"/>
      <c r="R76" s="2711"/>
    </row>
    <row r="77" spans="2:18" s="907" customFormat="1">
      <c r="B77" s="2709"/>
      <c r="C77" s="2709"/>
      <c r="D77" s="2709"/>
      <c r="E77" s="2709"/>
      <c r="F77" s="2709"/>
      <c r="G77" s="2710"/>
      <c r="H77" s="2709"/>
      <c r="I77" s="2710"/>
      <c r="J77" s="2709"/>
      <c r="K77" s="2709"/>
      <c r="L77" s="2710"/>
      <c r="M77" s="2709"/>
      <c r="N77" s="2709"/>
      <c r="O77" s="2710"/>
      <c r="P77" s="2709"/>
      <c r="Q77" s="2709"/>
      <c r="R77" s="2711"/>
    </row>
    <row r="78" spans="2:18" s="907" customFormat="1">
      <c r="B78" s="2709"/>
      <c r="C78" s="2709"/>
      <c r="D78" s="2709"/>
      <c r="E78" s="2709"/>
      <c r="F78" s="2709"/>
      <c r="G78" s="2710"/>
      <c r="H78" s="2709"/>
      <c r="I78" s="2710"/>
      <c r="J78" s="2709"/>
      <c r="K78" s="2709"/>
      <c r="L78" s="2710"/>
      <c r="M78" s="2709"/>
      <c r="N78" s="2709"/>
      <c r="O78" s="2710"/>
      <c r="P78" s="2709"/>
      <c r="Q78" s="2709"/>
      <c r="R78" s="2711"/>
    </row>
    <row r="79" spans="2:18" s="907" customFormat="1">
      <c r="B79" s="2709"/>
      <c r="C79" s="2709"/>
      <c r="D79" s="2709"/>
      <c r="E79" s="2709"/>
      <c r="F79" s="2709"/>
      <c r="G79" s="2710"/>
      <c r="H79" s="2709"/>
      <c r="I79" s="2710"/>
      <c r="J79" s="2709"/>
      <c r="K79" s="2709"/>
      <c r="L79" s="2710"/>
      <c r="M79" s="2709"/>
      <c r="N79" s="2709"/>
      <c r="O79" s="2710"/>
      <c r="P79" s="2709"/>
      <c r="Q79" s="2709"/>
      <c r="R79" s="2711"/>
    </row>
    <row r="80" spans="2:18" s="907" customFormat="1">
      <c r="B80" s="2709"/>
      <c r="C80" s="2709"/>
      <c r="D80" s="2709"/>
      <c r="E80" s="2709"/>
      <c r="F80" s="2709"/>
      <c r="G80" s="2710"/>
      <c r="H80" s="2709"/>
      <c r="I80" s="2710"/>
      <c r="J80" s="2709"/>
      <c r="K80" s="2709"/>
      <c r="L80" s="2710"/>
      <c r="M80" s="2709"/>
      <c r="N80" s="2709"/>
      <c r="O80" s="2710"/>
      <c r="P80" s="2709"/>
      <c r="Q80" s="2709"/>
      <c r="R80" s="2711"/>
    </row>
    <row r="81" spans="2:18" s="907" customFormat="1">
      <c r="B81" s="2709"/>
      <c r="C81" s="2709"/>
      <c r="D81" s="2709"/>
      <c r="E81" s="2709"/>
      <c r="F81" s="2709"/>
      <c r="G81" s="2710"/>
      <c r="H81" s="2709"/>
      <c r="I81" s="2710"/>
      <c r="J81" s="2709"/>
      <c r="K81" s="2709"/>
      <c r="L81" s="2710"/>
      <c r="M81" s="2709"/>
      <c r="N81" s="2709"/>
      <c r="O81" s="2710"/>
      <c r="P81" s="2709"/>
      <c r="Q81" s="2709"/>
      <c r="R81" s="2711"/>
    </row>
    <row r="82" spans="2:18" s="907" customFormat="1">
      <c r="B82" s="2709"/>
      <c r="C82" s="2709"/>
      <c r="D82" s="2709"/>
      <c r="E82" s="2709"/>
      <c r="F82" s="2709"/>
      <c r="G82" s="2710"/>
      <c r="H82" s="2709"/>
      <c r="I82" s="2710"/>
      <c r="J82" s="2709"/>
      <c r="K82" s="2709"/>
      <c r="L82" s="2710"/>
      <c r="M82" s="2709"/>
      <c r="N82" s="2709"/>
      <c r="O82" s="2710"/>
      <c r="P82" s="2709"/>
      <c r="Q82" s="2709"/>
      <c r="R82" s="2711"/>
    </row>
    <row r="83" spans="2:18" s="907" customFormat="1">
      <c r="B83" s="2709"/>
      <c r="C83" s="2709"/>
      <c r="D83" s="2709"/>
      <c r="E83" s="2709"/>
      <c r="F83" s="2709"/>
      <c r="G83" s="2710"/>
      <c r="H83" s="2709"/>
      <c r="I83" s="2710"/>
      <c r="J83" s="2709"/>
      <c r="K83" s="2709"/>
      <c r="L83" s="2710"/>
      <c r="M83" s="2709"/>
      <c r="N83" s="2709"/>
      <c r="O83" s="2710"/>
      <c r="P83" s="2709"/>
      <c r="Q83" s="2709"/>
      <c r="R83" s="2711"/>
    </row>
    <row r="84" spans="2:18" s="907" customFormat="1">
      <c r="B84" s="2709"/>
      <c r="C84" s="2709"/>
      <c r="D84" s="2709"/>
      <c r="E84" s="2709"/>
      <c r="F84" s="2709"/>
      <c r="G84" s="2710"/>
      <c r="H84" s="2709"/>
      <c r="I84" s="2710"/>
      <c r="J84" s="2709"/>
      <c r="K84" s="2709"/>
      <c r="L84" s="2710"/>
      <c r="M84" s="2709"/>
      <c r="N84" s="2709"/>
      <c r="O84" s="2710"/>
      <c r="P84" s="2709"/>
      <c r="Q84" s="2709"/>
      <c r="R84" s="2711"/>
    </row>
    <row r="85" spans="2:18" s="907" customFormat="1">
      <c r="B85" s="2709"/>
      <c r="C85" s="2709"/>
      <c r="D85" s="2709"/>
      <c r="E85" s="2709"/>
      <c r="F85" s="2709"/>
      <c r="G85" s="2710"/>
      <c r="H85" s="2709"/>
      <c r="I85" s="2710"/>
      <c r="J85" s="2709"/>
      <c r="K85" s="2709"/>
      <c r="L85" s="2710"/>
      <c r="M85" s="2709"/>
      <c r="N85" s="2709"/>
      <c r="O85" s="2710"/>
      <c r="P85" s="2709"/>
      <c r="Q85" s="2709"/>
      <c r="R85" s="2711"/>
    </row>
    <row r="86" spans="2:18" s="907" customFormat="1">
      <c r="B86" s="2709"/>
      <c r="C86" s="2709"/>
      <c r="D86" s="2709"/>
      <c r="E86" s="2709"/>
      <c r="F86" s="2709"/>
      <c r="G86" s="2710"/>
      <c r="H86" s="2709"/>
      <c r="I86" s="2710"/>
      <c r="J86" s="2709"/>
      <c r="K86" s="2709"/>
      <c r="L86" s="2710"/>
      <c r="M86" s="2709"/>
      <c r="N86" s="2709"/>
      <c r="O86" s="2710"/>
      <c r="P86" s="2709"/>
      <c r="Q86" s="2709"/>
      <c r="R86" s="2711"/>
    </row>
    <row r="87" spans="2:18" s="907" customFormat="1">
      <c r="B87" s="2709"/>
      <c r="C87" s="2709"/>
      <c r="D87" s="2709"/>
      <c r="E87" s="2709"/>
      <c r="F87" s="2709"/>
      <c r="G87" s="2710"/>
      <c r="H87" s="2709"/>
      <c r="I87" s="2710"/>
      <c r="J87" s="2709"/>
      <c r="K87" s="2709"/>
      <c r="L87" s="2710"/>
      <c r="M87" s="2709"/>
      <c r="N87" s="2709"/>
      <c r="O87" s="2710"/>
      <c r="P87" s="2709"/>
      <c r="Q87" s="2709"/>
      <c r="R87" s="2711"/>
    </row>
    <row r="88" spans="2:18" s="907" customFormat="1">
      <c r="B88" s="2709"/>
      <c r="C88" s="2709"/>
      <c r="D88" s="2709"/>
      <c r="E88" s="2709"/>
      <c r="F88" s="2709"/>
      <c r="G88" s="2710"/>
      <c r="H88" s="2709"/>
      <c r="I88" s="2710"/>
      <c r="J88" s="2709"/>
      <c r="K88" s="2709"/>
      <c r="L88" s="2710"/>
      <c r="M88" s="2709"/>
      <c r="N88" s="2709"/>
      <c r="O88" s="2710"/>
      <c r="P88" s="2709"/>
      <c r="Q88" s="2709"/>
      <c r="R88" s="2711"/>
    </row>
    <row r="89" spans="2:18" s="907" customFormat="1">
      <c r="B89" s="2709"/>
      <c r="C89" s="2709"/>
      <c r="D89" s="2709"/>
      <c r="E89" s="2709"/>
      <c r="F89" s="2709"/>
      <c r="G89" s="2710"/>
      <c r="H89" s="2709"/>
      <c r="I89" s="2710"/>
      <c r="J89" s="2709"/>
      <c r="K89" s="2709"/>
      <c r="L89" s="2710"/>
      <c r="M89" s="2709"/>
      <c r="N89" s="2709"/>
      <c r="O89" s="2710"/>
      <c r="P89" s="2709"/>
      <c r="Q89" s="2709"/>
      <c r="R89" s="2711"/>
    </row>
    <row r="90" spans="2:18" s="907" customFormat="1">
      <c r="B90" s="2709"/>
      <c r="C90" s="2709"/>
      <c r="D90" s="2709"/>
      <c r="E90" s="2709"/>
      <c r="F90" s="2709"/>
      <c r="G90" s="2710"/>
      <c r="H90" s="2709"/>
      <c r="I90" s="2710"/>
      <c r="J90" s="2709"/>
      <c r="K90" s="2709"/>
      <c r="L90" s="2710"/>
      <c r="M90" s="2709"/>
      <c r="N90" s="2709"/>
      <c r="O90" s="2710"/>
      <c r="P90" s="2709"/>
      <c r="Q90" s="2709"/>
      <c r="R90" s="2711"/>
    </row>
    <row r="91" spans="2:18" s="907" customFormat="1">
      <c r="B91" s="2709"/>
      <c r="C91" s="2709"/>
      <c r="D91" s="2709"/>
      <c r="E91" s="2709"/>
      <c r="F91" s="2709"/>
      <c r="G91" s="2710"/>
      <c r="H91" s="2709"/>
      <c r="I91" s="2710"/>
      <c r="J91" s="2709"/>
      <c r="K91" s="2709"/>
      <c r="L91" s="2710"/>
      <c r="M91" s="2709"/>
      <c r="N91" s="2709"/>
      <c r="O91" s="2710"/>
      <c r="P91" s="2709"/>
      <c r="Q91" s="2709"/>
      <c r="R91" s="2711"/>
    </row>
    <row r="92" spans="2:18" s="907" customFormat="1">
      <c r="B92" s="2709"/>
      <c r="C92" s="2709"/>
      <c r="D92" s="2709"/>
      <c r="E92" s="2709"/>
      <c r="F92" s="2709"/>
      <c r="G92" s="2710"/>
      <c r="H92" s="2709"/>
      <c r="I92" s="2710"/>
      <c r="J92" s="2709"/>
      <c r="K92" s="2709"/>
      <c r="L92" s="2710"/>
      <c r="M92" s="2709"/>
      <c r="N92" s="2709"/>
      <c r="O92" s="2710"/>
      <c r="P92" s="2709"/>
      <c r="Q92" s="2709"/>
      <c r="R92" s="2711"/>
    </row>
    <row r="93" spans="2:18" s="907" customFormat="1">
      <c r="B93" s="2709"/>
      <c r="C93" s="2709"/>
      <c r="D93" s="2709"/>
      <c r="E93" s="2709"/>
      <c r="F93" s="2709"/>
      <c r="G93" s="2710"/>
      <c r="H93" s="2709"/>
      <c r="I93" s="2710"/>
      <c r="J93" s="2709"/>
      <c r="K93" s="2709"/>
      <c r="L93" s="2710"/>
      <c r="M93" s="2709"/>
      <c r="N93" s="2709"/>
      <c r="O93" s="2710"/>
      <c r="P93" s="2709"/>
      <c r="Q93" s="2709"/>
      <c r="R93" s="2711"/>
    </row>
    <row r="94" spans="2:18" s="907" customFormat="1">
      <c r="B94" s="2709"/>
      <c r="C94" s="2709"/>
      <c r="D94" s="2709"/>
      <c r="E94" s="2709"/>
      <c r="F94" s="2709"/>
      <c r="G94" s="2710"/>
      <c r="H94" s="2709"/>
      <c r="I94" s="2710"/>
      <c r="J94" s="2709"/>
      <c r="K94" s="2709"/>
      <c r="L94" s="2710"/>
      <c r="M94" s="2709"/>
      <c r="N94" s="2709"/>
      <c r="O94" s="2710"/>
      <c r="P94" s="2709"/>
      <c r="Q94" s="2709"/>
      <c r="R94" s="2711"/>
    </row>
    <row r="95" spans="2:18" s="907" customFormat="1">
      <c r="B95" s="2709"/>
      <c r="C95" s="2709"/>
      <c r="D95" s="2709"/>
      <c r="E95" s="2709"/>
      <c r="F95" s="2709"/>
      <c r="G95" s="2710"/>
      <c r="H95" s="2709"/>
      <c r="I95" s="2710"/>
      <c r="J95" s="2709"/>
      <c r="K95" s="2709"/>
      <c r="L95" s="2710"/>
      <c r="M95" s="2709"/>
      <c r="N95" s="2709"/>
      <c r="O95" s="2710"/>
      <c r="P95" s="2709"/>
      <c r="Q95" s="2709"/>
      <c r="R95" s="2711"/>
    </row>
    <row r="96" spans="2:18" s="907" customFormat="1">
      <c r="B96" s="2709"/>
      <c r="C96" s="2709"/>
      <c r="D96" s="2709"/>
      <c r="E96" s="2709"/>
      <c r="F96" s="2709"/>
      <c r="G96" s="2710"/>
      <c r="H96" s="2709"/>
      <c r="I96" s="2710"/>
      <c r="J96" s="2709"/>
      <c r="K96" s="2709"/>
      <c r="L96" s="2710"/>
      <c r="M96" s="2709"/>
      <c r="N96" s="2709"/>
      <c r="O96" s="2710"/>
      <c r="P96" s="2709"/>
      <c r="Q96" s="2709"/>
      <c r="R96" s="2711"/>
    </row>
    <row r="97" spans="2:18" s="907" customFormat="1">
      <c r="B97" s="2709"/>
      <c r="C97" s="2709"/>
      <c r="D97" s="2709"/>
      <c r="E97" s="2709"/>
      <c r="F97" s="2709"/>
      <c r="G97" s="2710"/>
      <c r="H97" s="2709"/>
      <c r="I97" s="2710"/>
      <c r="J97" s="2709"/>
      <c r="K97" s="2709"/>
      <c r="L97" s="2710"/>
      <c r="M97" s="2709"/>
      <c r="N97" s="2709"/>
      <c r="O97" s="2710"/>
      <c r="P97" s="2709"/>
      <c r="Q97" s="2709"/>
      <c r="R97" s="2711"/>
    </row>
    <row r="98" spans="2:18" s="907" customFormat="1">
      <c r="B98" s="2709"/>
      <c r="C98" s="2709"/>
      <c r="D98" s="2709"/>
      <c r="E98" s="2709"/>
      <c r="F98" s="2709"/>
      <c r="G98" s="2710"/>
      <c r="H98" s="2709"/>
      <c r="I98" s="2710"/>
      <c r="J98" s="2709"/>
      <c r="K98" s="2709"/>
      <c r="L98" s="2710"/>
      <c r="M98" s="2709"/>
      <c r="N98" s="2709"/>
      <c r="O98" s="2710"/>
      <c r="P98" s="2709"/>
      <c r="Q98" s="2709"/>
      <c r="R98" s="2711"/>
    </row>
    <row r="99" spans="2:18" s="907" customFormat="1">
      <c r="B99" s="2709"/>
      <c r="C99" s="2709"/>
      <c r="D99" s="2709"/>
      <c r="E99" s="2709"/>
      <c r="F99" s="2709"/>
      <c r="G99" s="2710"/>
      <c r="H99" s="2709"/>
      <c r="I99" s="2710"/>
      <c r="J99" s="2709"/>
      <c r="K99" s="2709"/>
      <c r="L99" s="2710"/>
      <c r="M99" s="2709"/>
      <c r="N99" s="2709"/>
      <c r="O99" s="2710"/>
      <c r="P99" s="2709"/>
      <c r="Q99" s="2709"/>
      <c r="R99" s="2711"/>
    </row>
    <row r="100" spans="2:18" s="907" customFormat="1">
      <c r="B100" s="2709"/>
      <c r="C100" s="2709"/>
      <c r="D100" s="2709"/>
      <c r="E100" s="2709"/>
      <c r="F100" s="2709"/>
      <c r="G100" s="2710"/>
      <c r="H100" s="2709"/>
      <c r="I100" s="2710"/>
      <c r="J100" s="2709"/>
      <c r="K100" s="2709"/>
      <c r="L100" s="2710"/>
      <c r="M100" s="2709"/>
      <c r="N100" s="2709"/>
      <c r="O100" s="2710"/>
      <c r="P100" s="2709"/>
      <c r="Q100" s="2709"/>
      <c r="R100" s="2711"/>
    </row>
    <row r="101" spans="2:18" s="907" customFormat="1">
      <c r="B101" s="2709"/>
      <c r="C101" s="2709"/>
      <c r="D101" s="2709"/>
      <c r="E101" s="2709"/>
      <c r="F101" s="2709"/>
      <c r="G101" s="2710"/>
      <c r="H101" s="2709"/>
      <c r="I101" s="2710"/>
      <c r="J101" s="2709"/>
      <c r="K101" s="2709"/>
      <c r="L101" s="2710"/>
      <c r="M101" s="2709"/>
      <c r="N101" s="2709"/>
      <c r="O101" s="2710"/>
      <c r="P101" s="2709"/>
      <c r="Q101" s="2709"/>
      <c r="R101" s="2711"/>
    </row>
    <row r="102" spans="2:18" s="907" customFormat="1">
      <c r="B102" s="2709"/>
      <c r="C102" s="2709"/>
      <c r="D102" s="2709"/>
      <c r="E102" s="2709"/>
      <c r="F102" s="2709"/>
      <c r="G102" s="2710"/>
      <c r="H102" s="2709"/>
      <c r="I102" s="2710"/>
      <c r="J102" s="2709"/>
      <c r="K102" s="2709"/>
      <c r="L102" s="2710"/>
      <c r="M102" s="2709"/>
      <c r="N102" s="2709"/>
      <c r="O102" s="2710"/>
      <c r="P102" s="2709"/>
      <c r="Q102" s="2709"/>
      <c r="R102" s="2711"/>
    </row>
    <row r="103" spans="2:18" s="907" customFormat="1">
      <c r="B103" s="2709"/>
      <c r="C103" s="2709"/>
      <c r="D103" s="2709"/>
      <c r="E103" s="2709"/>
      <c r="F103" s="2709"/>
      <c r="G103" s="2710"/>
      <c r="H103" s="2709"/>
      <c r="I103" s="2710"/>
      <c r="J103" s="2709"/>
      <c r="K103" s="2709"/>
      <c r="L103" s="2710"/>
      <c r="M103" s="2709"/>
      <c r="N103" s="2709"/>
      <c r="O103" s="2710"/>
      <c r="P103" s="2709"/>
      <c r="Q103" s="2709"/>
      <c r="R103" s="2711"/>
    </row>
    <row r="104" spans="2:18" s="907" customFormat="1">
      <c r="B104" s="2709"/>
      <c r="C104" s="2709"/>
      <c r="D104" s="2709"/>
      <c r="E104" s="2709"/>
      <c r="F104" s="2709"/>
      <c r="G104" s="2710"/>
      <c r="H104" s="2709"/>
      <c r="I104" s="2710"/>
      <c r="J104" s="2709"/>
      <c r="K104" s="2709"/>
      <c r="L104" s="2710"/>
      <c r="M104" s="2709"/>
      <c r="N104" s="2709"/>
      <c r="O104" s="2710"/>
      <c r="P104" s="2709"/>
      <c r="Q104" s="2709"/>
      <c r="R104" s="2711"/>
    </row>
    <row r="105" spans="2:18" s="907" customFormat="1">
      <c r="B105" s="2709"/>
      <c r="C105" s="2709"/>
      <c r="D105" s="2709"/>
      <c r="E105" s="2709"/>
      <c r="F105" s="2709"/>
      <c r="G105" s="2710"/>
      <c r="H105" s="2709"/>
      <c r="I105" s="2710"/>
      <c r="J105" s="2709"/>
      <c r="K105" s="2709"/>
      <c r="L105" s="2710"/>
      <c r="M105" s="2709"/>
      <c r="N105" s="2709"/>
      <c r="O105" s="2710"/>
      <c r="P105" s="2709"/>
      <c r="Q105" s="2709"/>
      <c r="R105" s="2711"/>
    </row>
    <row r="106" spans="2:18" s="907" customFormat="1">
      <c r="B106" s="2709"/>
      <c r="C106" s="2709"/>
      <c r="D106" s="2709"/>
      <c r="E106" s="2709"/>
      <c r="F106" s="2709"/>
      <c r="G106" s="2710"/>
      <c r="H106" s="2709"/>
      <c r="I106" s="2710"/>
      <c r="J106" s="2709"/>
      <c r="K106" s="2709"/>
      <c r="L106" s="2710"/>
      <c r="M106" s="2709"/>
      <c r="N106" s="2709"/>
      <c r="O106" s="2710"/>
      <c r="P106" s="2709"/>
      <c r="Q106" s="2709"/>
      <c r="R106" s="2711"/>
    </row>
    <row r="107" spans="2:18" s="907" customFormat="1">
      <c r="B107" s="2709"/>
      <c r="C107" s="2709"/>
      <c r="D107" s="2709"/>
      <c r="E107" s="2709"/>
      <c r="F107" s="2709"/>
      <c r="G107" s="2710"/>
      <c r="H107" s="2709"/>
      <c r="I107" s="2710"/>
      <c r="J107" s="2709"/>
      <c r="K107" s="2709"/>
      <c r="L107" s="2710"/>
      <c r="M107" s="2709"/>
      <c r="N107" s="2709"/>
      <c r="O107" s="2710"/>
      <c r="P107" s="2709"/>
      <c r="Q107" s="2709"/>
      <c r="R107" s="2711"/>
    </row>
    <row r="108" spans="2:18" s="907" customFormat="1">
      <c r="B108" s="2709"/>
      <c r="C108" s="2709"/>
      <c r="D108" s="2709"/>
      <c r="E108" s="2709"/>
      <c r="F108" s="2709"/>
      <c r="G108" s="2710"/>
      <c r="H108" s="2709"/>
      <c r="I108" s="2710"/>
      <c r="J108" s="2709"/>
      <c r="K108" s="2709"/>
      <c r="L108" s="2710"/>
      <c r="M108" s="2709"/>
      <c r="N108" s="2709"/>
      <c r="O108" s="2710"/>
      <c r="P108" s="2709"/>
      <c r="Q108" s="2709"/>
      <c r="R108" s="2711"/>
    </row>
    <row r="109" spans="2:18" s="907" customFormat="1">
      <c r="B109" s="2709"/>
      <c r="C109" s="2709"/>
      <c r="D109" s="2709"/>
      <c r="E109" s="2709"/>
      <c r="F109" s="2709"/>
      <c r="G109" s="2710"/>
      <c r="H109" s="2709"/>
      <c r="I109" s="2710"/>
      <c r="J109" s="2709"/>
      <c r="K109" s="2709"/>
      <c r="L109" s="2710"/>
      <c r="M109" s="2709"/>
      <c r="N109" s="2709"/>
      <c r="O109" s="2710"/>
      <c r="P109" s="2709"/>
      <c r="Q109" s="2709"/>
      <c r="R109" s="2711"/>
    </row>
    <row r="110" spans="2:18" s="907" customFormat="1">
      <c r="B110" s="2709"/>
      <c r="C110" s="2709"/>
      <c r="D110" s="2709"/>
      <c r="E110" s="2709"/>
      <c r="F110" s="2709"/>
      <c r="G110" s="2710"/>
      <c r="H110" s="2709"/>
      <c r="I110" s="2710"/>
      <c r="J110" s="2709"/>
      <c r="K110" s="2709"/>
      <c r="L110" s="2710"/>
      <c r="M110" s="2709"/>
      <c r="N110" s="2709"/>
      <c r="O110" s="2710"/>
      <c r="P110" s="2709"/>
      <c r="Q110" s="2709"/>
      <c r="R110" s="2711"/>
    </row>
    <row r="111" spans="2:18" s="907" customFormat="1">
      <c r="B111" s="2709"/>
      <c r="C111" s="2709"/>
      <c r="D111" s="2709"/>
      <c r="E111" s="2709"/>
      <c r="F111" s="2709"/>
      <c r="G111" s="2710"/>
      <c r="H111" s="2709"/>
      <c r="I111" s="2710"/>
      <c r="J111" s="2709"/>
      <c r="K111" s="2709"/>
      <c r="L111" s="2710"/>
      <c r="M111" s="2709"/>
      <c r="N111" s="2709"/>
      <c r="O111" s="2710"/>
      <c r="P111" s="2709"/>
      <c r="Q111" s="2709"/>
      <c r="R111" s="2711"/>
    </row>
    <row r="112" spans="2:18" s="907" customFormat="1">
      <c r="B112" s="2709"/>
      <c r="C112" s="2709"/>
      <c r="D112" s="2709"/>
      <c r="E112" s="2709"/>
      <c r="F112" s="2709"/>
      <c r="G112" s="2710"/>
      <c r="H112" s="2709"/>
      <c r="I112" s="2710"/>
      <c r="J112" s="2709"/>
      <c r="K112" s="2709"/>
      <c r="L112" s="2710"/>
      <c r="M112" s="2709"/>
      <c r="N112" s="2709"/>
      <c r="O112" s="2710"/>
      <c r="P112" s="2709"/>
      <c r="Q112" s="2709"/>
      <c r="R112" s="2711"/>
    </row>
    <row r="113" spans="2:18" s="907" customFormat="1">
      <c r="B113" s="2709"/>
      <c r="C113" s="2709"/>
      <c r="D113" s="2709"/>
      <c r="E113" s="2709"/>
      <c r="F113" s="2709"/>
      <c r="G113" s="2710"/>
      <c r="H113" s="2709"/>
      <c r="I113" s="2710"/>
      <c r="J113" s="2709"/>
      <c r="K113" s="2709"/>
      <c r="L113" s="2710"/>
      <c r="M113" s="2709"/>
      <c r="N113" s="2709"/>
      <c r="O113" s="2710"/>
      <c r="P113" s="2709"/>
      <c r="Q113" s="2709"/>
      <c r="R113" s="2711"/>
    </row>
    <row r="114" spans="2:18" s="907" customFormat="1">
      <c r="B114" s="2709"/>
      <c r="C114" s="2709"/>
      <c r="D114" s="2709"/>
      <c r="E114" s="2709"/>
      <c r="F114" s="2709"/>
      <c r="G114" s="2710"/>
      <c r="H114" s="2709"/>
      <c r="I114" s="2710"/>
      <c r="J114" s="2709"/>
      <c r="K114" s="2709"/>
      <c r="L114" s="2710"/>
      <c r="M114" s="2709"/>
      <c r="N114" s="2709"/>
      <c r="O114" s="2710"/>
      <c r="P114" s="2709"/>
      <c r="Q114" s="2709"/>
      <c r="R114" s="2711"/>
    </row>
    <row r="115" spans="2:18" s="907" customFormat="1">
      <c r="B115" s="2709"/>
      <c r="C115" s="2709"/>
      <c r="D115" s="2709"/>
      <c r="E115" s="2709"/>
      <c r="F115" s="2709"/>
      <c r="G115" s="2710"/>
      <c r="H115" s="2709"/>
      <c r="I115" s="2710"/>
      <c r="J115" s="2709"/>
      <c r="K115" s="2709"/>
      <c r="L115" s="2710"/>
      <c r="M115" s="2709"/>
      <c r="N115" s="2709"/>
      <c r="O115" s="2710"/>
      <c r="P115" s="2709"/>
      <c r="Q115" s="2709"/>
      <c r="R115" s="2711"/>
    </row>
    <row r="116" spans="2:18" s="907" customFormat="1">
      <c r="B116" s="2709"/>
      <c r="C116" s="2709"/>
      <c r="D116" s="2709"/>
      <c r="E116" s="2709"/>
      <c r="F116" s="2709"/>
      <c r="G116" s="2710"/>
      <c r="H116" s="2709"/>
      <c r="I116" s="2710"/>
      <c r="J116" s="2709"/>
      <c r="K116" s="2709"/>
      <c r="L116" s="2710"/>
      <c r="M116" s="2709"/>
      <c r="N116" s="2709"/>
      <c r="O116" s="2710"/>
      <c r="P116" s="2709"/>
      <c r="Q116" s="2709"/>
      <c r="R116" s="2711"/>
    </row>
    <row r="117" spans="2:18" s="907" customFormat="1">
      <c r="B117" s="2709"/>
      <c r="C117" s="2709"/>
      <c r="D117" s="2709"/>
      <c r="E117" s="2709"/>
      <c r="F117" s="2709"/>
      <c r="G117" s="2710"/>
      <c r="H117" s="2709"/>
      <c r="I117" s="2710"/>
      <c r="J117" s="2709"/>
      <c r="K117" s="2709"/>
      <c r="L117" s="2710"/>
      <c r="M117" s="2709"/>
      <c r="N117" s="2709"/>
      <c r="O117" s="2710"/>
      <c r="P117" s="2709"/>
      <c r="Q117" s="2709"/>
      <c r="R117" s="2711"/>
    </row>
    <row r="118" spans="2:18" s="907" customFormat="1">
      <c r="B118" s="2709"/>
      <c r="C118" s="2709"/>
      <c r="D118" s="2709"/>
      <c r="E118" s="2709"/>
      <c r="F118" s="2709"/>
      <c r="G118" s="2710"/>
      <c r="H118" s="2709"/>
      <c r="I118" s="2710"/>
      <c r="J118" s="2709"/>
      <c r="K118" s="2709"/>
      <c r="L118" s="2710"/>
      <c r="M118" s="2709"/>
      <c r="N118" s="2709"/>
      <c r="O118" s="2710"/>
      <c r="P118" s="2709"/>
      <c r="Q118" s="2709"/>
      <c r="R118" s="2711"/>
    </row>
    <row r="119" spans="2:18" s="907" customFormat="1">
      <c r="B119" s="2709"/>
      <c r="C119" s="2709"/>
      <c r="D119" s="2709"/>
      <c r="E119" s="2709"/>
      <c r="F119" s="2709"/>
      <c r="G119" s="2710"/>
      <c r="H119" s="2709"/>
      <c r="I119" s="2710"/>
      <c r="J119" s="2709"/>
      <c r="K119" s="2709"/>
      <c r="L119" s="2710"/>
      <c r="M119" s="2709"/>
      <c r="N119" s="2709"/>
      <c r="O119" s="2710"/>
      <c r="P119" s="2709"/>
      <c r="Q119" s="2709"/>
      <c r="R119" s="2711"/>
    </row>
    <row r="120" spans="2:18" s="907" customFormat="1">
      <c r="B120" s="2709"/>
      <c r="C120" s="2709"/>
      <c r="D120" s="2709"/>
      <c r="E120" s="2709"/>
      <c r="F120" s="2709"/>
      <c r="G120" s="2710"/>
      <c r="H120" s="2709"/>
      <c r="I120" s="2710"/>
      <c r="J120" s="2709"/>
      <c r="K120" s="2709"/>
      <c r="L120" s="2710"/>
      <c r="M120" s="2709"/>
      <c r="N120" s="2709"/>
      <c r="O120" s="2710"/>
      <c r="P120" s="2709"/>
      <c r="Q120" s="2709"/>
      <c r="R120" s="2711"/>
    </row>
    <row r="121" spans="2:18" s="907" customFormat="1">
      <c r="B121" s="2709"/>
      <c r="C121" s="2709"/>
      <c r="D121" s="2709"/>
      <c r="E121" s="2709"/>
      <c r="F121" s="2709"/>
      <c r="G121" s="2710"/>
      <c r="H121" s="2709"/>
      <c r="I121" s="2710"/>
      <c r="J121" s="2709"/>
      <c r="K121" s="2709"/>
      <c r="L121" s="2710"/>
      <c r="M121" s="2709"/>
      <c r="N121" s="2709"/>
      <c r="O121" s="2710"/>
      <c r="P121" s="2709"/>
      <c r="Q121" s="2709"/>
      <c r="R121" s="2711"/>
    </row>
    <row r="122" spans="2:18" s="907" customFormat="1">
      <c r="B122" s="2709"/>
      <c r="C122" s="2709"/>
      <c r="D122" s="2709"/>
      <c r="E122" s="2709"/>
      <c r="F122" s="2709"/>
      <c r="G122" s="2710"/>
      <c r="H122" s="2709"/>
      <c r="I122" s="2710"/>
      <c r="J122" s="2709"/>
      <c r="K122" s="2709"/>
      <c r="L122" s="2710"/>
      <c r="M122" s="2709"/>
      <c r="N122" s="2709"/>
      <c r="O122" s="2710"/>
      <c r="P122" s="2709"/>
      <c r="Q122" s="2709"/>
      <c r="R122" s="2711"/>
    </row>
    <row r="123" spans="2:18" s="907" customFormat="1">
      <c r="B123" s="2709"/>
      <c r="C123" s="2709"/>
      <c r="D123" s="2709"/>
      <c r="E123" s="2709"/>
      <c r="F123" s="2709"/>
      <c r="G123" s="2710"/>
      <c r="H123" s="2709"/>
      <c r="I123" s="2710"/>
      <c r="J123" s="2709"/>
      <c r="K123" s="2709"/>
      <c r="L123" s="2710"/>
      <c r="M123" s="2709"/>
      <c r="N123" s="2709"/>
      <c r="O123" s="2710"/>
      <c r="P123" s="2709"/>
      <c r="Q123" s="2709"/>
      <c r="R123" s="2711"/>
    </row>
    <row r="124" spans="2:18" s="907" customFormat="1">
      <c r="B124" s="2709"/>
      <c r="C124" s="2709"/>
      <c r="D124" s="2709"/>
      <c r="E124" s="2709"/>
      <c r="F124" s="2709"/>
      <c r="G124" s="2710"/>
      <c r="H124" s="2709"/>
      <c r="I124" s="2710"/>
      <c r="J124" s="2709"/>
      <c r="K124" s="2709"/>
      <c r="L124" s="2710"/>
      <c r="M124" s="2709"/>
      <c r="N124" s="2709"/>
      <c r="O124" s="2710"/>
      <c r="P124" s="2709"/>
      <c r="Q124" s="2709"/>
      <c r="R124" s="2711"/>
    </row>
    <row r="125" spans="2:18" s="907" customFormat="1">
      <c r="B125" s="2709"/>
      <c r="C125" s="2709"/>
      <c r="D125" s="2709"/>
      <c r="E125" s="2709"/>
      <c r="F125" s="2709"/>
      <c r="G125" s="2710"/>
      <c r="H125" s="2709"/>
      <c r="I125" s="2710"/>
      <c r="J125" s="2709"/>
      <c r="K125" s="2709"/>
      <c r="L125" s="2710"/>
      <c r="M125" s="2709"/>
      <c r="N125" s="2709"/>
      <c r="O125" s="2710"/>
      <c r="P125" s="2709"/>
      <c r="Q125" s="2709"/>
      <c r="R125" s="2711"/>
    </row>
    <row r="126" spans="2:18" s="907" customFormat="1">
      <c r="B126" s="2709"/>
      <c r="C126" s="2709"/>
      <c r="D126" s="2709"/>
      <c r="E126" s="2709"/>
      <c r="F126" s="2709"/>
      <c r="G126" s="2710"/>
      <c r="H126" s="2709"/>
      <c r="I126" s="2710"/>
      <c r="J126" s="2709"/>
      <c r="K126" s="2709"/>
      <c r="L126" s="2710"/>
      <c r="M126" s="2709"/>
      <c r="N126" s="2709"/>
      <c r="O126" s="2710"/>
      <c r="P126" s="2709"/>
      <c r="Q126" s="2709"/>
      <c r="R126" s="2711"/>
    </row>
    <row r="127" spans="2:18" s="907" customFormat="1">
      <c r="B127" s="2709"/>
      <c r="C127" s="2709"/>
      <c r="D127" s="2709"/>
      <c r="E127" s="2709"/>
      <c r="F127" s="2709"/>
      <c r="G127" s="2710"/>
      <c r="H127" s="2709"/>
      <c r="I127" s="2710"/>
      <c r="J127" s="2709"/>
      <c r="K127" s="2709"/>
      <c r="L127" s="2710"/>
      <c r="M127" s="2709"/>
      <c r="N127" s="2709"/>
      <c r="O127" s="2710"/>
      <c r="P127" s="2709"/>
      <c r="Q127" s="2709"/>
      <c r="R127" s="2711"/>
    </row>
    <row r="128" spans="2:18" s="907" customFormat="1">
      <c r="B128" s="2709"/>
      <c r="C128" s="2709"/>
      <c r="D128" s="2709"/>
      <c r="E128" s="2709"/>
      <c r="F128" s="2709"/>
      <c r="G128" s="2710"/>
      <c r="H128" s="2709"/>
      <c r="I128" s="2710"/>
      <c r="J128" s="2709"/>
      <c r="K128" s="2709"/>
      <c r="L128" s="2710"/>
      <c r="M128" s="2709"/>
      <c r="N128" s="2709"/>
      <c r="O128" s="2710"/>
      <c r="P128" s="2709"/>
      <c r="Q128" s="2709"/>
      <c r="R128" s="2711"/>
    </row>
    <row r="129" spans="2:18" s="907" customFormat="1">
      <c r="B129" s="2709"/>
      <c r="C129" s="2709"/>
      <c r="D129" s="2709"/>
      <c r="E129" s="2709"/>
      <c r="F129" s="2709"/>
      <c r="G129" s="2710"/>
      <c r="H129" s="2709"/>
      <c r="I129" s="2710"/>
      <c r="J129" s="2709"/>
      <c r="K129" s="2709"/>
      <c r="L129" s="2710"/>
      <c r="M129" s="2709"/>
      <c r="N129" s="2709"/>
      <c r="O129" s="2710"/>
      <c r="P129" s="2709"/>
      <c r="Q129" s="2709"/>
      <c r="R129" s="2711"/>
    </row>
    <row r="130" spans="2:18" s="907" customFormat="1">
      <c r="B130" s="2709"/>
      <c r="C130" s="2709"/>
      <c r="D130" s="2709"/>
      <c r="E130" s="2709"/>
      <c r="F130" s="2709"/>
      <c r="G130" s="2710"/>
      <c r="H130" s="2709"/>
      <c r="I130" s="2710"/>
      <c r="J130" s="2709"/>
      <c r="K130" s="2709"/>
      <c r="L130" s="2710"/>
      <c r="M130" s="2709"/>
      <c r="N130" s="2709"/>
      <c r="O130" s="2710"/>
      <c r="P130" s="2709"/>
      <c r="Q130" s="2709"/>
      <c r="R130" s="2711"/>
    </row>
    <row r="131" spans="2:18" s="907" customFormat="1">
      <c r="B131" s="2709"/>
      <c r="C131" s="2709"/>
      <c r="D131" s="2709"/>
      <c r="E131" s="2709"/>
      <c r="F131" s="2709"/>
      <c r="G131" s="2710"/>
      <c r="H131" s="2709"/>
      <c r="I131" s="2710"/>
      <c r="J131" s="2709"/>
      <c r="K131" s="2709"/>
      <c r="L131" s="2710"/>
      <c r="M131" s="2709"/>
      <c r="N131" s="2709"/>
      <c r="O131" s="2710"/>
      <c r="P131" s="2709"/>
      <c r="Q131" s="2709"/>
      <c r="R131" s="2711"/>
    </row>
    <row r="132" spans="2:18" s="907" customFormat="1">
      <c r="B132" s="2709"/>
      <c r="C132" s="2709"/>
      <c r="D132" s="2709"/>
      <c r="E132" s="2709"/>
      <c r="F132" s="2709"/>
      <c r="G132" s="2710"/>
      <c r="H132" s="2709"/>
      <c r="I132" s="2710"/>
      <c r="J132" s="2709"/>
      <c r="K132" s="2709"/>
      <c r="L132" s="2710"/>
      <c r="M132" s="2709"/>
      <c r="N132" s="2709"/>
      <c r="O132" s="2710"/>
      <c r="P132" s="2709"/>
      <c r="Q132" s="2709"/>
      <c r="R132" s="2711"/>
    </row>
    <row r="133" spans="2:18" s="907" customFormat="1">
      <c r="B133" s="2709"/>
      <c r="C133" s="2709"/>
      <c r="D133" s="2709"/>
      <c r="E133" s="2709"/>
      <c r="F133" s="2709"/>
      <c r="G133" s="2710"/>
      <c r="H133" s="2709"/>
      <c r="I133" s="2710"/>
      <c r="J133" s="2709"/>
      <c r="K133" s="2709"/>
      <c r="L133" s="2710"/>
      <c r="M133" s="2709"/>
      <c r="N133" s="2709"/>
      <c r="O133" s="2710"/>
      <c r="P133" s="2709"/>
      <c r="Q133" s="2709"/>
      <c r="R133" s="2711"/>
    </row>
    <row r="134" spans="2:18" s="907" customFormat="1">
      <c r="B134" s="2709"/>
      <c r="C134" s="2709"/>
      <c r="D134" s="2709"/>
      <c r="E134" s="2709"/>
      <c r="F134" s="2709"/>
      <c r="G134" s="2710"/>
      <c r="H134" s="2709"/>
      <c r="I134" s="2710"/>
      <c r="J134" s="2709"/>
      <c r="K134" s="2709"/>
      <c r="L134" s="2710"/>
      <c r="M134" s="2709"/>
      <c r="N134" s="2709"/>
      <c r="O134" s="2710"/>
      <c r="P134" s="2709"/>
      <c r="Q134" s="2709"/>
      <c r="R134" s="2711"/>
    </row>
    <row r="135" spans="2:18" s="907" customFormat="1">
      <c r="B135" s="2709"/>
      <c r="C135" s="2709"/>
      <c r="D135" s="2709"/>
      <c r="E135" s="2709"/>
      <c r="F135" s="2709"/>
      <c r="G135" s="2710"/>
      <c r="H135" s="2709"/>
      <c r="I135" s="2710"/>
      <c r="J135" s="2709"/>
      <c r="K135" s="2709"/>
      <c r="L135" s="2710"/>
      <c r="M135" s="2709"/>
      <c r="N135" s="2709"/>
      <c r="O135" s="2710"/>
      <c r="P135" s="2709"/>
      <c r="Q135" s="2709"/>
      <c r="R135" s="2711"/>
    </row>
    <row r="136" spans="2:18" s="907" customFormat="1">
      <c r="B136" s="2709"/>
      <c r="C136" s="2709"/>
      <c r="D136" s="2709"/>
      <c r="E136" s="2709"/>
      <c r="F136" s="2709"/>
      <c r="G136" s="2710"/>
      <c r="H136" s="2709"/>
      <c r="I136" s="2710"/>
      <c r="J136" s="2709"/>
      <c r="K136" s="2709"/>
      <c r="L136" s="2710"/>
      <c r="M136" s="2709"/>
      <c r="N136" s="2709"/>
      <c r="O136" s="2710"/>
      <c r="P136" s="2709"/>
      <c r="Q136" s="2709"/>
      <c r="R136" s="2711"/>
    </row>
    <row r="137" spans="2:18" s="907" customFormat="1">
      <c r="B137" s="2709"/>
      <c r="C137" s="2709"/>
      <c r="D137" s="2709"/>
      <c r="E137" s="2709"/>
      <c r="F137" s="2709"/>
      <c r="G137" s="2710"/>
      <c r="H137" s="2709"/>
      <c r="I137" s="2710"/>
      <c r="J137" s="2709"/>
      <c r="K137" s="2709"/>
      <c r="L137" s="2710"/>
      <c r="M137" s="2709"/>
      <c r="N137" s="2709"/>
      <c r="O137" s="2710"/>
      <c r="P137" s="2709"/>
      <c r="Q137" s="2709"/>
      <c r="R137" s="2711"/>
    </row>
    <row r="138" spans="2:18" s="907" customFormat="1">
      <c r="B138" s="2709"/>
      <c r="C138" s="2709"/>
      <c r="D138" s="2709"/>
      <c r="E138" s="2709"/>
      <c r="F138" s="2709"/>
      <c r="G138" s="2710"/>
      <c r="H138" s="2709"/>
      <c r="I138" s="2710"/>
      <c r="J138" s="2709"/>
      <c r="K138" s="2709"/>
      <c r="L138" s="2710"/>
      <c r="M138" s="2709"/>
      <c r="N138" s="2709"/>
      <c r="O138" s="2710"/>
      <c r="P138" s="2709"/>
      <c r="Q138" s="2709"/>
      <c r="R138" s="2711"/>
    </row>
    <row r="139" spans="2:18" s="907" customFormat="1">
      <c r="B139" s="2709"/>
      <c r="C139" s="2709"/>
      <c r="D139" s="2709"/>
      <c r="E139" s="2709"/>
      <c r="F139" s="2709"/>
      <c r="G139" s="2710"/>
      <c r="H139" s="2709"/>
      <c r="I139" s="2710"/>
      <c r="J139" s="2709"/>
      <c r="K139" s="2709"/>
      <c r="L139" s="2710"/>
      <c r="M139" s="2709"/>
      <c r="N139" s="2709"/>
      <c r="O139" s="2710"/>
      <c r="P139" s="2709"/>
      <c r="Q139" s="2709"/>
      <c r="R139" s="2711"/>
    </row>
    <row r="140" spans="2:18" s="907" customFormat="1">
      <c r="B140" s="2709"/>
      <c r="C140" s="2709"/>
      <c r="D140" s="2709"/>
      <c r="E140" s="2709"/>
      <c r="F140" s="2709"/>
      <c r="G140" s="2710"/>
      <c r="H140" s="2709"/>
      <c r="I140" s="2710"/>
      <c r="J140" s="2709"/>
      <c r="K140" s="2709"/>
      <c r="L140" s="2710"/>
      <c r="M140" s="2709"/>
      <c r="N140" s="2709"/>
      <c r="O140" s="2710"/>
      <c r="P140" s="2709"/>
      <c r="Q140" s="2709"/>
      <c r="R140" s="2711"/>
    </row>
    <row r="141" spans="2:18" s="907" customFormat="1">
      <c r="B141" s="2709"/>
      <c r="C141" s="2709"/>
      <c r="D141" s="2709"/>
      <c r="E141" s="2709"/>
      <c r="F141" s="2709"/>
      <c r="G141" s="2710"/>
      <c r="H141" s="2709"/>
      <c r="I141" s="2710"/>
      <c r="J141" s="2709"/>
      <c r="K141" s="2709"/>
      <c r="L141" s="2710"/>
      <c r="M141" s="2709"/>
      <c r="N141" s="2709"/>
      <c r="O141" s="2710"/>
      <c r="P141" s="2709"/>
      <c r="Q141" s="2709"/>
      <c r="R141" s="2711"/>
    </row>
    <row r="142" spans="2:18" s="907" customFormat="1">
      <c r="B142" s="2709"/>
      <c r="C142" s="2709"/>
      <c r="D142" s="2709"/>
      <c r="E142" s="2709"/>
      <c r="F142" s="2709"/>
      <c r="G142" s="2710"/>
      <c r="H142" s="2709"/>
      <c r="I142" s="2710"/>
      <c r="J142" s="2709"/>
      <c r="K142" s="2709"/>
      <c r="L142" s="2710"/>
      <c r="M142" s="2709"/>
      <c r="N142" s="2709"/>
      <c r="O142" s="2710"/>
      <c r="P142" s="2709"/>
      <c r="Q142" s="2709"/>
      <c r="R142" s="2711"/>
    </row>
    <row r="143" spans="2:18" s="907" customFormat="1">
      <c r="B143" s="2709"/>
      <c r="C143" s="2709"/>
      <c r="D143" s="2709"/>
      <c r="E143" s="2709"/>
      <c r="F143" s="2709"/>
      <c r="G143" s="2710"/>
      <c r="H143" s="2709"/>
      <c r="I143" s="2710"/>
      <c r="J143" s="2709"/>
      <c r="K143" s="2709"/>
      <c r="L143" s="2710"/>
      <c r="M143" s="2709"/>
      <c r="N143" s="2709"/>
      <c r="O143" s="2710"/>
      <c r="P143" s="2709"/>
      <c r="Q143" s="2709"/>
      <c r="R143" s="2711"/>
    </row>
    <row r="144" spans="2:18" s="907" customFormat="1">
      <c r="B144" s="2709"/>
      <c r="C144" s="2709"/>
      <c r="D144" s="2709"/>
      <c r="E144" s="2709"/>
      <c r="F144" s="2709"/>
      <c r="G144" s="2710"/>
      <c r="H144" s="2709"/>
      <c r="I144" s="2710"/>
      <c r="J144" s="2709"/>
      <c r="K144" s="2709"/>
      <c r="L144" s="2710"/>
      <c r="M144" s="2709"/>
      <c r="N144" s="2709"/>
      <c r="O144" s="2710"/>
      <c r="P144" s="2709"/>
      <c r="Q144" s="2709"/>
      <c r="R144" s="2711"/>
    </row>
    <row r="145" spans="2:18" s="907" customFormat="1">
      <c r="B145" s="2709"/>
      <c r="C145" s="2709"/>
      <c r="D145" s="2709"/>
      <c r="E145" s="2709"/>
      <c r="F145" s="2709"/>
      <c r="G145" s="2710"/>
      <c r="H145" s="2709"/>
      <c r="I145" s="2710"/>
      <c r="J145" s="2709"/>
      <c r="K145" s="2709"/>
      <c r="L145" s="2710"/>
      <c r="M145" s="2709"/>
      <c r="N145" s="2709"/>
      <c r="O145" s="2710"/>
      <c r="P145" s="2709"/>
      <c r="Q145" s="2709"/>
      <c r="R145" s="2711"/>
    </row>
    <row r="146" spans="2:18" s="907" customFormat="1">
      <c r="B146" s="2709"/>
      <c r="C146" s="2709"/>
      <c r="D146" s="2709"/>
      <c r="E146" s="2709"/>
      <c r="F146" s="2709"/>
      <c r="G146" s="2710"/>
      <c r="H146" s="2709"/>
      <c r="I146" s="2710"/>
      <c r="J146" s="2709"/>
      <c r="K146" s="2709"/>
      <c r="L146" s="2710"/>
      <c r="M146" s="2709"/>
      <c r="N146" s="2709"/>
      <c r="O146" s="2710"/>
      <c r="P146" s="2709"/>
      <c r="Q146" s="2709"/>
      <c r="R146" s="2711"/>
    </row>
    <row r="147" spans="2:18" s="907" customFormat="1">
      <c r="B147" s="2709"/>
      <c r="C147" s="2709"/>
      <c r="D147" s="2709"/>
      <c r="E147" s="2709"/>
      <c r="F147" s="2709"/>
      <c r="G147" s="2710"/>
      <c r="H147" s="2709"/>
      <c r="I147" s="2710"/>
      <c r="J147" s="2709"/>
      <c r="K147" s="2709"/>
      <c r="L147" s="2710"/>
      <c r="M147" s="2709"/>
      <c r="N147" s="2709"/>
      <c r="O147" s="2710"/>
      <c r="P147" s="2709"/>
      <c r="Q147" s="2709"/>
      <c r="R147" s="2711"/>
    </row>
    <row r="148" spans="2:18" s="907" customFormat="1">
      <c r="B148" s="2709"/>
      <c r="C148" s="2709"/>
      <c r="D148" s="2709"/>
      <c r="E148" s="2709"/>
      <c r="F148" s="2709"/>
      <c r="G148" s="2710"/>
      <c r="H148" s="2709"/>
      <c r="I148" s="2710"/>
      <c r="J148" s="2709"/>
      <c r="K148" s="2709"/>
      <c r="L148" s="2710"/>
      <c r="M148" s="2709"/>
      <c r="N148" s="2709"/>
      <c r="O148" s="2710"/>
      <c r="P148" s="2709"/>
      <c r="Q148" s="2709"/>
      <c r="R148" s="2711"/>
    </row>
    <row r="149" spans="2:18" s="907" customFormat="1">
      <c r="B149" s="2709"/>
      <c r="C149" s="2709"/>
      <c r="D149" s="2709"/>
      <c r="E149" s="2709"/>
      <c r="F149" s="2709"/>
      <c r="G149" s="2710"/>
      <c r="H149" s="2709"/>
      <c r="I149" s="2710"/>
      <c r="J149" s="2709"/>
      <c r="K149" s="2709"/>
      <c r="L149" s="2710"/>
      <c r="M149" s="2709"/>
      <c r="N149" s="2709"/>
      <c r="O149" s="2710"/>
      <c r="P149" s="2709"/>
      <c r="Q149" s="2709"/>
      <c r="R149" s="2711"/>
    </row>
    <row r="150" spans="2:18" s="907" customFormat="1">
      <c r="B150" s="2709"/>
      <c r="C150" s="2709"/>
      <c r="D150" s="2709"/>
      <c r="E150" s="2709"/>
      <c r="F150" s="2709"/>
      <c r="G150" s="2710"/>
      <c r="H150" s="2709"/>
      <c r="I150" s="2710"/>
      <c r="J150" s="2709"/>
      <c r="K150" s="2709"/>
      <c r="L150" s="2710"/>
      <c r="M150" s="2709"/>
      <c r="N150" s="2709"/>
      <c r="O150" s="2710"/>
      <c r="P150" s="2709"/>
      <c r="Q150" s="2709"/>
      <c r="R150" s="2711"/>
    </row>
    <row r="151" spans="2:18" s="907" customFormat="1">
      <c r="B151" s="2709"/>
      <c r="C151" s="2709"/>
      <c r="D151" s="2709"/>
      <c r="E151" s="2709"/>
      <c r="F151" s="2709"/>
      <c r="G151" s="2710"/>
      <c r="H151" s="2709"/>
      <c r="I151" s="2710"/>
      <c r="J151" s="2709"/>
      <c r="K151" s="2709"/>
      <c r="L151" s="2710"/>
      <c r="M151" s="2709"/>
      <c r="N151" s="2709"/>
      <c r="O151" s="2710"/>
      <c r="P151" s="2709"/>
      <c r="Q151" s="2709"/>
      <c r="R151" s="2711"/>
    </row>
    <row r="152" spans="2:18" s="907" customFormat="1">
      <c r="B152" s="2709"/>
      <c r="C152" s="2709"/>
      <c r="D152" s="2709"/>
      <c r="E152" s="2709"/>
      <c r="F152" s="2709"/>
      <c r="G152" s="2710"/>
      <c r="H152" s="2709"/>
      <c r="I152" s="2710"/>
      <c r="J152" s="2709"/>
      <c r="K152" s="2709"/>
      <c r="L152" s="2710"/>
      <c r="M152" s="2709"/>
      <c r="N152" s="2709"/>
      <c r="O152" s="2710"/>
      <c r="P152" s="2709"/>
      <c r="Q152" s="2709"/>
      <c r="R152" s="2711"/>
    </row>
    <row r="153" spans="2:18" s="907" customFormat="1">
      <c r="B153" s="2709"/>
      <c r="C153" s="2709"/>
      <c r="D153" s="2709"/>
      <c r="E153" s="2709"/>
      <c r="F153" s="2709"/>
      <c r="G153" s="2710"/>
      <c r="H153" s="2709"/>
      <c r="I153" s="2710"/>
      <c r="J153" s="2709"/>
      <c r="K153" s="2709"/>
      <c r="L153" s="2710"/>
      <c r="M153" s="2709"/>
      <c r="N153" s="2709"/>
      <c r="O153" s="2710"/>
      <c r="P153" s="2709"/>
      <c r="Q153" s="2709"/>
      <c r="R153" s="2711"/>
    </row>
    <row r="154" spans="2:18" s="907" customFormat="1">
      <c r="B154" s="2709"/>
      <c r="C154" s="2709"/>
      <c r="D154" s="2709"/>
      <c r="E154" s="2709"/>
      <c r="F154" s="2709"/>
      <c r="G154" s="2710"/>
      <c r="H154" s="2709"/>
      <c r="I154" s="2710"/>
      <c r="J154" s="2709"/>
      <c r="K154" s="2709"/>
      <c r="L154" s="2710"/>
      <c r="M154" s="2709"/>
      <c r="N154" s="2709"/>
      <c r="O154" s="2710"/>
      <c r="P154" s="2709"/>
      <c r="Q154" s="2709"/>
      <c r="R154" s="2711"/>
    </row>
    <row r="155" spans="2:18" s="907" customFormat="1">
      <c r="B155" s="2709"/>
      <c r="C155" s="2709"/>
      <c r="D155" s="2709"/>
      <c r="E155" s="2709"/>
      <c r="F155" s="2709"/>
      <c r="G155" s="2710"/>
      <c r="H155" s="2709"/>
      <c r="I155" s="2710"/>
      <c r="J155" s="2709"/>
      <c r="K155" s="2709"/>
      <c r="L155" s="2710"/>
      <c r="M155" s="2709"/>
      <c r="N155" s="2709"/>
      <c r="O155" s="2710"/>
      <c r="P155" s="2709"/>
      <c r="Q155" s="2709"/>
      <c r="R155" s="2711"/>
    </row>
    <row r="156" spans="2:18" s="907" customFormat="1">
      <c r="B156" s="2709"/>
      <c r="C156" s="2709"/>
      <c r="D156" s="2709"/>
      <c r="E156" s="2709"/>
      <c r="F156" s="2709"/>
      <c r="G156" s="2710"/>
      <c r="H156" s="2709"/>
      <c r="I156" s="2710"/>
      <c r="J156" s="2709"/>
      <c r="K156" s="2709"/>
      <c r="L156" s="2710"/>
      <c r="M156" s="2709"/>
      <c r="N156" s="2709"/>
      <c r="O156" s="2710"/>
      <c r="P156" s="2709"/>
      <c r="Q156" s="2709"/>
      <c r="R156" s="2711"/>
    </row>
    <row r="157" spans="2:18" s="907" customFormat="1">
      <c r="B157" s="2709"/>
      <c r="C157" s="2709"/>
      <c r="D157" s="2709"/>
      <c r="E157" s="2709"/>
      <c r="F157" s="2709"/>
      <c r="G157" s="2710"/>
      <c r="H157" s="2709"/>
      <c r="I157" s="2710"/>
      <c r="J157" s="2709"/>
      <c r="K157" s="2709"/>
      <c r="L157" s="2710"/>
      <c r="M157" s="2709"/>
      <c r="N157" s="2709"/>
      <c r="O157" s="2710"/>
      <c r="P157" s="2709"/>
      <c r="Q157" s="2709"/>
      <c r="R157" s="2711"/>
    </row>
    <row r="158" spans="2:18" s="907" customFormat="1">
      <c r="B158" s="2709"/>
      <c r="C158" s="2709"/>
      <c r="D158" s="2709"/>
      <c r="E158" s="2709"/>
      <c r="F158" s="2709"/>
      <c r="G158" s="2710"/>
      <c r="H158" s="2709"/>
      <c r="I158" s="2710"/>
      <c r="J158" s="2709"/>
      <c r="K158" s="2709"/>
      <c r="L158" s="2710"/>
      <c r="M158" s="2709"/>
      <c r="N158" s="2709"/>
      <c r="O158" s="2710"/>
      <c r="P158" s="2709"/>
      <c r="Q158" s="2709"/>
      <c r="R158" s="2711"/>
    </row>
    <row r="159" spans="2:18" s="907" customFormat="1">
      <c r="B159" s="2709"/>
      <c r="C159" s="2709"/>
      <c r="D159" s="2709"/>
      <c r="E159" s="2709"/>
      <c r="F159" s="2709"/>
      <c r="G159" s="2710"/>
      <c r="H159" s="2709"/>
      <c r="I159" s="2710"/>
      <c r="J159" s="2709"/>
      <c r="K159" s="2709"/>
      <c r="L159" s="2710"/>
      <c r="M159" s="2709"/>
      <c r="N159" s="2709"/>
      <c r="O159" s="2710"/>
      <c r="P159" s="2709"/>
      <c r="Q159" s="2709"/>
      <c r="R159" s="2711"/>
    </row>
    <row r="160" spans="2:18" s="907" customFormat="1">
      <c r="B160" s="2709"/>
      <c r="C160" s="2709"/>
      <c r="D160" s="2709"/>
      <c r="E160" s="2709"/>
      <c r="F160" s="2709"/>
      <c r="G160" s="2710"/>
      <c r="H160" s="2709"/>
      <c r="I160" s="2710"/>
      <c r="J160" s="2709"/>
      <c r="K160" s="2709"/>
      <c r="L160" s="2710"/>
      <c r="M160" s="2709"/>
      <c r="N160" s="2709"/>
      <c r="O160" s="2710"/>
      <c r="P160" s="2709"/>
      <c r="Q160" s="2709"/>
      <c r="R160" s="2711"/>
    </row>
    <row r="161" spans="2:18" s="907" customFormat="1">
      <c r="B161" s="2709"/>
      <c r="C161" s="2709"/>
      <c r="D161" s="2709"/>
      <c r="E161" s="2709"/>
      <c r="F161" s="2709"/>
      <c r="G161" s="2710"/>
      <c r="H161" s="2709"/>
      <c r="I161" s="2710"/>
      <c r="J161" s="2709"/>
      <c r="K161" s="2709"/>
      <c r="L161" s="2710"/>
      <c r="M161" s="2709"/>
      <c r="N161" s="2709"/>
      <c r="O161" s="2710"/>
      <c r="P161" s="2709"/>
      <c r="Q161" s="2709"/>
      <c r="R161" s="2711"/>
    </row>
    <row r="162" spans="2:18" s="907" customFormat="1">
      <c r="B162" s="2709"/>
      <c r="C162" s="2709"/>
      <c r="D162" s="2709"/>
      <c r="E162" s="2709"/>
      <c r="F162" s="2709"/>
      <c r="G162" s="2710"/>
      <c r="H162" s="2709"/>
      <c r="I162" s="2710"/>
      <c r="J162" s="2709"/>
      <c r="K162" s="2709"/>
      <c r="L162" s="2710"/>
      <c r="M162" s="2709"/>
      <c r="N162" s="2709"/>
      <c r="O162" s="2710"/>
      <c r="P162" s="2709"/>
      <c r="Q162" s="2709"/>
      <c r="R162" s="2711"/>
    </row>
    <row r="163" spans="2:18" s="907" customFormat="1">
      <c r="B163" s="2709"/>
      <c r="C163" s="2709"/>
      <c r="D163" s="2709"/>
      <c r="E163" s="2709"/>
      <c r="F163" s="2709"/>
      <c r="G163" s="2710"/>
      <c r="H163" s="2709"/>
      <c r="I163" s="2710"/>
      <c r="J163" s="2709"/>
      <c r="K163" s="2709"/>
      <c r="L163" s="2710"/>
      <c r="M163" s="2709"/>
      <c r="N163" s="2709"/>
      <c r="O163" s="2710"/>
      <c r="P163" s="2709"/>
      <c r="Q163" s="2709"/>
      <c r="R163" s="2711"/>
    </row>
    <row r="164" spans="2:18" s="907" customFormat="1">
      <c r="B164" s="2709"/>
      <c r="C164" s="2709"/>
      <c r="D164" s="2709"/>
      <c r="E164" s="2709"/>
      <c r="F164" s="2709"/>
      <c r="G164" s="2710"/>
      <c r="H164" s="2709"/>
      <c r="I164" s="2710"/>
      <c r="J164" s="2709"/>
      <c r="K164" s="2709"/>
      <c r="L164" s="2710"/>
      <c r="M164" s="2709"/>
      <c r="N164" s="2709"/>
      <c r="O164" s="2710"/>
      <c r="P164" s="2709"/>
      <c r="Q164" s="2709"/>
      <c r="R164" s="2711"/>
    </row>
    <row r="165" spans="2:18" s="907" customFormat="1">
      <c r="B165" s="2709"/>
      <c r="C165" s="2709"/>
      <c r="D165" s="2709"/>
      <c r="E165" s="2709"/>
      <c r="F165" s="2709"/>
      <c r="G165" s="2710"/>
      <c r="H165" s="2709"/>
      <c r="I165" s="2710"/>
      <c r="J165" s="2709"/>
      <c r="K165" s="2709"/>
      <c r="L165" s="2710"/>
      <c r="M165" s="2709"/>
      <c r="N165" s="2709"/>
      <c r="O165" s="2710"/>
      <c r="P165" s="2709"/>
      <c r="Q165" s="2709"/>
      <c r="R165" s="2711"/>
    </row>
    <row r="166" spans="2:18" s="907" customFormat="1">
      <c r="B166" s="2709"/>
      <c r="C166" s="2709"/>
      <c r="D166" s="2709"/>
      <c r="E166" s="2709"/>
      <c r="F166" s="2709"/>
      <c r="G166" s="2710"/>
      <c r="H166" s="2709"/>
      <c r="I166" s="2710"/>
      <c r="J166" s="2709"/>
      <c r="K166" s="2709"/>
      <c r="L166" s="2710"/>
      <c r="M166" s="2709"/>
      <c r="N166" s="2709"/>
      <c r="O166" s="2710"/>
      <c r="P166" s="2709"/>
      <c r="Q166" s="2709"/>
      <c r="R166" s="2711"/>
    </row>
    <row r="167" spans="2:18" s="907" customFormat="1">
      <c r="B167" s="2709"/>
      <c r="C167" s="2709"/>
      <c r="D167" s="2709"/>
      <c r="E167" s="2709"/>
      <c r="F167" s="2709"/>
      <c r="G167" s="2710"/>
      <c r="H167" s="2709"/>
      <c r="I167" s="2710"/>
      <c r="J167" s="2709"/>
      <c r="K167" s="2709"/>
      <c r="L167" s="2710"/>
      <c r="M167" s="2709"/>
      <c r="N167" s="2709"/>
      <c r="O167" s="2710"/>
      <c r="P167" s="2709"/>
      <c r="Q167" s="2709"/>
      <c r="R167" s="2711"/>
    </row>
    <row r="168" spans="2:18" s="907" customFormat="1">
      <c r="B168" s="2709"/>
      <c r="C168" s="2709"/>
      <c r="D168" s="2709"/>
      <c r="E168" s="2709"/>
      <c r="F168" s="2709"/>
      <c r="G168" s="2710"/>
      <c r="H168" s="2709"/>
      <c r="I168" s="2710"/>
      <c r="J168" s="2709"/>
      <c r="K168" s="2709"/>
      <c r="L168" s="2710"/>
      <c r="M168" s="2709"/>
      <c r="N168" s="2709"/>
      <c r="O168" s="2710"/>
      <c r="P168" s="2709"/>
      <c r="Q168" s="2709"/>
      <c r="R168" s="2711"/>
    </row>
    <row r="169" spans="2:18" s="907" customFormat="1">
      <c r="B169" s="2709"/>
      <c r="C169" s="2709"/>
      <c r="D169" s="2709"/>
      <c r="E169" s="2709"/>
      <c r="F169" s="2709"/>
      <c r="G169" s="2710"/>
      <c r="H169" s="2709"/>
      <c r="I169" s="2710"/>
      <c r="J169" s="2709"/>
      <c r="K169" s="2709"/>
      <c r="L169" s="2710"/>
      <c r="M169" s="2709"/>
      <c r="N169" s="2709"/>
      <c r="O169" s="2710"/>
      <c r="P169" s="2709"/>
      <c r="Q169" s="2709"/>
      <c r="R169" s="2711"/>
    </row>
    <row r="170" spans="2:18" s="907" customFormat="1">
      <c r="B170" s="2709"/>
      <c r="C170" s="2709"/>
      <c r="D170" s="2709"/>
      <c r="E170" s="2709"/>
      <c r="F170" s="2709"/>
      <c r="G170" s="2710"/>
      <c r="H170" s="2709"/>
      <c r="I170" s="2710"/>
      <c r="J170" s="2709"/>
      <c r="K170" s="2709"/>
      <c r="L170" s="2710"/>
      <c r="M170" s="2709"/>
      <c r="N170" s="2709"/>
      <c r="O170" s="2710"/>
      <c r="P170" s="2709"/>
      <c r="Q170" s="2709"/>
      <c r="R170" s="2711"/>
    </row>
    <row r="171" spans="2:18" s="907" customFormat="1">
      <c r="B171" s="2709"/>
      <c r="C171" s="2709"/>
      <c r="D171" s="2709"/>
      <c r="E171" s="2709"/>
      <c r="F171" s="2709"/>
      <c r="G171" s="2710"/>
      <c r="H171" s="2709"/>
      <c r="I171" s="2710"/>
      <c r="J171" s="2709"/>
      <c r="K171" s="2709"/>
      <c r="L171" s="2710"/>
      <c r="M171" s="2709"/>
      <c r="N171" s="2709"/>
      <c r="O171" s="2710"/>
      <c r="P171" s="2709"/>
      <c r="Q171" s="2709"/>
      <c r="R171" s="2711"/>
    </row>
    <row r="172" spans="2:18" s="907" customFormat="1">
      <c r="B172" s="2709"/>
      <c r="C172" s="2709"/>
      <c r="D172" s="2709"/>
      <c r="E172" s="2709"/>
      <c r="F172" s="2709"/>
      <c r="G172" s="2710"/>
      <c r="H172" s="2709"/>
      <c r="I172" s="2710"/>
      <c r="J172" s="2709"/>
      <c r="K172" s="2709"/>
      <c r="L172" s="2710"/>
      <c r="M172" s="2709"/>
      <c r="N172" s="2709"/>
      <c r="O172" s="2710"/>
      <c r="P172" s="2709"/>
      <c r="Q172" s="2709"/>
      <c r="R172" s="2711"/>
    </row>
    <row r="173" spans="2:18" s="907" customFormat="1">
      <c r="B173" s="2709"/>
      <c r="C173" s="2709"/>
      <c r="D173" s="2709"/>
      <c r="E173" s="2709"/>
      <c r="F173" s="2709"/>
      <c r="G173" s="2710"/>
      <c r="H173" s="2709"/>
      <c r="I173" s="2710"/>
      <c r="J173" s="2709"/>
      <c r="K173" s="2709"/>
      <c r="L173" s="2710"/>
      <c r="M173" s="2709"/>
      <c r="N173" s="2709"/>
      <c r="O173" s="2710"/>
      <c r="P173" s="2709"/>
      <c r="Q173" s="2709"/>
      <c r="R173" s="2711"/>
    </row>
    <row r="174" spans="2:18" s="907" customFormat="1">
      <c r="B174" s="2709"/>
      <c r="C174" s="2709"/>
      <c r="D174" s="2709"/>
      <c r="E174" s="2709"/>
      <c r="F174" s="2709"/>
      <c r="G174" s="2710"/>
      <c r="H174" s="2709"/>
      <c r="I174" s="2710"/>
      <c r="J174" s="2709"/>
      <c r="K174" s="2709"/>
      <c r="L174" s="2710"/>
      <c r="M174" s="2709"/>
      <c r="N174" s="2709"/>
      <c r="O174" s="2710"/>
      <c r="P174" s="2709"/>
      <c r="Q174" s="2709"/>
      <c r="R174" s="2711"/>
    </row>
    <row r="175" spans="2:18" s="907" customFormat="1">
      <c r="B175" s="2709"/>
      <c r="C175" s="2709"/>
      <c r="D175" s="2709"/>
      <c r="E175" s="2709"/>
      <c r="F175" s="2709"/>
      <c r="G175" s="2710"/>
      <c r="H175" s="2709"/>
      <c r="I175" s="2710"/>
      <c r="J175" s="2709"/>
      <c r="K175" s="2709"/>
      <c r="L175" s="2710"/>
      <c r="M175" s="2709"/>
      <c r="N175" s="2709"/>
      <c r="O175" s="2710"/>
      <c r="P175" s="2709"/>
      <c r="Q175" s="2709"/>
      <c r="R175" s="2711"/>
    </row>
    <row r="176" spans="2:18" s="907" customFormat="1">
      <c r="B176" s="2709"/>
      <c r="C176" s="2709"/>
      <c r="D176" s="2709"/>
      <c r="E176" s="2709"/>
      <c r="F176" s="2709"/>
      <c r="G176" s="2710"/>
      <c r="H176" s="2709"/>
      <c r="I176" s="2710"/>
      <c r="J176" s="2709"/>
      <c r="K176" s="2709"/>
      <c r="L176" s="2710"/>
      <c r="M176" s="2709"/>
      <c r="N176" s="2709"/>
      <c r="O176" s="2710"/>
      <c r="P176" s="2709"/>
      <c r="Q176" s="2709"/>
      <c r="R176" s="2711"/>
    </row>
    <row r="177" spans="1:18" s="907" customFormat="1">
      <c r="B177" s="2709"/>
      <c r="C177" s="2709"/>
      <c r="D177" s="2709"/>
      <c r="E177" s="2709"/>
      <c r="F177" s="2709"/>
      <c r="G177" s="2710"/>
      <c r="H177" s="2709"/>
      <c r="I177" s="2710"/>
      <c r="J177" s="2709"/>
      <c r="K177" s="2709"/>
      <c r="L177" s="2710"/>
      <c r="M177" s="2709"/>
      <c r="N177" s="2709"/>
      <c r="O177" s="2710"/>
      <c r="P177" s="2709"/>
      <c r="Q177" s="2709"/>
      <c r="R177" s="2711"/>
    </row>
    <row r="178" spans="1:18" s="907" customFormat="1">
      <c r="B178" s="2709"/>
      <c r="C178" s="2709"/>
      <c r="D178" s="2709"/>
      <c r="E178" s="2709"/>
      <c r="F178" s="2709"/>
      <c r="G178" s="2710"/>
      <c r="H178" s="2709"/>
      <c r="I178" s="2710"/>
      <c r="J178" s="2709"/>
      <c r="K178" s="2709"/>
      <c r="L178" s="2710"/>
      <c r="M178" s="2709"/>
      <c r="N178" s="2709"/>
      <c r="O178" s="2710"/>
      <c r="P178" s="2709"/>
      <c r="Q178" s="2709"/>
      <c r="R178" s="2711"/>
    </row>
    <row r="179" spans="1:18" s="907" customFormat="1">
      <c r="B179" s="2709"/>
      <c r="C179" s="2709"/>
      <c r="D179" s="2709"/>
      <c r="E179" s="2709"/>
      <c r="F179" s="2709"/>
      <c r="G179" s="2710"/>
      <c r="H179" s="2709"/>
      <c r="I179" s="2710"/>
      <c r="J179" s="2709"/>
      <c r="K179" s="2709"/>
      <c r="L179" s="2710"/>
      <c r="M179" s="2709"/>
      <c r="N179" s="2709"/>
      <c r="O179" s="2710"/>
      <c r="P179" s="2709"/>
      <c r="Q179" s="2709"/>
      <c r="R179" s="2711"/>
    </row>
    <row r="180" spans="1:18" s="907" customFormat="1">
      <c r="B180" s="2709"/>
      <c r="C180" s="2709"/>
      <c r="D180" s="2709"/>
      <c r="E180" s="2709"/>
      <c r="F180" s="2709"/>
      <c r="G180" s="2710"/>
      <c r="H180" s="2709"/>
      <c r="I180" s="2710"/>
      <c r="J180" s="2709"/>
      <c r="K180" s="2709"/>
      <c r="L180" s="2710"/>
      <c r="M180" s="2709"/>
      <c r="N180" s="2709"/>
      <c r="O180" s="2710"/>
      <c r="P180" s="2709"/>
      <c r="Q180" s="2709"/>
      <c r="R180" s="2711"/>
    </row>
    <row r="181" spans="1:18" s="907" customFormat="1">
      <c r="B181" s="2709"/>
      <c r="C181" s="2709"/>
      <c r="D181" s="2709"/>
      <c r="E181" s="2709"/>
      <c r="F181" s="2709"/>
      <c r="G181" s="2710"/>
      <c r="H181" s="2709"/>
      <c r="I181" s="2710"/>
      <c r="J181" s="2709"/>
      <c r="K181" s="2709"/>
      <c r="L181" s="2710"/>
      <c r="M181" s="2709"/>
      <c r="N181" s="2709"/>
      <c r="O181" s="2710"/>
      <c r="P181" s="2709"/>
      <c r="Q181" s="2709"/>
      <c r="R181" s="2711"/>
    </row>
    <row r="182" spans="1:18" s="907" customFormat="1">
      <c r="B182" s="2709"/>
      <c r="C182" s="2709"/>
      <c r="D182" s="2709"/>
      <c r="E182" s="2709"/>
      <c r="F182" s="2709"/>
      <c r="G182" s="2710"/>
      <c r="H182" s="2709"/>
      <c r="I182" s="2710"/>
      <c r="J182" s="2709"/>
      <c r="K182" s="2709"/>
      <c r="L182" s="2710"/>
      <c r="M182" s="2709"/>
      <c r="N182" s="2709"/>
      <c r="O182" s="2710"/>
      <c r="P182" s="2709"/>
      <c r="Q182" s="2709"/>
      <c r="R182" s="2711"/>
    </row>
    <row r="183" spans="1:18" s="907" customFormat="1">
      <c r="B183" s="2709"/>
      <c r="C183" s="2709"/>
      <c r="D183" s="2709"/>
      <c r="E183" s="2709"/>
      <c r="F183" s="2709"/>
      <c r="G183" s="2710"/>
      <c r="H183" s="2709"/>
      <c r="I183" s="2710"/>
      <c r="J183" s="2709"/>
      <c r="K183" s="2709"/>
      <c r="L183" s="2710"/>
      <c r="M183" s="2709"/>
      <c r="N183" s="2709"/>
      <c r="O183" s="2710"/>
      <c r="P183" s="2709"/>
      <c r="Q183" s="2709"/>
      <c r="R183" s="2711"/>
    </row>
    <row r="184" spans="1:18" s="907" customFormat="1">
      <c r="B184" s="2709"/>
      <c r="C184" s="2709"/>
      <c r="D184" s="2709"/>
      <c r="E184" s="2709"/>
      <c r="F184" s="2709"/>
      <c r="G184" s="2710"/>
      <c r="H184" s="2709"/>
      <c r="I184" s="2710"/>
      <c r="J184" s="2709"/>
      <c r="K184" s="2709"/>
      <c r="L184" s="2710"/>
      <c r="M184" s="2709"/>
      <c r="N184" s="2709"/>
      <c r="O184" s="2710"/>
      <c r="P184" s="2709"/>
      <c r="Q184" s="2709"/>
      <c r="R184" s="2711"/>
    </row>
    <row r="185" spans="1:18" s="907"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7"/>
      <c r="B186" s="2709"/>
      <c r="C186" s="2709"/>
      <c r="E186" s="2709"/>
      <c r="F186" s="2709"/>
      <c r="G186" s="2710"/>
    </row>
    <row r="187" spans="1:18">
      <c r="A187" s="907"/>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130002.77000000002</v>
      </c>
      <c r="C1" s="2906"/>
      <c r="D1" s="2906"/>
      <c r="E1" s="2906"/>
      <c r="F1" s="2906"/>
      <c r="G1" s="2907"/>
      <c r="H1" s="2908"/>
      <c r="I1" s="2908"/>
      <c r="J1" s="2908"/>
      <c r="K1" s="2908"/>
    </row>
    <row r="2" spans="1:11" ht="16.5">
      <c r="A2" s="2730" t="s">
        <v>1319</v>
      </c>
      <c r="B2" s="2730">
        <f>SUM(C14:C23)</f>
        <v>37742.35</v>
      </c>
      <c r="C2" s="2906"/>
      <c r="D2" s="2906"/>
      <c r="E2" s="2906"/>
      <c r="F2" s="2906"/>
      <c r="G2" s="2907"/>
      <c r="H2" s="2908"/>
      <c r="I2" s="2908"/>
      <c r="J2" s="2908"/>
      <c r="K2" s="2908"/>
    </row>
    <row r="3" spans="1:11" ht="16.5">
      <c r="A3" s="2730" t="s">
        <v>1328</v>
      </c>
      <c r="B3" s="2732">
        <f>项目基本情况!D3</f>
        <v>44314</v>
      </c>
      <c r="C3" s="2906"/>
      <c r="D3" s="2906"/>
      <c r="E3" s="2906"/>
      <c r="F3" s="2906"/>
      <c r="G3" s="2907"/>
      <c r="H3" s="2908"/>
      <c r="I3" s="2908"/>
      <c r="J3" s="2908"/>
      <c r="K3" s="2908"/>
    </row>
    <row r="4" spans="1:11" ht="33">
      <c r="A4" s="2730" t="s">
        <v>1327</v>
      </c>
      <c r="B4" s="2730" t="s">
        <v>1326</v>
      </c>
      <c r="C4" s="2730" t="s">
        <v>1325</v>
      </c>
      <c r="D4" s="2730" t="s">
        <v>1324</v>
      </c>
      <c r="E4" s="2906"/>
      <c r="F4" s="2907"/>
      <c r="G4" s="2907"/>
      <c r="H4" s="2908"/>
      <c r="I4" s="2908"/>
      <c r="J4" s="2908"/>
      <c r="K4" s="2908"/>
    </row>
    <row r="5" spans="1:11" ht="16.5">
      <c r="A5" s="2730" t="s">
        <v>1323</v>
      </c>
      <c r="B5" s="2730">
        <f ca="1">SUM(D14:D23)</f>
        <v>462425</v>
      </c>
      <c r="C5" s="2730">
        <f ca="1">ROUND(B5*10000/$B$1,0)</f>
        <v>35570</v>
      </c>
      <c r="D5" s="2730">
        <f ca="1">ROUND(B5*10000/$B$2,0)</f>
        <v>122522</v>
      </c>
      <c r="E5" s="2906"/>
      <c r="F5" s="2907"/>
      <c r="G5" s="2907"/>
      <c r="H5" s="2908"/>
      <c r="I5" s="2908"/>
      <c r="J5" s="2908"/>
      <c r="K5" s="2908"/>
    </row>
    <row r="6" spans="1:11" ht="16.5">
      <c r="A6" s="2730" t="s">
        <v>1322</v>
      </c>
      <c r="B6" s="2730">
        <f ca="1">SUM(G14:G23)</f>
        <v>462425</v>
      </c>
      <c r="C6" s="2730">
        <f ca="1">ROUND(B6*10000/$B$1,0)</f>
        <v>35570</v>
      </c>
      <c r="D6" s="2730">
        <f ca="1">ROUND(B6*10000/$B$2,0)</f>
        <v>122522</v>
      </c>
      <c r="E6" s="2906"/>
      <c r="F6" s="2907"/>
      <c r="G6" s="2907"/>
      <c r="H6" s="2908"/>
      <c r="I6" s="2908"/>
      <c r="J6" s="2908"/>
      <c r="K6" s="2908"/>
    </row>
    <row r="7" spans="1:11" ht="16.5">
      <c r="A7" s="2730" t="s">
        <v>1330</v>
      </c>
      <c r="B7" s="2730">
        <f>SUM(H14:H23)</f>
        <v>0</v>
      </c>
      <c r="C7" s="2730">
        <f>ROUND(B7*10000/$B$1,0)</f>
        <v>0</v>
      </c>
      <c r="D7" s="2730">
        <f>ROUND(B7*10000/$B$2,0)</f>
        <v>0</v>
      </c>
      <c r="E7" s="2906"/>
      <c r="F7" s="2907"/>
      <c r="G7" s="2907"/>
      <c r="H7" s="2908"/>
      <c r="I7" s="2908"/>
      <c r="J7" s="2908"/>
      <c r="K7" s="2908"/>
    </row>
    <row r="8" spans="1:11" ht="16.5">
      <c r="A8" s="2730" t="s">
        <v>1252</v>
      </c>
      <c r="B8" s="2730">
        <f>SUM(I14:I23)</f>
        <v>0</v>
      </c>
      <c r="C8" s="2730">
        <f>ROUND(B8*10000/$B$1,0)</f>
        <v>0</v>
      </c>
      <c r="D8" s="2730">
        <f>ROUND(B8*10000/$B$2,0)</f>
        <v>0</v>
      </c>
      <c r="E8" s="2906"/>
      <c r="F8" s="2907"/>
      <c r="G8" s="2907"/>
      <c r="H8" s="2908"/>
      <c r="I8" s="2908"/>
      <c r="J8" s="2908"/>
      <c r="K8" s="2908"/>
    </row>
    <row r="9" spans="1:11" ht="16.5">
      <c r="A9" s="2730" t="s">
        <v>1321</v>
      </c>
      <c r="B9" s="2738"/>
      <c r="C9" s="2906"/>
      <c r="D9" s="2906"/>
      <c r="E9" s="2906"/>
      <c r="F9" s="2907"/>
      <c r="G9" s="2907"/>
      <c r="H9" s="2908"/>
      <c r="I9" s="2908"/>
      <c r="J9" s="2908"/>
      <c r="K9" s="2908"/>
    </row>
    <row r="10" spans="1:11" ht="16.5">
      <c r="A10" s="2730" t="s">
        <v>1320</v>
      </c>
      <c r="B10" s="2738"/>
      <c r="C10" s="2906"/>
      <c r="D10" s="2906"/>
      <c r="E10" s="2906"/>
      <c r="F10" s="2907"/>
      <c r="G10" s="2907"/>
      <c r="H10" s="2908"/>
      <c r="I10" s="2908"/>
      <c r="J10" s="2908"/>
      <c r="K10" s="2908"/>
    </row>
    <row r="11" spans="1:11" ht="16.5">
      <c r="A11" s="2730" t="s">
        <v>1336</v>
      </c>
      <c r="B11" s="2738"/>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3" t="s">
        <v>1335</v>
      </c>
      <c r="B13" s="2734" t="s">
        <v>1332</v>
      </c>
      <c r="C13" s="2734" t="s">
        <v>1334</v>
      </c>
      <c r="D13" s="2734" t="s">
        <v>1333</v>
      </c>
      <c r="E13" s="2730" t="s">
        <v>1325</v>
      </c>
      <c r="F13" s="2730" t="s">
        <v>1324</v>
      </c>
      <c r="G13" s="2734" t="s">
        <v>1318</v>
      </c>
      <c r="H13" s="2734" t="s">
        <v>1329</v>
      </c>
      <c r="I13" s="2734" t="s">
        <v>1317</v>
      </c>
      <c r="J13" s="2907"/>
      <c r="K13" s="2908"/>
    </row>
    <row r="14" spans="1:11" ht="16.5">
      <c r="A14" s="2735" t="s">
        <v>1316</v>
      </c>
      <c r="B14" s="2736">
        <f>结果表!B118</f>
        <v>130002.77000000002</v>
      </c>
      <c r="C14" s="2736">
        <f>结果表!C118</f>
        <v>37742.35</v>
      </c>
      <c r="D14" s="2736">
        <f ca="1">结果表汇总!C19</f>
        <v>462425</v>
      </c>
      <c r="E14" s="2736">
        <f ca="1">ROUND(D14*10000/B14,0)</f>
        <v>35570</v>
      </c>
      <c r="F14" s="2736">
        <f ca="1">ROUND(D14*10000/C14,0)</f>
        <v>122522</v>
      </c>
      <c r="G14" s="2736">
        <f ca="1">D14</f>
        <v>462425</v>
      </c>
      <c r="H14" s="2736" t="str">
        <f>结果表!D124</f>
        <v>——</v>
      </c>
      <c r="I14" s="2736" t="str">
        <f>结果表!D126</f>
        <v>——</v>
      </c>
      <c r="J14" s="2907"/>
      <c r="K14" s="2908"/>
    </row>
    <row r="15" spans="1:11" ht="16.5">
      <c r="A15" s="2735" t="s">
        <v>1315</v>
      </c>
      <c r="B15" s="2737"/>
      <c r="C15" s="2737"/>
      <c r="D15" s="2737"/>
      <c r="E15" s="2736" t="e">
        <f t="shared" ref="E15:E23" si="0">ROUND(D15*10000/B15,0)</f>
        <v>#DIV/0!</v>
      </c>
      <c r="F15" s="2736" t="e">
        <f t="shared" ref="F15:F23" si="1">ROUND(D15*10000/C15,0)</f>
        <v>#DIV/0!</v>
      </c>
      <c r="G15" s="1499"/>
      <c r="H15" s="1499"/>
      <c r="I15" s="2737"/>
      <c r="J15" s="2907"/>
      <c r="K15" s="2908"/>
    </row>
    <row r="16" spans="1:11" ht="16.5">
      <c r="A16" s="2735" t="s">
        <v>1314</v>
      </c>
      <c r="B16" s="2737"/>
      <c r="C16" s="2737"/>
      <c r="D16" s="2737"/>
      <c r="E16" s="2736" t="e">
        <f t="shared" si="0"/>
        <v>#DIV/0!</v>
      </c>
      <c r="F16" s="2736" t="e">
        <f t="shared" si="1"/>
        <v>#DIV/0!</v>
      </c>
      <c r="G16" s="1499"/>
      <c r="H16" s="1499"/>
      <c r="I16" s="2737"/>
      <c r="J16" s="2908"/>
      <c r="K16" s="2908"/>
    </row>
    <row r="17" spans="1:11" ht="16.5">
      <c r="A17" s="2735" t="s">
        <v>1313</v>
      </c>
      <c r="B17" s="2737"/>
      <c r="C17" s="2737"/>
      <c r="D17" s="2737"/>
      <c r="E17" s="2736" t="e">
        <f t="shared" si="0"/>
        <v>#DIV/0!</v>
      </c>
      <c r="F17" s="2736" t="e">
        <f t="shared" si="1"/>
        <v>#DIV/0!</v>
      </c>
      <c r="G17" s="1499"/>
      <c r="H17" s="1499"/>
      <c r="I17" s="2737"/>
      <c r="J17" s="2908"/>
      <c r="K17" s="2908"/>
    </row>
    <row r="18" spans="1:11" ht="16.5">
      <c r="A18" s="2735" t="s">
        <v>1312</v>
      </c>
      <c r="B18" s="2737"/>
      <c r="C18" s="2737"/>
      <c r="D18" s="2737"/>
      <c r="E18" s="2736" t="e">
        <f t="shared" si="0"/>
        <v>#DIV/0!</v>
      </c>
      <c r="F18" s="2736" t="e">
        <f t="shared" si="1"/>
        <v>#DIV/0!</v>
      </c>
      <c r="G18" s="2737"/>
      <c r="H18" s="2737"/>
      <c r="I18" s="2737"/>
      <c r="J18" s="2908"/>
      <c r="K18" s="2908"/>
    </row>
    <row r="19" spans="1:11" ht="16.5">
      <c r="A19" s="2735" t="s">
        <v>1311</v>
      </c>
      <c r="B19" s="2737"/>
      <c r="C19" s="2737"/>
      <c r="D19" s="2737"/>
      <c r="E19" s="2736" t="e">
        <f t="shared" si="0"/>
        <v>#DIV/0!</v>
      </c>
      <c r="F19" s="2736" t="e">
        <f t="shared" si="1"/>
        <v>#DIV/0!</v>
      </c>
      <c r="G19" s="2737"/>
      <c r="H19" s="2737"/>
      <c r="I19" s="2737"/>
      <c r="J19" s="2908"/>
      <c r="K19" s="2908"/>
    </row>
    <row r="20" spans="1:11" ht="16.5">
      <c r="A20" s="2735" t="s">
        <v>1310</v>
      </c>
      <c r="B20" s="2737"/>
      <c r="C20" s="2737"/>
      <c r="D20" s="2737"/>
      <c r="E20" s="2736" t="e">
        <f t="shared" si="0"/>
        <v>#DIV/0!</v>
      </c>
      <c r="F20" s="2736" t="e">
        <f t="shared" si="1"/>
        <v>#DIV/0!</v>
      </c>
      <c r="G20" s="2737"/>
      <c r="H20" s="2737"/>
      <c r="I20" s="2737"/>
      <c r="J20" s="2908"/>
      <c r="K20" s="2908"/>
    </row>
    <row r="21" spans="1:11" ht="16.5">
      <c r="A21" s="2735" t="s">
        <v>1309</v>
      </c>
      <c r="B21" s="2737"/>
      <c r="C21" s="2737"/>
      <c r="D21" s="2737"/>
      <c r="E21" s="2736" t="e">
        <f t="shared" si="0"/>
        <v>#DIV/0!</v>
      </c>
      <c r="F21" s="2736" t="e">
        <f t="shared" si="1"/>
        <v>#DIV/0!</v>
      </c>
      <c r="G21" s="2737"/>
      <c r="H21" s="2737"/>
      <c r="I21" s="2737"/>
      <c r="J21" s="2908"/>
      <c r="K21" s="2908"/>
    </row>
    <row r="22" spans="1:11" ht="16.5">
      <c r="A22" s="2735" t="s">
        <v>1308</v>
      </c>
      <c r="B22" s="2737"/>
      <c r="C22" s="2737"/>
      <c r="D22" s="2737"/>
      <c r="E22" s="2736" t="e">
        <f t="shared" si="0"/>
        <v>#DIV/0!</v>
      </c>
      <c r="F22" s="2736" t="e">
        <f t="shared" si="1"/>
        <v>#DIV/0!</v>
      </c>
      <c r="G22" s="2737"/>
      <c r="H22" s="2737"/>
      <c r="I22" s="2737"/>
      <c r="J22" s="2908"/>
      <c r="K22" s="2908"/>
    </row>
    <row r="23" spans="1:11" ht="16.5">
      <c r="A23" s="2735" t="s">
        <v>1307</v>
      </c>
      <c r="B23" s="2737"/>
      <c r="C23" s="2737"/>
      <c r="D23" s="2737"/>
      <c r="E23" s="2738" t="e">
        <f t="shared" si="0"/>
        <v>#DIV/0!</v>
      </c>
      <c r="F23" s="2738" t="e">
        <f t="shared" si="1"/>
        <v>#DIV/0!</v>
      </c>
      <c r="G23" s="2737"/>
      <c r="H23" s="2737"/>
      <c r="I23" s="2737"/>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22" sqref="D22"/>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1947</v>
      </c>
      <c r="B1" s="1931"/>
      <c r="C1" s="1932"/>
      <c r="D1" s="1931"/>
      <c r="E1" s="1931"/>
      <c r="F1" s="1933" t="s">
        <v>1948</v>
      </c>
      <c r="G1" s="1745"/>
      <c r="H1" s="1934" t="str">
        <f>IF(G1="现房","——","估价对象范围")</f>
        <v>估价对象范围</v>
      </c>
      <c r="I1" s="1935"/>
    </row>
    <row r="2" spans="1:12" ht="21.75" customHeight="1" thickBot="1">
      <c r="A2" s="3345" t="str">
        <f>项目基本情况!S2</f>
        <v>北京市大兴区旧宫镇DX07-0201-0006、0007地块R2二类居住用地住宅（自持）用房房地产房地产</v>
      </c>
      <c r="B2" s="3346"/>
      <c r="C2" s="3346"/>
      <c r="D2" s="3346"/>
      <c r="E2" s="3346"/>
      <c r="F2" s="3346"/>
      <c r="G2" s="3346"/>
      <c r="H2" s="3346"/>
      <c r="I2" s="3347"/>
    </row>
    <row r="3" spans="1:12" ht="12.75">
      <c r="A3" s="3349" t="s">
        <v>1949</v>
      </c>
      <c r="B3" s="3350"/>
      <c r="C3" s="3350"/>
      <c r="D3" s="3350"/>
      <c r="E3" s="3350"/>
      <c r="F3" s="3350"/>
      <c r="G3" s="3350"/>
      <c r="H3" s="3350"/>
      <c r="I3" s="3350"/>
    </row>
    <row r="4" spans="1:12" ht="14.25">
      <c r="A4" s="1938" t="s">
        <v>1950</v>
      </c>
      <c r="B4" s="1939" t="s">
        <v>1951</v>
      </c>
      <c r="C4" s="1940"/>
      <c r="D4" s="1940"/>
      <c r="E4" s="3354" t="s">
        <v>1952</v>
      </c>
      <c r="F4" s="3355"/>
      <c r="G4" s="3355"/>
      <c r="H4" s="3355"/>
      <c r="I4" s="335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90" t="s">
        <v>1953</v>
      </c>
      <c r="B5" s="3348">
        <v>25</v>
      </c>
      <c r="C5" s="3351"/>
      <c r="D5" s="3339"/>
      <c r="E5" s="136" t="s">
        <v>1954</v>
      </c>
      <c r="F5" s="1941"/>
      <c r="G5" s="1941"/>
      <c r="H5" s="1941"/>
      <c r="I5" s="1556"/>
    </row>
    <row r="6" spans="1:12" ht="12.75">
      <c r="A6" s="3290"/>
      <c r="B6" s="3348"/>
      <c r="C6" s="3353"/>
      <c r="D6" s="3339"/>
      <c r="E6" s="136" t="s">
        <v>1955</v>
      </c>
      <c r="F6" s="1941"/>
      <c r="G6" s="1941"/>
      <c r="H6" s="1941"/>
      <c r="I6" s="1556"/>
    </row>
    <row r="7" spans="1:12" ht="12.75">
      <c r="A7" s="3290"/>
      <c r="B7" s="3348"/>
      <c r="C7" s="3352"/>
      <c r="D7" s="3339"/>
      <c r="E7" s="136" t="s">
        <v>1956</v>
      </c>
      <c r="F7" s="1941"/>
      <c r="G7" s="1941"/>
      <c r="H7" s="1941"/>
      <c r="I7" s="1556"/>
    </row>
    <row r="8" spans="1:12" ht="12.75">
      <c r="A8" s="3290" t="s">
        <v>1957</v>
      </c>
      <c r="B8" s="3348">
        <v>15</v>
      </c>
      <c r="C8" s="3351"/>
      <c r="D8" s="3339"/>
      <c r="E8" s="136" t="s">
        <v>1958</v>
      </c>
      <c r="F8" s="1941"/>
      <c r="G8" s="1941"/>
      <c r="H8" s="1941"/>
      <c r="I8" s="1556"/>
    </row>
    <row r="9" spans="1:12" ht="12.75">
      <c r="A9" s="3290"/>
      <c r="B9" s="3348"/>
      <c r="C9" s="3352"/>
      <c r="D9" s="3339"/>
      <c r="E9" s="136" t="s">
        <v>1959</v>
      </c>
      <c r="F9" s="1941"/>
      <c r="G9" s="1941"/>
      <c r="H9" s="1941"/>
      <c r="I9" s="1556"/>
    </row>
    <row r="10" spans="1:12" ht="12.75">
      <c r="A10" s="3290" t="s">
        <v>1960</v>
      </c>
      <c r="B10" s="3348">
        <v>15</v>
      </c>
      <c r="C10" s="3351"/>
      <c r="D10" s="3339"/>
      <c r="E10" s="136" t="s">
        <v>1961</v>
      </c>
      <c r="F10" s="1941"/>
      <c r="G10" s="1941"/>
      <c r="H10" s="1941"/>
      <c r="I10" s="1556"/>
    </row>
    <row r="11" spans="1:12" ht="12.75">
      <c r="A11" s="3290"/>
      <c r="B11" s="3348"/>
      <c r="C11" s="3352"/>
      <c r="D11" s="3339"/>
      <c r="E11" s="136" t="s">
        <v>1962</v>
      </c>
      <c r="F11" s="1941"/>
      <c r="G11" s="1941"/>
      <c r="H11" s="1941"/>
      <c r="I11" s="1556"/>
    </row>
    <row r="12" spans="1:12" ht="12.75">
      <c r="A12" s="3290" t="s">
        <v>1963</v>
      </c>
      <c r="B12" s="3348">
        <v>15</v>
      </c>
      <c r="C12" s="3351"/>
      <c r="D12" s="3339"/>
      <c r="E12" s="136" t="s">
        <v>1964</v>
      </c>
      <c r="F12" s="1941"/>
      <c r="G12" s="1941"/>
      <c r="H12" s="1941"/>
      <c r="I12" s="1556"/>
    </row>
    <row r="13" spans="1:12" ht="12.75">
      <c r="A13" s="3290"/>
      <c r="B13" s="3348"/>
      <c r="C13" s="3352"/>
      <c r="D13" s="3339"/>
      <c r="E13" s="136" t="s">
        <v>1965</v>
      </c>
      <c r="F13" s="1941"/>
      <c r="G13" s="1941"/>
      <c r="H13" s="1941"/>
      <c r="I13" s="1556"/>
    </row>
    <row r="14" spans="1:12" ht="12.75">
      <c r="A14" s="3290" t="s">
        <v>1966</v>
      </c>
      <c r="B14" s="3348">
        <v>30</v>
      </c>
      <c r="C14" s="3351"/>
      <c r="D14" s="3339"/>
      <c r="E14" s="136" t="s">
        <v>1967</v>
      </c>
      <c r="F14" s="1941"/>
      <c r="G14" s="1941"/>
      <c r="H14" s="1941"/>
      <c r="I14" s="1556"/>
    </row>
    <row r="15" spans="1:12" ht="12.75">
      <c r="A15" s="3290"/>
      <c r="B15" s="3348"/>
      <c r="C15" s="3353"/>
      <c r="D15" s="3339"/>
      <c r="E15" s="136" t="s">
        <v>1968</v>
      </c>
      <c r="F15" s="1941"/>
      <c r="G15" s="1941"/>
      <c r="H15" s="1941"/>
      <c r="I15" s="1556"/>
    </row>
    <row r="16" spans="1:12" ht="12.75">
      <c r="A16" s="3290"/>
      <c r="B16" s="3348"/>
      <c r="C16" s="3352"/>
      <c r="D16" s="3339"/>
      <c r="E16" s="136" t="s">
        <v>1969</v>
      </c>
      <c r="F16" s="1941"/>
      <c r="G16" s="1941"/>
      <c r="H16" s="1941"/>
      <c r="I16" s="1556"/>
    </row>
    <row r="17" spans="1:36" ht="15">
      <c r="A17" s="1942" t="s">
        <v>1970</v>
      </c>
      <c r="B17" s="60"/>
      <c r="C17" s="137">
        <f>SUM(C5:C16)</f>
        <v>0</v>
      </c>
      <c r="D17" s="137">
        <f>SUM(D5:D16)</f>
        <v>0</v>
      </c>
      <c r="E17" s="134"/>
      <c r="F17" s="134"/>
      <c r="G17" s="134"/>
      <c r="H17" s="134"/>
      <c r="I17" s="134"/>
      <c r="K17" s="308"/>
      <c r="L17" s="308" t="s">
        <v>1971</v>
      </c>
      <c r="M17" s="308" t="s">
        <v>1972</v>
      </c>
    </row>
    <row r="18" spans="1:36" ht="31.9" customHeight="1" thickBot="1">
      <c r="A18" s="1943" t="s">
        <v>1973</v>
      </c>
      <c r="B18" s="1944"/>
      <c r="C18" s="138" t="e">
        <f>ROUND(C17/SUM(C17:D17),2)</f>
        <v>#DIV/0!</v>
      </c>
      <c r="D18" s="138" t="e">
        <f>1-C18</f>
        <v>#DIV/0!</v>
      </c>
      <c r="E18" s="3370" t="s">
        <v>2833</v>
      </c>
      <c r="F18" s="3371"/>
      <c r="G18" s="3371"/>
      <c r="H18" s="3371"/>
      <c r="I18" s="3371"/>
      <c r="K18" s="308" t="s">
        <v>1974</v>
      </c>
      <c r="L18" s="308">
        <f>IF(C1="",'数据-汇总表'!E3,SUMIF(项目类型,C1,'数据-汇总表'!E17:E26)+SUMIF(项目类型,C1,'数据-汇总表'!I17:I26))</f>
        <v>130002.77000000002</v>
      </c>
      <c r="M18" s="308">
        <f>IF(C1="",'数据-汇总表'!E3,SUMIF(项目类型,C1,'数据-汇总表'!E17:E26))</f>
        <v>130002.77000000002</v>
      </c>
    </row>
    <row r="19" spans="1:36" ht="15">
      <c r="A19" s="1945" t="s">
        <v>1975</v>
      </c>
      <c r="B19" s="1946" t="s">
        <v>1976</v>
      </c>
      <c r="C19" s="139" t="e">
        <f ca="1">SUMIF(INDIRECT("'"&amp;C4&amp;"'"&amp;"!A:A"),结果表!B19,INDIRECT("'"&amp;C4&amp;"'"&amp;"!B:B"))</f>
        <v>#REF!</v>
      </c>
      <c r="D19" s="140" t="e">
        <f ca="1">SUMIF(INDIRECT("'"&amp;D4&amp;"'"&amp;"!A:A"),结果表!B19,INDIRECT("'"&amp;D4&amp;"'"&amp;"!B:B"))</f>
        <v>#REF!</v>
      </c>
      <c r="E19" s="1945" t="s">
        <v>1977</v>
      </c>
      <c r="F19" s="1946" t="s">
        <v>1976</v>
      </c>
      <c r="G19" s="141" t="e">
        <f ca="1">ROUND(C19*$C$18+D19*$D$18,0)</f>
        <v>#REF!</v>
      </c>
      <c r="H19" s="1947" t="s">
        <v>1978</v>
      </c>
      <c r="I19" s="134"/>
      <c r="K19" s="308" t="s">
        <v>1979</v>
      </c>
      <c r="L19" s="308">
        <f>IF(C1="",'数据-汇总表'!D3,SUMIF(项目类型,C1,'数据-汇总表'!D17:D26)+SUMIF(项目类型,C1,'数据-汇总表'!H17:H27))</f>
        <v>37742.35</v>
      </c>
      <c r="M19" s="308">
        <f>IF(C1="",'数据-汇总表'!D3,SUMIF(项目类型,C1,'数据-汇总表'!D17:D26))</f>
        <v>37742.35</v>
      </c>
    </row>
    <row r="20" spans="1:36" ht="15">
      <c r="A20" s="1948"/>
      <c r="B20" s="1157" t="s">
        <v>1980</v>
      </c>
      <c r="C20" s="142" t="e">
        <f ca="1">SUMIF(INDIRECT("'"&amp;C4&amp;"'"&amp;"!A:A"),结果表!B20,INDIRECT("'"&amp;C4&amp;"'"&amp;"!B:B"))</f>
        <v>#REF!</v>
      </c>
      <c r="D20" s="143" t="e">
        <f ca="1">SUMIF(INDIRECT("'"&amp;D4&amp;"'"&amp;"!A:A"),结果表!B20,INDIRECT("'"&amp;D4&amp;"'"&amp;"!B:B"))</f>
        <v>#REF!</v>
      </c>
      <c r="E20" s="1948"/>
      <c r="F20" s="1157" t="s">
        <v>1980</v>
      </c>
      <c r="G20" s="144" t="e">
        <f ca="1">ROUND(C20*$C$18+D20*$D$18,0)</f>
        <v>#REF!</v>
      </c>
      <c r="H20" s="917" t="s">
        <v>1981</v>
      </c>
      <c r="I20" s="134"/>
    </row>
    <row r="21" spans="1:36" ht="15" customHeight="1" thickBot="1">
      <c r="A21" s="937"/>
      <c r="B21" s="1949" t="s">
        <v>1982</v>
      </c>
      <c r="C21" s="728" t="e">
        <f ca="1">ROUND(C19*10000/L19,0)</f>
        <v>#REF!</v>
      </c>
      <c r="D21" s="729" t="e">
        <f ca="1">ROUND(D19*10000/L19,0)</f>
        <v>#REF!</v>
      </c>
      <c r="E21" s="937"/>
      <c r="F21" s="1949" t="s">
        <v>1982</v>
      </c>
      <c r="G21" s="145" t="e">
        <f ca="1">ROUND(G19*10000/L19,0)</f>
        <v>#REF!</v>
      </c>
      <c r="H21" s="1950" t="s">
        <v>1981</v>
      </c>
      <c r="I21" s="134"/>
    </row>
    <row r="22" spans="1:36" ht="15" thickBot="1">
      <c r="A22" s="1872" t="s">
        <v>1983</v>
      </c>
      <c r="B22" s="1951"/>
      <c r="C22" s="1952"/>
      <c r="D22" s="730" t="e">
        <f ca="1">IF(C19&lt;D19,D19/C19-1,C19/D19-1)</f>
        <v>#REF!</v>
      </c>
      <c r="E22" s="134"/>
      <c r="F22" s="134"/>
      <c r="G22" s="134"/>
      <c r="H22" s="134"/>
      <c r="I22" s="134"/>
    </row>
    <row r="23" spans="1:36" ht="13.5" thickBot="1">
      <c r="A23" s="1931"/>
      <c r="B23" s="1931"/>
      <c r="C23" s="1931"/>
      <c r="D23" s="1931"/>
      <c r="E23" s="134"/>
      <c r="F23" s="134"/>
      <c r="G23" s="134"/>
      <c r="H23" s="134"/>
      <c r="I23" s="134"/>
    </row>
    <row r="24" spans="1:36" ht="14.25">
      <c r="A24" s="3363" t="s">
        <v>1984</v>
      </c>
      <c r="B24" s="1946" t="s">
        <v>1976</v>
      </c>
      <c r="C24" s="141">
        <f>IF(B30=0,0,D30)</f>
        <v>0</v>
      </c>
      <c r="D24" s="1953"/>
      <c r="E24" s="134"/>
      <c r="F24" s="134"/>
      <c r="G24" s="134"/>
      <c r="H24" s="134"/>
      <c r="I24" s="134"/>
    </row>
    <row r="25" spans="1:36" ht="14.25">
      <c r="A25" s="3364"/>
      <c r="B25" s="1157" t="s">
        <v>1980</v>
      </c>
      <c r="C25" s="146">
        <f>IF(B30=0,0,C30)</f>
        <v>0</v>
      </c>
      <c r="D25" s="1954"/>
      <c r="E25" s="134"/>
      <c r="F25" s="134"/>
      <c r="G25" s="134"/>
      <c r="H25" s="134"/>
      <c r="I25" s="134"/>
    </row>
    <row r="26" spans="1:36" ht="13.5" customHeight="1">
      <c r="A26" s="1955" t="s">
        <v>1985</v>
      </c>
      <c r="B26" s="147" t="s">
        <v>1986</v>
      </c>
      <c r="C26" s="147" t="s">
        <v>1987</v>
      </c>
      <c r="D26" s="148" t="s">
        <v>1988</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1989</v>
      </c>
      <c r="B30" s="147"/>
      <c r="C30" s="147"/>
      <c r="D30" s="147"/>
      <c r="E30" s="2517" t="s">
        <v>2834</v>
      </c>
      <c r="F30" s="134"/>
      <c r="G30" s="134"/>
      <c r="H30" s="134"/>
      <c r="I30" s="134"/>
    </row>
    <row r="31" spans="1:36" s="2523" customFormat="1" ht="26.45" customHeight="1" thickTop="1" thickBot="1">
      <c r="A31" s="2518"/>
      <c r="B31" s="2519"/>
      <c r="C31" s="2519"/>
      <c r="D31" s="2519"/>
      <c r="E31" s="2519"/>
      <c r="F31" s="2519"/>
      <c r="G31" s="2519"/>
      <c r="H31" s="2519"/>
      <c r="I31" s="2520" t="s">
        <v>2835</v>
      </c>
      <c r="J31" s="2909"/>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7" t="s">
        <v>1990</v>
      </c>
      <c r="B32" s="1958"/>
      <c r="C32" s="149" t="e">
        <f ca="1">IF(D32="总价",G19-C24,G20-C25)</f>
        <v>#REF!</v>
      </c>
      <c r="D32" s="1959"/>
      <c r="E32" s="134"/>
      <c r="F32" s="134"/>
      <c r="G32" s="134"/>
      <c r="H32" s="134"/>
      <c r="I32" s="134"/>
    </row>
    <row r="33" spans="1:15" ht="15">
      <c r="A33" s="894" t="s">
        <v>1991</v>
      </c>
      <c r="B33" s="1960"/>
      <c r="C33" s="1961"/>
      <c r="D33" s="1962"/>
      <c r="E33" s="1963" t="s">
        <v>1992</v>
      </c>
      <c r="F33" s="1964" t="str">
        <f>IF(D32="楼面单价","取值（单价）","取值（总价）")</f>
        <v>取值（总价）</v>
      </c>
      <c r="G33" s="134"/>
      <c r="H33" s="134"/>
      <c r="I33" s="134"/>
    </row>
    <row r="34" spans="1:15" ht="15">
      <c r="A34" s="1965"/>
      <c r="B34" s="1966"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7" t="s">
        <v>1994</v>
      </c>
      <c r="F34" s="1497"/>
      <c r="G34" s="134"/>
      <c r="H34" s="134"/>
      <c r="I34" s="134"/>
    </row>
    <row r="35" spans="1:15" ht="15.75" thickBot="1">
      <c r="A35" s="1968"/>
      <c r="B35" s="1969"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0" t="s">
        <v>1996</v>
      </c>
      <c r="F35" s="159"/>
      <c r="G35" s="134"/>
      <c r="H35" s="134"/>
      <c r="I35" s="134"/>
    </row>
    <row r="36" spans="1:15" ht="15.75" thickBot="1">
      <c r="A36" s="3340" t="s">
        <v>1997</v>
      </c>
      <c r="B36" s="1971" t="s">
        <v>1998</v>
      </c>
      <c r="C36" s="150"/>
      <c r="D36" s="1972"/>
      <c r="E36" s="1973"/>
      <c r="F36" s="1974"/>
      <c r="G36" s="134"/>
      <c r="H36" s="134"/>
      <c r="I36" s="134"/>
    </row>
    <row r="37" spans="1:15" ht="15.75" thickBot="1">
      <c r="A37" s="3341"/>
      <c r="B37" s="1858" t="s">
        <v>1999</v>
      </c>
      <c r="C37" s="152"/>
      <c r="D37" s="1300"/>
      <c r="E37" s="1300"/>
      <c r="F37" s="1974"/>
      <c r="G37" s="134"/>
      <c r="H37" s="134"/>
      <c r="I37" s="134"/>
    </row>
    <row r="38" spans="1:15" ht="15.75" thickBot="1">
      <c r="A38" s="3342"/>
      <c r="B38" s="1975" t="s">
        <v>2000</v>
      </c>
      <c r="C38" s="683"/>
      <c r="D38" s="1976" t="s">
        <v>2001</v>
      </c>
      <c r="E38" s="1300"/>
      <c r="F38" s="1974"/>
      <c r="G38" s="134"/>
      <c r="H38" s="134"/>
      <c r="I38" s="134"/>
    </row>
    <row r="39" spans="1:15" ht="15">
      <c r="A39" s="1948" t="s">
        <v>2002</v>
      </c>
      <c r="B39" s="1977" t="s">
        <v>2003</v>
      </c>
      <c r="C39" s="1978" t="s">
        <v>2004</v>
      </c>
      <c r="D39" s="1978" t="s">
        <v>2005</v>
      </c>
      <c r="E39" s="1979" t="s">
        <v>2006</v>
      </c>
      <c r="F39" s="1974"/>
      <c r="G39" s="134"/>
      <c r="H39" s="134"/>
      <c r="I39" s="134"/>
    </row>
    <row r="40" spans="1:15" ht="14.25">
      <c r="A40" s="1980" t="s">
        <v>2007</v>
      </c>
      <c r="B40" s="154"/>
      <c r="C40" s="155"/>
      <c r="D40" s="155"/>
      <c r="E40" s="156"/>
      <c r="F40" s="1974"/>
      <c r="G40" s="134"/>
      <c r="H40" s="134"/>
      <c r="I40" s="134"/>
    </row>
    <row r="41" spans="1:15" ht="14.25">
      <c r="A41" s="1980" t="s">
        <v>2008</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2009</v>
      </c>
      <c r="B44" s="1985"/>
      <c r="C44" s="1985"/>
      <c r="D44" s="1986"/>
      <c r="E44" s="1986"/>
      <c r="F44" s="1987"/>
      <c r="G44" s="1987"/>
      <c r="H44" s="1987"/>
      <c r="I44" s="1987"/>
      <c r="J44" s="1988" t="s">
        <v>2010</v>
      </c>
      <c r="K44" s="1989"/>
      <c r="L44" s="1989"/>
      <c r="M44" s="1989"/>
      <c r="N44" s="1989"/>
      <c r="O44" s="1989"/>
    </row>
    <row r="45" spans="1:15" ht="14.25" customHeight="1" thickBot="1">
      <c r="A45" s="3360" t="s">
        <v>2011</v>
      </c>
      <c r="B45" s="3361"/>
      <c r="C45" s="3362"/>
      <c r="D45" s="160">
        <f ca="1">结果表汇总!C19</f>
        <v>462425</v>
      </c>
      <c r="E45" s="161" t="s">
        <v>2012</v>
      </c>
      <c r="F45" s="162">
        <v>1</v>
      </c>
      <c r="G45" s="163" t="s">
        <v>2013</v>
      </c>
      <c r="H45" s="134"/>
      <c r="I45" s="134"/>
      <c r="J45" s="3277" t="s">
        <v>2014</v>
      </c>
      <c r="K45" s="3277"/>
      <c r="L45" s="3277"/>
      <c r="M45" s="3277"/>
      <c r="N45" s="3277"/>
      <c r="O45" s="3277"/>
    </row>
    <row r="46" spans="1:15" ht="14.25" customHeight="1">
      <c r="A46" s="3357" t="s">
        <v>3360</v>
      </c>
      <c r="B46" s="3358"/>
      <c r="C46" s="3358"/>
      <c r="D46" s="3358"/>
      <c r="E46" s="3358"/>
      <c r="F46" s="3358"/>
      <c r="G46" s="3359"/>
      <c r="H46" s="1990"/>
      <c r="I46" s="164"/>
      <c r="J46" s="2741">
        <v>1</v>
      </c>
      <c r="K46" s="3278" t="s">
        <v>2015</v>
      </c>
      <c r="L46" s="3278"/>
      <c r="M46" s="3279"/>
      <c r="N46" s="3279"/>
      <c r="O46" s="3279"/>
    </row>
    <row r="47" spans="1:15" ht="12" customHeight="1">
      <c r="A47" s="165" t="s">
        <v>2016</v>
      </c>
      <c r="B47" s="166"/>
      <c r="C47" s="167"/>
      <c r="D47" s="1247" t="s">
        <v>2017</v>
      </c>
      <c r="E47" s="308" t="s">
        <v>2018</v>
      </c>
      <c r="F47" s="168" t="s">
        <v>2019</v>
      </c>
      <c r="G47" s="2764" t="s">
        <v>2020</v>
      </c>
      <c r="H47" s="2765"/>
      <c r="I47" s="164"/>
      <c r="J47" s="2741">
        <v>2</v>
      </c>
      <c r="K47" s="3278" t="s">
        <v>2021</v>
      </c>
      <c r="L47" s="3278"/>
      <c r="M47" s="3280">
        <f>'数据-取费表'!B2</f>
        <v>44314</v>
      </c>
      <c r="N47" s="3280"/>
      <c r="O47" s="3280"/>
    </row>
    <row r="48" spans="1:15" ht="25.5">
      <c r="A48" s="3343" t="s">
        <v>2022</v>
      </c>
      <c r="B48" s="3344"/>
      <c r="C48" s="3344"/>
      <c r="D48" s="2543">
        <f ca="1">IF(H48="情况1",0,IF(H48="情况2",D52,IF(H48="情况3",D53,IF(H48="情况4",D54))))</f>
        <v>24222</v>
      </c>
      <c r="E48" s="2553" t="str">
        <f>IF(H48="情况4","(销售额-原购置价)×税（费）率","销售额×税（费）率")</f>
        <v>销售额×税（费）率</v>
      </c>
      <c r="F48" s="2766">
        <f>IF(H48="情况1","免征",'数据-取费表'!B41)</f>
        <v>5.5000000000000007E-2</v>
      </c>
      <c r="G48" s="2767" t="s">
        <v>2023</v>
      </c>
      <c r="H48" s="2768" t="s">
        <v>3348</v>
      </c>
      <c r="I48" s="1990"/>
      <c r="J48" s="2741">
        <v>3</v>
      </c>
      <c r="K48" s="3278" t="s">
        <v>2024</v>
      </c>
      <c r="L48" s="3278"/>
      <c r="M48" s="3281">
        <f ca="1">D45</f>
        <v>462425</v>
      </c>
      <c r="N48" s="3281"/>
      <c r="O48" s="3281"/>
    </row>
    <row r="49" spans="1:35" ht="25.5" customHeight="1">
      <c r="A49" s="2552" t="s">
        <v>2025</v>
      </c>
      <c r="B49" s="3326" t="s">
        <v>2026</v>
      </c>
      <c r="C49" s="3326"/>
      <c r="D49" s="1774">
        <v>0</v>
      </c>
      <c r="E49" s="330" t="s">
        <v>2027</v>
      </c>
      <c r="F49" s="2643" t="s">
        <v>34</v>
      </c>
      <c r="G49" s="3309"/>
      <c r="H49" s="2524" t="s">
        <v>2836</v>
      </c>
      <c r="I49" s="2525"/>
      <c r="J49" s="2741">
        <v>4</v>
      </c>
      <c r="K49" s="3278" t="str">
        <f>IF(项目基本情况!E8="房地产抵押价值","房地产抵押价值","抵押担保权已注销时的房地产抵押价值")</f>
        <v>房地产抵押价值</v>
      </c>
      <c r="L49" s="3278"/>
      <c r="M49" s="3281">
        <f ca="1">M48</f>
        <v>462425</v>
      </c>
      <c r="N49" s="3281"/>
      <c r="O49" s="3281"/>
    </row>
    <row r="50" spans="1:35" ht="25.5" customHeight="1">
      <c r="A50" s="2769"/>
      <c r="B50" s="3326" t="s">
        <v>2028</v>
      </c>
      <c r="C50" s="3326"/>
      <c r="D50" s="2770"/>
      <c r="E50" s="338"/>
      <c r="F50" s="2643"/>
      <c r="G50" s="3310"/>
      <c r="H50" s="2526" t="s">
        <v>2837</v>
      </c>
      <c r="I50" s="2525"/>
      <c r="J50" s="3277" t="s">
        <v>2029</v>
      </c>
      <c r="K50" s="3277"/>
      <c r="L50" s="3277"/>
      <c r="M50" s="3277"/>
      <c r="N50" s="3277"/>
      <c r="O50" s="3277"/>
    </row>
    <row r="51" spans="1:35" ht="20.45" customHeight="1">
      <c r="A51" s="2771"/>
      <c r="B51" s="3326" t="s">
        <v>2030</v>
      </c>
      <c r="C51" s="3326"/>
      <c r="D51" s="1247"/>
      <c r="E51" s="333"/>
      <c r="F51" s="2643"/>
      <c r="G51" s="3311"/>
      <c r="H51" s="2526" t="s">
        <v>2838</v>
      </c>
      <c r="I51" s="2525"/>
      <c r="J51" s="2742" t="s">
        <v>2031</v>
      </c>
      <c r="K51" s="3278" t="s">
        <v>2032</v>
      </c>
      <c r="L51" s="3278"/>
      <c r="M51" s="2742" t="s">
        <v>2033</v>
      </c>
      <c r="N51" s="2742" t="s">
        <v>2034</v>
      </c>
      <c r="O51" s="2742" t="s">
        <v>2035</v>
      </c>
    </row>
    <row r="52" spans="1:35" ht="24" customHeight="1">
      <c r="A52" s="2554" t="s">
        <v>2036</v>
      </c>
      <c r="B52" s="3326" t="s">
        <v>2037</v>
      </c>
      <c r="C52" s="3326"/>
      <c r="D52" s="1247">
        <f ca="1">ROUND(D45*'数据-取费表'!B41/(1+'数据-取费表'!C42),0)</f>
        <v>24222</v>
      </c>
      <c r="E52" s="2553" t="s">
        <v>2038</v>
      </c>
      <c r="F52" s="2772">
        <f>'数据-取费表'!B41</f>
        <v>5.5000000000000007E-2</v>
      </c>
      <c r="G52" s="2773"/>
      <c r="H52" s="2762"/>
      <c r="I52" s="1991"/>
      <c r="J52" s="2741">
        <v>1</v>
      </c>
      <c r="K52" s="3303" t="s">
        <v>2039</v>
      </c>
      <c r="L52" s="3303"/>
      <c r="M52" s="2743">
        <f ca="1">D48</f>
        <v>24222</v>
      </c>
      <c r="N52" s="2741" t="str">
        <f>E48</f>
        <v>销售额×税（费）率</v>
      </c>
      <c r="O52" s="2744">
        <f>F48</f>
        <v>5.5000000000000007E-2</v>
      </c>
    </row>
    <row r="53" spans="1:35" ht="12" customHeight="1">
      <c r="A53" s="2554" t="s">
        <v>2040</v>
      </c>
      <c r="B53" s="3327" t="s">
        <v>2993</v>
      </c>
      <c r="C53" s="3328"/>
      <c r="D53" s="1247">
        <f ca="1">ROUND(D45*'数据-取费表'!B41/(1+'数据-取费表'!C42),0)</f>
        <v>24222</v>
      </c>
      <c r="E53" s="2553" t="s">
        <v>2038</v>
      </c>
      <c r="F53" s="2772">
        <f>'数据-取费表'!B41</f>
        <v>5.5000000000000007E-2</v>
      </c>
      <c r="G53" s="2773"/>
      <c r="H53" s="2762"/>
      <c r="I53" s="1991"/>
      <c r="J53" s="2741">
        <v>2</v>
      </c>
      <c r="K53" s="3303" t="s">
        <v>2041</v>
      </c>
      <c r="L53" s="3303"/>
      <c r="M53" s="2743">
        <f t="shared" ref="M53:O54" ca="1" si="0">D55</f>
        <v>231</v>
      </c>
      <c r="N53" s="2741" t="str">
        <f t="shared" si="0"/>
        <v>销售额×税（费）率</v>
      </c>
      <c r="O53" s="2744">
        <f t="shared" si="0"/>
        <v>5.0000000000000001E-4</v>
      </c>
    </row>
    <row r="54" spans="1:35" ht="12" customHeight="1">
      <c r="A54" s="2554" t="s">
        <v>2042</v>
      </c>
      <c r="B54" s="3327" t="s">
        <v>2994</v>
      </c>
      <c r="C54" s="3328"/>
      <c r="D54" s="1247">
        <f ca="1">C68</f>
        <v>24222</v>
      </c>
      <c r="E54" s="333" t="s">
        <v>2043</v>
      </c>
      <c r="F54" s="2772">
        <f>'数据-取费表'!B41</f>
        <v>5.5000000000000007E-2</v>
      </c>
      <c r="G54" s="2773"/>
      <c r="H54" s="2774"/>
      <c r="I54" s="1991"/>
      <c r="J54" s="2741">
        <v>3</v>
      </c>
      <c r="K54" s="3303" t="s">
        <v>2044</v>
      </c>
      <c r="L54" s="3303"/>
      <c r="M54" s="2743">
        <f t="shared" ca="1" si="0"/>
        <v>0</v>
      </c>
      <c r="N54" s="2741" t="str">
        <f t="shared" si="0"/>
        <v>增值额×税（费）率</v>
      </c>
      <c r="O54" s="2745" t="str">
        <f t="shared" si="0"/>
        <v>——</v>
      </c>
    </row>
    <row r="55" spans="1:35" ht="24" customHeight="1">
      <c r="A55" s="3366" t="s">
        <v>2045</v>
      </c>
      <c r="B55" s="3344"/>
      <c r="C55" s="3344"/>
      <c r="D55" s="2543">
        <f ca="1">IF(H55="个人住宅",0,ROUND(D45*I55,0))</f>
        <v>231</v>
      </c>
      <c r="E55" s="2553" t="s">
        <v>2046</v>
      </c>
      <c r="F55" s="2772">
        <f>IF(H55="正常",I55,"免征")</f>
        <v>5.0000000000000001E-4</v>
      </c>
      <c r="G55" s="2773"/>
      <c r="H55" s="2768" t="s">
        <v>3349</v>
      </c>
      <c r="I55" s="170">
        <f>'数据-取费表'!B49</f>
        <v>5.0000000000000001E-4</v>
      </c>
      <c r="J55" s="2741" t="str">
        <f>IF(H59="非个人房产","",4)</f>
        <v/>
      </c>
      <c r="K55" s="3303" t="str">
        <f>IF(H59="非个人房产","——","个人所得税")</f>
        <v>——</v>
      </c>
      <c r="L55" s="3303"/>
      <c r="M55" s="2746" t="str">
        <f>D59</f>
        <v>——</v>
      </c>
      <c r="N55" s="2224" t="str">
        <f>E59</f>
        <v>——</v>
      </c>
      <c r="O55" s="2747" t="str">
        <f>F59</f>
        <v>——</v>
      </c>
    </row>
    <row r="56" spans="1:35" ht="24.75">
      <c r="A56" s="3366" t="s">
        <v>2047</v>
      </c>
      <c r="B56" s="3344"/>
      <c r="C56" s="3344"/>
      <c r="D56" s="2543">
        <f ca="1">IF(H56="个人住宅",D57,D58)</f>
        <v>0</v>
      </c>
      <c r="E56" s="2553" t="s">
        <v>2048</v>
      </c>
      <c r="F56" s="2772" t="str">
        <f>IF(H56="正常",F58,"免征")</f>
        <v>——</v>
      </c>
      <c r="G56" s="2775" t="s">
        <v>2049</v>
      </c>
      <c r="H56" s="2776" t="s">
        <v>3349</v>
      </c>
      <c r="I56" s="1992"/>
      <c r="J56" s="2741" t="str">
        <f>IF(项目基本情况!K6="上海银行",IF(J55="",4,J55+1),"")</f>
        <v/>
      </c>
      <c r="K56" s="3284" t="str">
        <f>IF(项目基本情况!K6="上海银行","其他处置费用","")</f>
        <v/>
      </c>
      <c r="L56" s="3285"/>
      <c r="M56" s="2743" t="str">
        <f>IF(项目基本情况!K6="上海银行",M69,"")</f>
        <v/>
      </c>
      <c r="N56" s="3284" t="str">
        <f>IF(项目基本情况!K6="上海银行","包含处置中涉及的律师、诉讼、拍卖、评估等费用","")</f>
        <v/>
      </c>
      <c r="O56" s="3287"/>
    </row>
    <row r="57" spans="1:35" ht="12.75">
      <c r="A57" s="2554" t="s">
        <v>2025</v>
      </c>
      <c r="B57" s="3327" t="s">
        <v>2050</v>
      </c>
      <c r="C57" s="3328"/>
      <c r="D57" s="1774">
        <v>0</v>
      </c>
      <c r="E57" s="330" t="s">
        <v>2027</v>
      </c>
      <c r="F57" s="308"/>
      <c r="G57" s="2773"/>
      <c r="H57" s="2777"/>
      <c r="I57" s="1992"/>
      <c r="J57" s="3303">
        <f>IF(AND(J55="",J56=""),4,IF(项目基本情况!K6="上海银行",结果表!J56+1,结果表!J55+1))</f>
        <v>4</v>
      </c>
      <c r="K57" s="3303" t="s">
        <v>2051</v>
      </c>
      <c r="L57" s="2748" t="s">
        <v>2052</v>
      </c>
      <c r="M57" s="2749"/>
      <c r="N57" s="2750">
        <f ca="1">SUMIF(M52:M56,"&lt;9e307")</f>
        <v>24453</v>
      </c>
      <c r="O57" s="2751"/>
      <c r="P57" s="2910">
        <f ca="1">N57/M49</f>
        <v>5.2879926474563445E-2</v>
      </c>
    </row>
    <row r="58" spans="1:35" ht="24.75">
      <c r="A58" s="2554" t="s">
        <v>2036</v>
      </c>
      <c r="B58" s="3327" t="s">
        <v>2053</v>
      </c>
      <c r="C58" s="3326"/>
      <c r="D58" s="2543">
        <f ca="1">IF(H58="转让取得",C81,C97)</f>
        <v>0</v>
      </c>
      <c r="E58" s="2553" t="s">
        <v>2048</v>
      </c>
      <c r="F58" s="308" t="s">
        <v>34</v>
      </c>
      <c r="G58" s="2773"/>
      <c r="H58" s="2776" t="s">
        <v>3350</v>
      </c>
      <c r="I58" s="1992"/>
      <c r="J58" s="3303"/>
      <c r="K58" s="3303"/>
      <c r="L58" s="2748" t="s">
        <v>2054</v>
      </c>
      <c r="M58" s="2752"/>
      <c r="N58" s="2753" t="str">
        <f ca="1">NUMBERSTRING(INT(N57*10000),2)&amp;"元整"</f>
        <v>贰亿肆仟肆佰伍拾叁万元整</v>
      </c>
      <c r="O58" s="2754"/>
    </row>
    <row r="59" spans="1:35" ht="24.75" thickBot="1">
      <c r="A59" s="3307" t="s">
        <v>2055</v>
      </c>
      <c r="B59" s="3308"/>
      <c r="C59" s="3308"/>
      <c r="D59" s="2778" t="str">
        <f>IF(H59="非个人房产","——",IF(H59="个人住宅（满五唯一有凭证）",0,IF(H59="个人其他（无凭证）",ROUND(D45*F59,0),ROUND(C67*F59,0))))</f>
        <v>——</v>
      </c>
      <c r="E59" s="2779" t="str">
        <f>IF(H59="非个人房产","——",IF(H59="个人其他（无凭证）","销售额×税（费）率",IF(H59="个人住宅（满五唯一有凭证）","免征","差额计税")))</f>
        <v>——</v>
      </c>
      <c r="F59" s="2780" t="str">
        <f>IF(OR(H59="非个人房产",H59="个人住宅（满五唯一有凭证）"),"——",IF(H59="个人其他（有凭证）",20%,1%))</f>
        <v>——</v>
      </c>
      <c r="G59" s="2781" t="s">
        <v>2049</v>
      </c>
      <c r="H59" s="2528" t="s">
        <v>3351</v>
      </c>
      <c r="I59" s="2527" t="s">
        <v>2839</v>
      </c>
      <c r="J59" s="3305">
        <f>J57+1</f>
        <v>5</v>
      </c>
      <c r="K59" s="3303" t="s">
        <v>2056</v>
      </c>
      <c r="L59" s="2741" t="s">
        <v>2052</v>
      </c>
      <c r="M59" s="2755"/>
      <c r="N59" s="2756">
        <f ca="1">M49-N57</f>
        <v>437972</v>
      </c>
      <c r="O59" s="2757"/>
    </row>
    <row r="60" spans="1:35" ht="12" customHeight="1">
      <c r="A60" s="1993"/>
      <c r="B60" s="1931"/>
      <c r="C60" s="1931"/>
      <c r="D60" s="1931"/>
      <c r="E60" s="1762"/>
      <c r="F60" s="1992"/>
      <c r="G60" s="1992"/>
      <c r="H60" s="1994"/>
      <c r="I60" s="134"/>
      <c r="J60" s="3306"/>
      <c r="K60" s="3303"/>
      <c r="L60" s="2748" t="s">
        <v>2054</v>
      </c>
      <c r="M60" s="2752"/>
      <c r="N60" s="2753" t="str">
        <f ca="1">NUMBERSTRING(INT(N59*10000),2)&amp;"元整"</f>
        <v>肆拾叁亿柒仟玖佰柒拾贰万元整</v>
      </c>
      <c r="O60" s="2754"/>
    </row>
    <row r="61" spans="1:35" ht="13.5" thickBot="1">
      <c r="A61" s="3365" t="s">
        <v>2057</v>
      </c>
      <c r="B61" s="3365"/>
      <c r="C61" s="3365"/>
      <c r="D61" s="3365"/>
      <c r="E61" s="3365"/>
      <c r="F61" s="1992"/>
      <c r="G61" s="1992"/>
      <c r="H61" s="1994"/>
      <c r="I61" s="134"/>
      <c r="J61" s="2741">
        <f>J59+1</f>
        <v>6</v>
      </c>
      <c r="K61" s="3303" t="s">
        <v>2058</v>
      </c>
      <c r="L61" s="3303"/>
      <c r="M61" s="2758"/>
      <c r="N61" s="2759">
        <f ca="1">ROUND(N59*10000/'数据-汇总表'!E3,0)</f>
        <v>33689</v>
      </c>
      <c r="O61" s="2760"/>
    </row>
    <row r="62" spans="1:35" ht="12.75">
      <c r="A62" s="3322" t="s">
        <v>2059</v>
      </c>
      <c r="B62" s="3323"/>
      <c r="C62" s="2205"/>
      <c r="D62" s="2205" t="s">
        <v>2060</v>
      </c>
      <c r="E62" s="171" t="s">
        <v>2061</v>
      </c>
      <c r="F62" s="1992"/>
      <c r="G62" s="1992"/>
      <c r="H62" s="1994"/>
      <c r="I62" s="134"/>
    </row>
    <row r="63" spans="1:35" ht="12.75">
      <c r="A63" s="178" t="s">
        <v>775</v>
      </c>
      <c r="B63" s="172" t="s">
        <v>2062</v>
      </c>
      <c r="C63" s="2782">
        <f ca="1">ROUND((C64+C65)/(1+'数据-取费表'!C42),0)</f>
        <v>440405</v>
      </c>
      <c r="D63" s="172"/>
      <c r="E63" s="173"/>
      <c r="F63" s="1992"/>
      <c r="G63" s="1992"/>
      <c r="H63" s="1994"/>
      <c r="I63" s="134"/>
      <c r="J63" s="3286" t="s">
        <v>2063</v>
      </c>
      <c r="K63" s="1500" t="s">
        <v>2064</v>
      </c>
      <c r="L63" s="1500">
        <f ca="1">IF(M49&gt;10000,M49*0.5%,IF(AND(M49&gt;1000,M49&lt;=10000),M49*1%,IF(AND(M49&gt;100,M49&lt;=1000),M49*3%,IF(AND(M49&gt;10,M49&lt;=100),M49*5%,M49*8%))))</f>
        <v>2312.125</v>
      </c>
      <c r="M63" s="308">
        <f ca="1">ROUND(L63,1)</f>
        <v>2312.1</v>
      </c>
      <c r="N63" s="2761"/>
      <c r="Z63" s="1936"/>
      <c r="AI63" s="1937"/>
    </row>
    <row r="64" spans="1:35" ht="14.25" customHeight="1">
      <c r="A64" s="174" t="s">
        <v>770</v>
      </c>
      <c r="B64" s="175" t="s">
        <v>2065</v>
      </c>
      <c r="C64" s="2783">
        <f ca="1">D45</f>
        <v>462425</v>
      </c>
      <c r="D64" s="175" t="s">
        <v>32</v>
      </c>
      <c r="E64" s="177"/>
      <c r="F64" s="1992"/>
      <c r="G64" s="1992"/>
      <c r="H64" s="1994"/>
      <c r="I64" s="134"/>
      <c r="J64" s="3286"/>
      <c r="K64" s="1500" t="s">
        <v>2066</v>
      </c>
      <c r="L64" s="1500">
        <f ca="1">IF(M49&gt;2000,M49*0.5%,IF(AND(M49&gt;1000,M49&lt;=2000),M49*0.6%,IF(AND(M49&gt;500,M49&lt;=1000),M49*0.7%,IF(AND(M49&gt;200,M49&lt;=500),M49*0.8%,IF(AND(M49&gt;100,M49&lt;=200),M49*0.9%,IF(AND(M49&gt;50,M49&lt;=100),M49*1%,IF(AND(M49&gt;20,M49&lt;=50),M49*1.5%,IF(AND(M49&gt;10,M49&lt;=20),M49*2%,IF(AND(M49&gt;1,M49&lt;=10),M49*2.5%)))))))))</f>
        <v>2312.125</v>
      </c>
      <c r="M64" s="308">
        <f t="shared" ref="M64:M65" ca="1" si="1">ROUND(L64,1)</f>
        <v>2312.1</v>
      </c>
      <c r="N64" s="2762" t="s">
        <v>2067</v>
      </c>
      <c r="Z64" s="1936"/>
      <c r="AI64" s="1937"/>
    </row>
    <row r="65" spans="1:35" ht="14.25" customHeight="1">
      <c r="A65" s="174" t="s">
        <v>771</v>
      </c>
      <c r="B65" s="175" t="s">
        <v>2068</v>
      </c>
      <c r="C65" s="2784"/>
      <c r="D65" s="175"/>
      <c r="E65" s="177"/>
      <c r="F65" s="1992"/>
      <c r="G65" s="1992"/>
      <c r="H65" s="1994"/>
      <c r="I65" s="134"/>
      <c r="J65" s="3286"/>
      <c r="K65" s="1500" t="s">
        <v>2069</v>
      </c>
      <c r="L65" s="1500">
        <f ca="1">IF(M49&gt;1000,M49*0.1%,IF(AND(M49&gt;500,M49&lt;=1000),M49*0.5%,IF(AND(M49&gt;50,M49&lt;=500),M49*1%,IF(AND(M49&gt;1,M49&lt;=50),M49*1.5%))))</f>
        <v>462.42500000000001</v>
      </c>
      <c r="M65" s="308">
        <f t="shared" ca="1" si="1"/>
        <v>462.4</v>
      </c>
      <c r="N65" s="2762" t="s">
        <v>2067</v>
      </c>
      <c r="Z65" s="1936"/>
      <c r="AI65" s="1937"/>
    </row>
    <row r="66" spans="1:35" ht="14.25" customHeight="1">
      <c r="A66" s="178" t="s">
        <v>772</v>
      </c>
      <c r="B66" s="179" t="s">
        <v>2070</v>
      </c>
      <c r="C66" s="2785"/>
      <c r="D66" s="179" t="s">
        <v>32</v>
      </c>
      <c r="E66" s="1508" t="s">
        <v>1337</v>
      </c>
      <c r="F66" s="1992"/>
      <c r="G66" s="1992"/>
      <c r="H66" s="1994"/>
      <c r="I66" s="134"/>
      <c r="J66" s="3286"/>
      <c r="K66" s="1500" t="s">
        <v>2071</v>
      </c>
      <c r="L66" s="1500">
        <f ca="1">M49*0.5%</f>
        <v>2312.125</v>
      </c>
      <c r="M66" s="308">
        <f ca="1">IF(L66&gt;0.5,0.5,ROUND(L66,0))</f>
        <v>0.5</v>
      </c>
      <c r="N66" s="2762" t="s">
        <v>2072</v>
      </c>
      <c r="Z66" s="1936"/>
      <c r="AI66" s="1937"/>
    </row>
    <row r="67" spans="1:35" ht="14.25" customHeight="1">
      <c r="A67" s="178" t="s">
        <v>773</v>
      </c>
      <c r="B67" s="179" t="s">
        <v>2073</v>
      </c>
      <c r="C67" s="2786">
        <f ca="1">C63-C66</f>
        <v>440405</v>
      </c>
      <c r="D67" s="175" t="s">
        <v>32</v>
      </c>
      <c r="E67" s="177"/>
      <c r="F67" s="1992"/>
      <c r="G67" s="1992"/>
      <c r="H67" s="1994"/>
      <c r="I67" s="134"/>
      <c r="J67" s="3286"/>
      <c r="K67" s="1500" t="s">
        <v>2074</v>
      </c>
      <c r="L67" s="1500">
        <f ca="1">IF(M49&gt;=10000,(8.25+(M49-10000)*0.01%),IF(AND(M49&gt;=8000,M49&lt;10000),(7.85+(M49-8000)*0.02%),IF(AND(M49&gt;=5000,M49&lt;8000),(6.65+(M49-5000)*0.04%),IF(AND(M49&gt;=2000,M49&lt;5000),(4.25+(PM49-2000)*0.08%),IF(AND(M49&gt;=1000,M49&lt;2000),(2.75+(M49-1000)*0.15%),IF(AND(M49&gt;=100,M49&lt;1000),(0.5+(M49-100)*0.25%),IF(AND(M49&gt;0,M49&lt;100),M49*0.5%)))))))</f>
        <v>53.4925</v>
      </c>
      <c r="M67" s="308">
        <f ca="1">ROUND(L67*0.9,1)</f>
        <v>48.1</v>
      </c>
      <c r="N67" s="2761"/>
      <c r="Z67" s="1936"/>
      <c r="AI67" s="1937"/>
    </row>
    <row r="68" spans="1:35" ht="14.25" customHeight="1" thickBot="1">
      <c r="A68" s="181" t="s">
        <v>774</v>
      </c>
      <c r="B68" s="182" t="s">
        <v>2075</v>
      </c>
      <c r="C68" s="2787">
        <f ca="1">IF(C67&lt;=0,0,ROUND(C67*D68,0))</f>
        <v>24222</v>
      </c>
      <c r="D68" s="2788">
        <f>'数据-取费表'!B41</f>
        <v>5.5000000000000007E-2</v>
      </c>
      <c r="E68" s="184"/>
      <c r="F68" s="1992"/>
      <c r="G68" s="1992"/>
      <c r="H68" s="1994"/>
      <c r="I68" s="134"/>
      <c r="J68" s="3286"/>
      <c r="K68" s="1500" t="s">
        <v>2076</v>
      </c>
      <c r="L68" s="1500">
        <f ca="1">IF(M49&gt;10000,M49*0.5%,IF(AND(M49&gt;5000,M49&lt;=10000),M49*1%,IF(AND(M49&gt;1000,M49&lt;=5000),M49*2%,IF(AND(M49&gt;200,M49&lt;=1000),M49*3%,M49*5%))))</f>
        <v>2312.125</v>
      </c>
      <c r="M68" s="308">
        <f ca="1">ROUND(L68,1)</f>
        <v>2312.1</v>
      </c>
      <c r="N68" s="2761"/>
      <c r="Z68" s="1936"/>
      <c r="AI68" s="1937"/>
    </row>
    <row r="69" spans="1:35" s="1956" customFormat="1" ht="16.5" customHeight="1">
      <c r="A69" s="1995"/>
      <c r="B69" s="1996"/>
      <c r="C69" s="1997"/>
      <c r="D69" s="1998"/>
      <c r="E69" s="1999"/>
      <c r="F69" s="1762"/>
      <c r="G69" s="1762"/>
      <c r="H69" s="1761"/>
      <c r="I69" s="1931"/>
      <c r="J69" s="3286"/>
      <c r="K69" s="1500" t="s">
        <v>2077</v>
      </c>
      <c r="L69" s="1500"/>
      <c r="M69" s="308">
        <f ca="1">ROUND(SUM(M63:M68),0)</f>
        <v>7447</v>
      </c>
      <c r="N69" s="2763">
        <f ca="1">M69/M49</f>
        <v>1.6104233118884145E-2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330" t="s">
        <v>2078</v>
      </c>
      <c r="B70" s="3331"/>
      <c r="C70" s="3331"/>
      <c r="D70" s="3331"/>
      <c r="E70" s="3331"/>
      <c r="F70" s="3331"/>
      <c r="G70" s="3331"/>
      <c r="H70" s="3331"/>
      <c r="I70" s="2000"/>
      <c r="J70" s="2911"/>
      <c r="K70" s="2911"/>
      <c r="L70" s="2911"/>
      <c r="M70" s="2911"/>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322" t="s">
        <v>2059</v>
      </c>
      <c r="B71" s="3323"/>
      <c r="C71" s="2205"/>
      <c r="D71" s="2205" t="s">
        <v>2060</v>
      </c>
      <c r="E71" s="185" t="s">
        <v>2061</v>
      </c>
      <c r="F71" s="186"/>
      <c r="G71" s="186"/>
      <c r="H71" s="187"/>
      <c r="I71" s="2004"/>
      <c r="J71" s="2911"/>
      <c r="K71" s="2911"/>
      <c r="L71" s="2911"/>
      <c r="M71" s="2911"/>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2079</v>
      </c>
      <c r="C72" s="2786">
        <f ca="1">ROUND(D45/(1+'数据-取费表'!C42),0)</f>
        <v>440405</v>
      </c>
      <c r="D72" s="175" t="s">
        <v>32</v>
      </c>
      <c r="E72" s="2550"/>
      <c r="F72" s="2549"/>
      <c r="G72" s="2549"/>
      <c r="H72" s="188"/>
      <c r="I72" s="2004"/>
      <c r="J72" s="2911"/>
      <c r="K72" s="2911"/>
      <c r="L72" s="2911"/>
      <c r="M72" s="2911"/>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2080</v>
      </c>
      <c r="C73" s="2786">
        <f ca="1">C74+C78</f>
        <v>2202</v>
      </c>
      <c r="D73" s="175" t="s">
        <v>32</v>
      </c>
      <c r="E73" s="2550"/>
      <c r="F73" s="2549"/>
      <c r="G73" s="2549"/>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2081</v>
      </c>
      <c r="C74" s="175">
        <f>ROUND(IF(G77="2016年5月1日后购买",C75/(1+'数据-取费表'!C42)+C76+C77,C75+C76+C77),0)</f>
        <v>0</v>
      </c>
      <c r="D74" s="175" t="s">
        <v>32</v>
      </c>
      <c r="E74" s="2550"/>
      <c r="F74" s="2549"/>
      <c r="G74" s="2549"/>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2082</v>
      </c>
      <c r="C75" s="2789"/>
      <c r="D75" s="175" t="s">
        <v>32</v>
      </c>
      <c r="E75" s="190" t="s">
        <v>2083</v>
      </c>
      <c r="F75" s="2790"/>
      <c r="G75" s="190" t="s">
        <v>2084</v>
      </c>
      <c r="H75" s="2791"/>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2085</v>
      </c>
      <c r="C76" s="175">
        <f>IF(F75="购房发票",ROUND(C75*H75*D76,0),0)</f>
        <v>0</v>
      </c>
      <c r="D76" s="2792">
        <v>0.05</v>
      </c>
      <c r="E76" s="3327" t="s">
        <v>2086</v>
      </c>
      <c r="F76" s="3326"/>
      <c r="G76" s="3326"/>
      <c r="H76" s="3329"/>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2087</v>
      </c>
      <c r="C77" s="175">
        <f>ROUND(IF(G77="个人住宅",0,IF(G77="2016年5月1日前购买",C75*D77,C75*D77/(1+'数据-取费表'!C42))),0)</f>
        <v>0</v>
      </c>
      <c r="D77" s="2793">
        <f>'数据-取费表'!B48+'数据-取费表'!B49</f>
        <v>3.0499999999999999E-2</v>
      </c>
      <c r="E77" s="2543" t="s">
        <v>2088</v>
      </c>
      <c r="F77" s="192"/>
      <c r="G77" s="2006"/>
      <c r="H77" s="2551"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2089</v>
      </c>
      <c r="C78" s="2794">
        <f ca="1">ROUND(D45*D78/(1+'数据-取费表'!C42),0)</f>
        <v>2202</v>
      </c>
      <c r="D78" s="2795">
        <f>'数据-取费表'!B43</f>
        <v>5.000000000000001E-3</v>
      </c>
      <c r="E78" s="3319" t="s">
        <v>2090</v>
      </c>
      <c r="F78" s="3320"/>
      <c r="G78" s="3320"/>
      <c r="H78" s="3321"/>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2091</v>
      </c>
      <c r="C79" s="2786">
        <f ca="1">C72-C73</f>
        <v>438203</v>
      </c>
      <c r="D79" s="175" t="s">
        <v>32</v>
      </c>
      <c r="E79" s="2550"/>
      <c r="F79" s="2549"/>
      <c r="G79" s="2549"/>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2092</v>
      </c>
      <c r="C80" s="2796">
        <f ca="1">IF(C79&lt;=0,0,C79/C73)</f>
        <v>199.00227066303361</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2093</v>
      </c>
      <c r="C81" s="2797">
        <f ca="1">ROUND(IF(C79&lt;=0,0,IF(C80&gt;=200%,C79*60%-C73*35%,IF(C80&gt;=100%,C79*50%-C73*15%,IF(C80&gt;=50%,C79*40%-C73*5%,IF(C80&lt;50%,C79*30%,0))))),0)</f>
        <v>262151</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330" t="s">
        <v>2094</v>
      </c>
      <c r="B83" s="3331"/>
      <c r="C83" s="3331"/>
      <c r="D83" s="3331"/>
      <c r="E83" s="3331"/>
      <c r="F83" s="3331"/>
      <c r="G83" s="3331"/>
      <c r="H83" s="3331"/>
      <c r="I83" s="2005"/>
      <c r="J83" s="2002"/>
      <c r="K83" s="3174"/>
      <c r="L83" s="3175" t="s">
        <v>3354</v>
      </c>
      <c r="M83" s="3175" t="s">
        <v>3355</v>
      </c>
      <c r="N83" s="3174"/>
      <c r="O83" s="3175" t="s">
        <v>3356</v>
      </c>
      <c r="P83" s="3175" t="s">
        <v>3357</v>
      </c>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322" t="s">
        <v>2059</v>
      </c>
      <c r="B84" s="3323"/>
      <c r="C84" s="2205"/>
      <c r="D84" s="2205" t="s">
        <v>2060</v>
      </c>
      <c r="E84" s="185" t="s">
        <v>2061</v>
      </c>
      <c r="F84" s="186"/>
      <c r="G84" s="186"/>
      <c r="H84" s="197"/>
      <c r="I84" s="2005"/>
      <c r="J84" s="2002"/>
      <c r="K84" s="3175" t="s">
        <v>3352</v>
      </c>
      <c r="L84" s="3174">
        <v>574000</v>
      </c>
      <c r="M84" s="3174">
        <v>146035</v>
      </c>
      <c r="N84" s="3174">
        <f>ROUND(L84/M84*10000,0)</f>
        <v>39306</v>
      </c>
      <c r="O84" s="3174">
        <f>'数据-汇总表'!F31</f>
        <v>101252.65000000002</v>
      </c>
      <c r="P84" s="3174">
        <f>ROUND(N84*O84/10000,0)</f>
        <v>397984</v>
      </c>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2079</v>
      </c>
      <c r="C85" s="2786">
        <f ca="1">ROUND(D45/(1+'数据-取费表'!C42),0)</f>
        <v>440405</v>
      </c>
      <c r="D85" s="175" t="s">
        <v>32</v>
      </c>
      <c r="E85" s="2550"/>
      <c r="F85" s="2549"/>
      <c r="G85" s="2549"/>
      <c r="H85" s="198"/>
      <c r="I85" s="2005"/>
      <c r="J85" s="2002"/>
      <c r="K85" s="3175" t="s">
        <v>3353</v>
      </c>
      <c r="L85" s="3174">
        <v>3663</v>
      </c>
      <c r="M85" s="3174">
        <v>25965</v>
      </c>
      <c r="N85" s="3174">
        <f>ROUND(L85/M85*10000,0)</f>
        <v>1411</v>
      </c>
      <c r="O85" s="3174">
        <f>'数据-汇总表'!G27</f>
        <v>28750.120000000003</v>
      </c>
      <c r="P85" s="3174">
        <f>ROUND(N85*O85/10000,0)</f>
        <v>4057</v>
      </c>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2080</v>
      </c>
      <c r="C86" s="2786">
        <f ca="1">IF(H88="仅含出让金",C87+C90+C91+C92+C93+C94,C87+C91+C92+C93+C94)</f>
        <v>650014</v>
      </c>
      <c r="D86" s="2799"/>
      <c r="E86" s="2550"/>
      <c r="F86" s="2549"/>
      <c r="G86" s="2549"/>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2095</v>
      </c>
      <c r="C87" s="2794">
        <f>C88+C89</f>
        <v>414303</v>
      </c>
      <c r="D87" s="2795"/>
      <c r="E87" s="2545"/>
      <c r="F87" s="2546"/>
      <c r="G87" s="2546"/>
      <c r="H87" s="2547"/>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2096</v>
      </c>
      <c r="C88" s="2800">
        <f>P84+P85</f>
        <v>402041</v>
      </c>
      <c r="D88" s="2795"/>
      <c r="E88" s="199" t="s">
        <v>2097</v>
      </c>
      <c r="F88" s="2546"/>
      <c r="G88" s="200" t="s">
        <v>2098</v>
      </c>
      <c r="H88" s="2008" t="s">
        <v>3358</v>
      </c>
      <c r="I88" s="2005"/>
      <c r="J88" s="2739" t="s">
        <v>2990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2087</v>
      </c>
      <c r="C89" s="2794">
        <f>ROUND(C88*D89,0)</f>
        <v>12262</v>
      </c>
      <c r="D89" s="2795">
        <f>'数据-取费表'!B48+'数据-取费表'!B49</f>
        <v>3.0499999999999999E-2</v>
      </c>
      <c r="E89" s="199" t="s">
        <v>2099</v>
      </c>
      <c r="F89" s="2546"/>
      <c r="G89" s="2546"/>
      <c r="H89" s="2547"/>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2100</v>
      </c>
      <c r="C90" s="2800"/>
      <c r="D90" s="2795"/>
      <c r="E90" s="199" t="str">
        <f>IF(H88="-","土地取得成本中已包含该笔费用"," ")</f>
        <v xml:space="preserve"> </v>
      </c>
      <c r="F90" s="2546"/>
      <c r="G90" s="3288" t="s">
        <v>2831</v>
      </c>
      <c r="H90" s="3289"/>
      <c r="I90" s="2005"/>
      <c r="J90" s="2739" t="s">
        <v>2991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2101</v>
      </c>
      <c r="B91" s="175" t="s">
        <v>2102</v>
      </c>
      <c r="C91" s="2794">
        <f ca="1">IF(H91="——",成本法!C33,I91)</f>
        <v>84014</v>
      </c>
      <c r="D91" s="2795"/>
      <c r="E91" s="3319" t="s">
        <v>2103</v>
      </c>
      <c r="F91" s="3320"/>
      <c r="G91" s="3320"/>
      <c r="H91" s="2009" t="s">
        <v>3359</v>
      </c>
      <c r="I91" s="2010">
        <f ca="1">成本法!C33-结果表汇总!C18</f>
        <v>84014</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2104</v>
      </c>
      <c r="B92" s="175" t="s">
        <v>2105</v>
      </c>
      <c r="C92" s="2794">
        <f ca="1">ROUND((C87+C90+C91)*D92,0)</f>
        <v>49832</v>
      </c>
      <c r="D92" s="2801">
        <v>0.1</v>
      </c>
      <c r="E92" s="3319" t="s">
        <v>2106</v>
      </c>
      <c r="F92" s="3320"/>
      <c r="G92" s="3320"/>
      <c r="H92" s="3321"/>
      <c r="I92" s="2005"/>
      <c r="J92" s="2740" t="s">
        <v>2992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2107</v>
      </c>
      <c r="B93" s="175" t="s">
        <v>2089</v>
      </c>
      <c r="C93" s="2794">
        <f ca="1">ROUND(D45*D93/(1+'数据-取费表'!C42),0)</f>
        <v>2202</v>
      </c>
      <c r="D93" s="2795">
        <f>'数据-取费表'!B43</f>
        <v>5.000000000000001E-3</v>
      </c>
      <c r="E93" s="3319" t="s">
        <v>2090</v>
      </c>
      <c r="F93" s="3320"/>
      <c r="G93" s="3320"/>
      <c r="H93" s="3321"/>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2108</v>
      </c>
      <c r="B94" s="175" t="s">
        <v>2109</v>
      </c>
      <c r="C94" s="2800">
        <f ca="1">ROUND((C87+C90+C91)*D94,0)</f>
        <v>99663</v>
      </c>
      <c r="D94" s="2795">
        <v>0.2</v>
      </c>
      <c r="E94" s="3367" t="s">
        <v>2110</v>
      </c>
      <c r="F94" s="3368"/>
      <c r="G94" s="3368"/>
      <c r="H94" s="3369"/>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2091</v>
      </c>
      <c r="C95" s="2786">
        <f ca="1">ROUND(C85-C86,0)</f>
        <v>-209609</v>
      </c>
      <c r="D95" s="175" t="s">
        <v>32</v>
      </c>
      <c r="E95" s="2550"/>
      <c r="F95" s="2549"/>
      <c r="G95" s="2549"/>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2092</v>
      </c>
      <c r="C96" s="2796">
        <f ca="1">IF(C95&lt;=0,0,C95/C86)</f>
        <v>0</v>
      </c>
      <c r="D96" s="175" t="s">
        <v>32</v>
      </c>
      <c r="E96" s="2543" t="str">
        <f ca="1">IF(C96&gt;=200%,"增值额超过扣除项目金额200%",IF(C96&gt;=100%,"增值额超过扣除项目金额100%，未超过200%",IF(C96&gt;=50%,"增值额超过扣除项目金额50%，未超过100%",IF(C96&lt;50%,"增值额未超过扣除项目金额50%"))))</f>
        <v>增值额未超过扣除项目金额50%</v>
      </c>
      <c r="F96" s="2549"/>
      <c r="G96" s="2549"/>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2093</v>
      </c>
      <c r="C97" s="2797">
        <f ca="1">ROUND(IF(C95&lt;=0,0,IF(C96&gt;=200%,C95*60%-C86*35%,IF(C96&gt;=100%,C95*50%-C86*15%,IF(C96&gt;=50%,C95*40%-C86*5%,IF(C96&lt;50%,C95*30%,0))))),0)</f>
        <v>0</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2111</v>
      </c>
      <c r="B99" s="1931"/>
      <c r="C99" s="1931"/>
      <c r="D99" s="1931"/>
      <c r="E99" s="1762"/>
      <c r="F99" s="1762"/>
      <c r="G99" s="1762"/>
      <c r="H99" s="1761"/>
      <c r="I99" s="134"/>
    </row>
    <row r="100" spans="1:35" ht="18.75" customHeight="1">
      <c r="A100" s="3269" t="s">
        <v>2112</v>
      </c>
      <c r="B100" s="3270"/>
      <c r="C100" s="3270"/>
      <c r="D100" s="3304"/>
      <c r="E100" s="3270" t="s">
        <v>2113</v>
      </c>
      <c r="F100" s="3270"/>
      <c r="G100" s="3270"/>
      <c r="H100" s="3304"/>
      <c r="I100" s="134"/>
    </row>
    <row r="101" spans="1:35" ht="18.75" customHeight="1">
      <c r="A101" s="3312" t="s">
        <v>2114</v>
      </c>
      <c r="B101" s="3313"/>
      <c r="C101" s="2803">
        <f>C4</f>
        <v>0</v>
      </c>
      <c r="D101" s="2804">
        <f>D4</f>
        <v>0</v>
      </c>
      <c r="E101" s="3282" t="s">
        <v>2115</v>
      </c>
      <c r="F101" s="3283"/>
      <c r="G101" s="2011" t="s">
        <v>2116</v>
      </c>
      <c r="H101" s="2813" t="e">
        <f ca="1">H118</f>
        <v>#REF!</v>
      </c>
      <c r="I101" s="134"/>
    </row>
    <row r="102" spans="1:35" ht="18.75" customHeight="1">
      <c r="A102" s="3314" t="s">
        <v>2117</v>
      </c>
      <c r="B102" s="2802" t="s">
        <v>2116</v>
      </c>
      <c r="C102" s="2803" t="e">
        <f ca="1">C19</f>
        <v>#REF!</v>
      </c>
      <c r="D102" s="2804" t="e">
        <f ca="1">D19</f>
        <v>#REF!</v>
      </c>
      <c r="E102" s="3282"/>
      <c r="F102" s="3283"/>
      <c r="G102" s="2011" t="s">
        <v>2118</v>
      </c>
      <c r="H102" s="2773" t="e">
        <f ca="1">I118</f>
        <v>#REF!</v>
      </c>
      <c r="I102" s="134"/>
    </row>
    <row r="103" spans="1:35" ht="42.75" customHeight="1">
      <c r="A103" s="3314"/>
      <c r="B103" s="2802" t="s">
        <v>2118</v>
      </c>
      <c r="C103" s="2805" t="e">
        <f ca="1">C20</f>
        <v>#REF!</v>
      </c>
      <c r="D103" s="2806" t="e">
        <f ca="1">D20</f>
        <v>#REF!</v>
      </c>
      <c r="E103" s="3275" t="s">
        <v>2119</v>
      </c>
      <c r="F103" s="3276"/>
      <c r="G103" s="2012" t="s">
        <v>2120</v>
      </c>
      <c r="H103" s="2813">
        <f>IF(D36="正常操作",H104+H105+H106,H105+H106)</f>
        <v>0</v>
      </c>
      <c r="I103" s="134"/>
    </row>
    <row r="104" spans="1:35" ht="18.75" customHeight="1">
      <c r="A104" s="3314" t="s">
        <v>2121</v>
      </c>
      <c r="B104" s="2807" t="s">
        <v>2116</v>
      </c>
      <c r="C104" s="2808" t="e">
        <f ca="1">H118</f>
        <v>#REF!</v>
      </c>
      <c r="D104" s="2809"/>
      <c r="E104" s="1858" t="s">
        <v>2122</v>
      </c>
      <c r="F104" s="1850"/>
      <c r="G104" s="2012" t="s">
        <v>2120</v>
      </c>
      <c r="H104" s="2814">
        <f>IF(D36="同一抵押权人同一抵押物续贷",C36&amp;"（续贷，未扣减，详见特别提示）",C36)</f>
        <v>0</v>
      </c>
      <c r="I104" s="134"/>
    </row>
    <row r="105" spans="1:35" ht="18.75" customHeight="1" thickBot="1">
      <c r="A105" s="3324"/>
      <c r="B105" s="2810" t="s">
        <v>2118</v>
      </c>
      <c r="C105" s="2811" t="e">
        <f ca="1">I118</f>
        <v>#REF!</v>
      </c>
      <c r="D105" s="2812"/>
      <c r="E105" s="1858" t="s">
        <v>2123</v>
      </c>
      <c r="F105" s="1850"/>
      <c r="G105" s="2012" t="s">
        <v>2120</v>
      </c>
      <c r="H105" s="2815">
        <f>C37</f>
        <v>0</v>
      </c>
      <c r="I105" s="134"/>
    </row>
    <row r="106" spans="1:35" ht="18.75" customHeight="1">
      <c r="A106" s="1931" t="s">
        <v>2124</v>
      </c>
      <c r="B106" s="1931"/>
      <c r="C106" s="1931"/>
      <c r="D106" s="1931"/>
      <c r="E106" s="2013" t="s">
        <v>2125</v>
      </c>
      <c r="F106" s="1850"/>
      <c r="G106" s="2012" t="s">
        <v>2120</v>
      </c>
      <c r="H106" s="2815">
        <f>C38</f>
        <v>0</v>
      </c>
      <c r="I106" s="134"/>
    </row>
    <row r="107" spans="1:35" ht="18.75" customHeight="1">
      <c r="A107" s="134"/>
      <c r="B107" s="134"/>
      <c r="C107" s="134"/>
      <c r="D107" s="134"/>
      <c r="E107" s="3315" t="str">
        <f>IF(项目基本情况!E8="已注销","——","3.房地产抵押价值")</f>
        <v>3.房地产抵押价值</v>
      </c>
      <c r="F107" s="3283"/>
      <c r="G107" s="2011" t="s">
        <v>2116</v>
      </c>
      <c r="H107" s="2813" t="e">
        <f ca="1">IF(E107="——","——",H101-H103)</f>
        <v>#REF!</v>
      </c>
      <c r="I107" s="134"/>
    </row>
    <row r="108" spans="1:35" ht="18.75" customHeight="1">
      <c r="A108" s="134"/>
      <c r="B108" s="134"/>
      <c r="C108" s="134"/>
      <c r="D108" s="134"/>
      <c r="E108" s="3315"/>
      <c r="F108" s="3283"/>
      <c r="G108" s="2011" t="s">
        <v>2118</v>
      </c>
      <c r="H108" s="2773" t="e">
        <f ca="1">ROUND(H107*10000/'数据-汇总表'!E3,0)</f>
        <v>#REF!</v>
      </c>
      <c r="I108" s="134"/>
    </row>
    <row r="109" spans="1:35" ht="18.75" customHeight="1">
      <c r="A109" s="134"/>
      <c r="B109" s="134"/>
      <c r="C109" s="134"/>
      <c r="D109" s="134"/>
      <c r="E109" s="3315" t="str">
        <f>IF(项目基本情况!E8="已注销及未注销","4.抵押担保权已注销时的房地产抵押价值",IF(项目基本情况!E8="已注销","3.抵押担保权已注销时的房地产抵押价值","——"))</f>
        <v>——</v>
      </c>
      <c r="F109" s="3283"/>
      <c r="G109" s="2011" t="s">
        <v>2116</v>
      </c>
      <c r="H109" s="2816" t="str">
        <f>IF(E109="——","——",H101-H105-H106)</f>
        <v>——</v>
      </c>
      <c r="I109" s="134"/>
    </row>
    <row r="110" spans="1:35" ht="18.75" customHeight="1">
      <c r="A110" s="134"/>
      <c r="B110" s="134"/>
      <c r="C110" s="134"/>
      <c r="D110" s="134"/>
      <c r="E110" s="3315"/>
      <c r="F110" s="3283"/>
      <c r="G110" s="2011" t="s">
        <v>2118</v>
      </c>
      <c r="H110" s="2773" t="str">
        <f>IF(H109="——","——",ROUND(H109*10000/'数据-汇总表'!E3,0))</f>
        <v>——</v>
      </c>
      <c r="I110" s="134"/>
    </row>
    <row r="111" spans="1:35" ht="18.75" customHeight="1">
      <c r="A111" s="134"/>
      <c r="B111" s="134"/>
      <c r="C111" s="134"/>
      <c r="D111" s="134"/>
      <c r="E111" s="3316" t="str">
        <f>IF(项目基本情况!E9="抵押净值",IF(OR(项目基本情况!E8="已注销",项目基本情况!E8="房地产抵押价值"),"4.抵押净值","5.抵押净值"),"——")</f>
        <v>——</v>
      </c>
      <c r="F111" s="3302"/>
      <c r="G111" s="2011" t="s">
        <v>2116</v>
      </c>
      <c r="H111" s="2813" t="str">
        <f>IF(E111="——","——",N59)</f>
        <v>——</v>
      </c>
      <c r="I111" s="134"/>
    </row>
    <row r="112" spans="1:35" ht="18.75" customHeight="1" thickBot="1">
      <c r="A112" s="134"/>
      <c r="B112" s="134"/>
      <c r="C112" s="134"/>
      <c r="D112" s="134"/>
      <c r="E112" s="3317"/>
      <c r="F112" s="3318"/>
      <c r="G112" s="2014" t="s">
        <v>2118</v>
      </c>
      <c r="H112" s="2817" t="str">
        <f>IF(E111="——","——",N61)</f>
        <v>——</v>
      </c>
      <c r="I112" s="134"/>
    </row>
    <row r="113" spans="1:27" ht="18.75" customHeight="1">
      <c r="A113" s="134"/>
      <c r="B113" s="134"/>
      <c r="C113" s="134"/>
      <c r="D113" s="134"/>
      <c r="E113" s="3325" t="s">
        <v>2124</v>
      </c>
      <c r="F113" s="3325"/>
      <c r="G113" s="3325"/>
      <c r="H113" s="3325"/>
      <c r="I113" s="134"/>
    </row>
    <row r="114" spans="1:27" ht="3.75" customHeight="1">
      <c r="A114" s="1931"/>
      <c r="B114" s="1931"/>
      <c r="C114" s="1931"/>
      <c r="D114" s="1931"/>
      <c r="E114" s="1993"/>
      <c r="F114" s="1993"/>
      <c r="G114" s="1993"/>
      <c r="H114" s="1993"/>
      <c r="I114" s="1931"/>
    </row>
    <row r="115" spans="1:27" ht="18.75" customHeight="1">
      <c r="A115" s="3336" t="s">
        <v>2126</v>
      </c>
      <c r="B115" s="3337"/>
      <c r="C115" s="3337"/>
      <c r="D115" s="3337"/>
      <c r="E115" s="3337"/>
      <c r="F115" s="3337"/>
      <c r="G115" s="3337"/>
      <c r="H115" s="3337"/>
      <c r="I115" s="3338"/>
    </row>
    <row r="116" spans="1:27" ht="27" customHeight="1">
      <c r="A116" s="3290" t="s">
        <v>2127</v>
      </c>
      <c r="B116" s="3294" t="s">
        <v>2128</v>
      </c>
      <c r="C116" s="3294" t="s">
        <v>2129</v>
      </c>
      <c r="D116" s="3300" t="s">
        <v>2130</v>
      </c>
      <c r="E116" s="3301"/>
      <c r="F116" s="3332" t="s">
        <v>2131</v>
      </c>
      <c r="G116" s="3332"/>
      <c r="H116" s="3290" t="s">
        <v>2132</v>
      </c>
      <c r="I116" s="3290"/>
    </row>
    <row r="117" spans="1:27" ht="18.75" customHeight="1">
      <c r="A117" s="3290"/>
      <c r="B117" s="3295"/>
      <c r="C117" s="3295"/>
      <c r="D117" s="2548" t="s">
        <v>2133</v>
      </c>
      <c r="E117" s="2548" t="s">
        <v>2134</v>
      </c>
      <c r="F117" s="2548" t="s">
        <v>2133</v>
      </c>
      <c r="G117" s="2548" t="s">
        <v>2135</v>
      </c>
      <c r="H117" s="2548" t="s">
        <v>2133</v>
      </c>
      <c r="I117" s="2548" t="s">
        <v>2135</v>
      </c>
    </row>
    <row r="118" spans="1:27" ht="24.75" customHeight="1">
      <c r="A118" s="2818" t="str">
        <f>项目基本情况!S2</f>
        <v>北京市大兴区旧宫镇DX07-0201-0006、0007地块R2二类居住用地住宅（自持）用房房地产房地产</v>
      </c>
      <c r="B118" s="2548">
        <f>M18</f>
        <v>130002.77000000002</v>
      </c>
      <c r="C118" s="2548">
        <f>M19</f>
        <v>37742.35</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290" t="s">
        <v>2136</v>
      </c>
      <c r="B119" s="3290"/>
      <c r="C119" s="3290"/>
      <c r="D119" s="3296" t="e">
        <f ca="1">NUMBERSTRING(INT(D118*10000),2)&amp;"元整"</f>
        <v>#REF!</v>
      </c>
      <c r="E119" s="3297"/>
      <c r="F119" s="3296" t="e">
        <f ca="1">NUMBERSTRING(INT(F118*10000),2)&amp;"元整"</f>
        <v>#REF!</v>
      </c>
      <c r="G119" s="3297"/>
      <c r="H119" s="3296" t="e">
        <f ca="1">NUMBERSTRING(INT(H118*10000),2)&amp;"元整"</f>
        <v>#REF!</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333" t="s">
        <v>2136</v>
      </c>
      <c r="B121" s="3334"/>
      <c r="C121" s="3335"/>
      <c r="D121" s="3296" t="str">
        <f>IF(D120=0,"零元整",NUMBERSTRING(INT(D120*10000),2)&amp;"元整")</f>
        <v>零元整</v>
      </c>
      <c r="E121" s="3298"/>
      <c r="F121" s="3298"/>
      <c r="G121" s="3298"/>
      <c r="H121" s="3298"/>
      <c r="I121" s="3297"/>
      <c r="AA121" s="734"/>
    </row>
    <row r="122" spans="1:27" ht="18.75" customHeight="1">
      <c r="A122" s="3302" t="str">
        <f>IF(项目基本情况!B9="房地产市场价值","",MID(E107,3,LEN(E107)-2))</f>
        <v>房地产抵押价值</v>
      </c>
      <c r="B122" s="3302"/>
      <c r="C122" s="3302"/>
      <c r="D122" s="3291" t="e">
        <f ca="1">H107</f>
        <v>#REF!</v>
      </c>
      <c r="E122" s="3292"/>
      <c r="F122" s="3292"/>
      <c r="G122" s="3292"/>
      <c r="H122" s="3292"/>
      <c r="I122" s="3293"/>
      <c r="AA122" s="734"/>
    </row>
    <row r="123" spans="1:27" ht="18.75" customHeight="1">
      <c r="A123" s="3290" t="s">
        <v>2136</v>
      </c>
      <c r="B123" s="3290"/>
      <c r="C123" s="3290"/>
      <c r="D123" s="3296" t="e">
        <f ca="1">NUMBERSTRING(INT(D122*10000),2)&amp;"元整"</f>
        <v>#REF!</v>
      </c>
      <c r="E123" s="3298"/>
      <c r="F123" s="3298"/>
      <c r="G123" s="3298"/>
      <c r="H123" s="3298"/>
      <c r="I123" s="3297"/>
      <c r="AA123" s="734"/>
    </row>
    <row r="124" spans="1:27" ht="18.75" customHeight="1">
      <c r="A124" s="3302" t="str">
        <f>IF(项目基本情况!B9="房地产市场价值","",MID(E109,3,LEN(E109)-2))</f>
        <v/>
      </c>
      <c r="B124" s="3302"/>
      <c r="C124" s="3302"/>
      <c r="D124" s="3291" t="str">
        <f>H109</f>
        <v>——</v>
      </c>
      <c r="E124" s="3292"/>
      <c r="F124" s="3292"/>
      <c r="G124" s="3292"/>
      <c r="H124" s="3292"/>
      <c r="I124" s="3293"/>
      <c r="AA124" s="734"/>
    </row>
    <row r="125" spans="1:27" ht="18.75" customHeight="1">
      <c r="A125" s="3290" t="s">
        <v>2136</v>
      </c>
      <c r="B125" s="3290"/>
      <c r="C125" s="3290"/>
      <c r="D125" s="3296" t="e">
        <f>NUMBERSTRING(INT(D124*10000),2)&amp;"元整"</f>
        <v>#VALUE!</v>
      </c>
      <c r="E125" s="3298"/>
      <c r="F125" s="3298"/>
      <c r="G125" s="3298"/>
      <c r="H125" s="3298"/>
      <c r="I125" s="3297"/>
      <c r="AA125" s="734"/>
    </row>
    <row r="126" spans="1:27" ht="18.75" customHeight="1">
      <c r="A126" s="3302" t="str">
        <f>IF(项目基本情况!B9="房地产市场价值","",MID(E111,3,LEN(E111)-2))</f>
        <v/>
      </c>
      <c r="B126" s="3302"/>
      <c r="C126" s="3302"/>
      <c r="D126" s="3291" t="str">
        <f>H111</f>
        <v>——</v>
      </c>
      <c r="E126" s="3292"/>
      <c r="F126" s="3292"/>
      <c r="G126" s="3292"/>
      <c r="H126" s="3292"/>
      <c r="I126" s="3293"/>
      <c r="AA126" s="734"/>
    </row>
    <row r="127" spans="1:27" ht="18.75" customHeight="1">
      <c r="A127" s="3290" t="s">
        <v>2136</v>
      </c>
      <c r="B127" s="3290"/>
      <c r="C127" s="3290"/>
      <c r="D127" s="3296" t="e">
        <f>NUMBERSTRING(INT(D126*10000),2)&amp;"元整"</f>
        <v>#VALUE!</v>
      </c>
      <c r="E127" s="3298"/>
      <c r="F127" s="3298"/>
      <c r="G127" s="3298"/>
      <c r="H127" s="3298"/>
      <c r="I127" s="3297"/>
      <c r="AA127" s="734"/>
    </row>
    <row r="128" spans="1:27" ht="21.75" customHeight="1">
      <c r="A128" s="3299" t="s">
        <v>2137</v>
      </c>
      <c r="B128" s="3299"/>
      <c r="C128" s="3299"/>
      <c r="D128" s="3299"/>
      <c r="E128" s="3299"/>
      <c r="F128" s="3299"/>
      <c r="G128" s="3299"/>
      <c r="H128" s="3299"/>
      <c r="I128" s="3299"/>
      <c r="AA128" s="734"/>
    </row>
    <row r="129" spans="1:35" ht="21.75" customHeight="1">
      <c r="A129" s="2015" t="s">
        <v>2138</v>
      </c>
      <c r="B129" s="2016"/>
      <c r="C129" s="2017" t="s">
        <v>2139</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2140</v>
      </c>
      <c r="G135" s="2032"/>
      <c r="H135" s="2032"/>
      <c r="I135" s="2033" t="s">
        <v>2141</v>
      </c>
    </row>
    <row r="136" spans="1:35" ht="21.75" customHeight="1">
      <c r="A136" s="734"/>
      <c r="B136" s="2034"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2143</v>
      </c>
    </row>
    <row r="139" spans="1:35" ht="21.75" customHeight="1">
      <c r="A139" s="734"/>
      <c r="B139" s="2034" t="s">
        <v>2144</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2143</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29"/>
  <sheetViews>
    <sheetView tabSelected="1" workbookViewId="0">
      <selection activeCell="I21" sqref="I21"/>
    </sheetView>
  </sheetViews>
  <sheetFormatPr defaultRowHeight="13.5"/>
  <cols>
    <col min="2" max="2" width="13" bestFit="1" customWidth="1"/>
    <col min="3" max="3" width="14.125" customWidth="1"/>
  </cols>
  <sheetData>
    <row r="2" spans="2:8">
      <c r="B2" s="3072"/>
      <c r="C2" s="3072" t="s">
        <v>3189</v>
      </c>
      <c r="D2" s="3072" t="s">
        <v>3190</v>
      </c>
      <c r="E2" s="3072" t="s">
        <v>3191</v>
      </c>
    </row>
    <row r="3" spans="2:8">
      <c r="B3" s="3072" t="s">
        <v>3192</v>
      </c>
      <c r="C3" s="3073">
        <v>0.4</v>
      </c>
      <c r="D3" s="3072">
        <f ca="1">成本法!B2</f>
        <v>577695</v>
      </c>
      <c r="E3" s="3372">
        <f ca="1">ROUND(D3*C3+C4*D4,0)</f>
        <v>472550</v>
      </c>
      <c r="G3" s="3177">
        <f ca="1">D3/D4-1</f>
        <v>0.43543434005105208</v>
      </c>
    </row>
    <row r="4" spans="2:8">
      <c r="B4" s="3072" t="s">
        <v>3193</v>
      </c>
      <c r="C4" s="3073">
        <f>1-C3</f>
        <v>0.6</v>
      </c>
      <c r="D4" s="3074">
        <f>[1]现金流量!$A$53</f>
        <v>402453.1</v>
      </c>
      <c r="E4" s="3372"/>
    </row>
    <row r="7" spans="2:8">
      <c r="B7" s="308"/>
      <c r="C7" s="308" t="s">
        <v>3200</v>
      </c>
      <c r="D7" s="308" t="s">
        <v>3201</v>
      </c>
    </row>
    <row r="8" spans="2:8">
      <c r="B8" s="308" t="s">
        <v>3202</v>
      </c>
      <c r="C8" s="308">
        <f>'数据-汇总表'!E3</f>
        <v>130002.77000000002</v>
      </c>
      <c r="D8" s="308">
        <f>C8</f>
        <v>130002.77000000002</v>
      </c>
      <c r="E8" s="3076" t="s">
        <v>3232</v>
      </c>
      <c r="H8" s="3173">
        <f>D4/C8*10000</f>
        <v>30957.271141222602</v>
      </c>
    </row>
    <row r="9" spans="2:8">
      <c r="B9" s="308" t="s">
        <v>3203</v>
      </c>
      <c r="C9" s="308">
        <f>'数据-汇总表'!D3</f>
        <v>37742.35</v>
      </c>
      <c r="D9" s="308">
        <f>C9</f>
        <v>37742.35</v>
      </c>
    </row>
    <row r="11" spans="2:8" ht="14.25" thickBot="1"/>
    <row r="12" spans="2:8" ht="15">
      <c r="B12" s="1945" t="s">
        <v>3194</v>
      </c>
      <c r="C12" s="1946" t="s">
        <v>3195</v>
      </c>
      <c r="D12" s="141">
        <f ca="1">E3</f>
        <v>472550</v>
      </c>
      <c r="E12" s="1947" t="s">
        <v>3196</v>
      </c>
    </row>
    <row r="13" spans="2:8" ht="15">
      <c r="B13" s="1948"/>
      <c r="C13" s="1157" t="s">
        <v>3197</v>
      </c>
      <c r="D13" s="144">
        <f ca="1">ROUND(E3/C8*10000,0)</f>
        <v>36349</v>
      </c>
      <c r="E13" s="917" t="s">
        <v>3198</v>
      </c>
      <c r="G13">
        <f>0.5*'数据-汇总表'!G27</f>
        <v>14375.060000000001</v>
      </c>
      <c r="H13">
        <f ca="1">(C19-G13)/'数据-汇总表'!F31</f>
        <v>4.4250687759777145</v>
      </c>
    </row>
    <row r="14" spans="2:8" ht="15.75" thickBot="1">
      <c r="B14" s="937"/>
      <c r="C14" s="1949" t="s">
        <v>3199</v>
      </c>
      <c r="D14" s="145">
        <f ca="1">ROUND(D12*10000/C9,0)</f>
        <v>125204</v>
      </c>
      <c r="E14" s="1950" t="s">
        <v>3198</v>
      </c>
    </row>
    <row r="18" spans="2:6">
      <c r="B18" s="3076" t="s">
        <v>3234</v>
      </c>
      <c r="C18">
        <f>ROUND(1000*'数据-基础表'!I5/10000,0)</f>
        <v>10125</v>
      </c>
    </row>
    <row r="19" spans="2:6">
      <c r="B19" s="3076" t="s">
        <v>3235</v>
      </c>
      <c r="C19">
        <f ca="1">E3-C18</f>
        <v>462425</v>
      </c>
      <c r="E19" s="3176">
        <v>459372</v>
      </c>
      <c r="F19">
        <f ca="1">C19-E19</f>
        <v>3053</v>
      </c>
    </row>
    <row r="21" spans="2:6" ht="14.25" thickBot="1"/>
    <row r="22" spans="2:6" ht="14.25" thickTop="1">
      <c r="B22" s="3373" t="s">
        <v>3361</v>
      </c>
      <c r="C22" s="3374"/>
      <c r="D22" s="3377" t="s">
        <v>3363</v>
      </c>
      <c r="E22" s="3377" t="s">
        <v>3364</v>
      </c>
    </row>
    <row r="23" spans="2:6">
      <c r="B23" s="3375" t="s">
        <v>3362</v>
      </c>
      <c r="C23" s="3376"/>
      <c r="D23" s="3378"/>
      <c r="E23" s="3378"/>
    </row>
    <row r="24" spans="2:6">
      <c r="B24" s="3379" t="s">
        <v>3365</v>
      </c>
      <c r="C24" s="3178" t="s">
        <v>3366</v>
      </c>
      <c r="D24" s="3181">
        <f ca="1">D3</f>
        <v>577695</v>
      </c>
      <c r="E24" s="3182">
        <f>D4</f>
        <v>402453.1</v>
      </c>
    </row>
    <row r="25" spans="2:6">
      <c r="B25" s="3378"/>
      <c r="C25" s="3178" t="s">
        <v>3367</v>
      </c>
      <c r="D25" s="3181">
        <f ca="1">ROUND(D24/'数据-基础表'!B3*10000,0)</f>
        <v>44437</v>
      </c>
      <c r="E25" s="3181">
        <f>ROUND(E24/'数据-基础表'!B3*10000,0)</f>
        <v>30957</v>
      </c>
    </row>
    <row r="26" spans="2:6">
      <c r="B26" s="3379" t="s">
        <v>3368</v>
      </c>
      <c r="C26" s="3178" t="s">
        <v>3366</v>
      </c>
      <c r="D26" s="3380">
        <f ca="1">E3</f>
        <v>472550</v>
      </c>
      <c r="E26" s="3381"/>
    </row>
    <row r="27" spans="2:6">
      <c r="B27" s="3378"/>
      <c r="C27" s="3178" t="s">
        <v>3367</v>
      </c>
      <c r="D27" s="3380">
        <f ca="1">ROUND(D26/'数据-基础表'!B3*10000,0)</f>
        <v>36349</v>
      </c>
      <c r="E27" s="3381"/>
    </row>
    <row r="28" spans="2:6" ht="26.25" thickBot="1">
      <c r="B28" s="3179" t="s">
        <v>3369</v>
      </c>
      <c r="C28" s="3180" t="s">
        <v>3366</v>
      </c>
      <c r="D28" s="3382">
        <f ca="1">D26-C18</f>
        <v>462425</v>
      </c>
      <c r="E28" s="3383"/>
    </row>
    <row r="29" spans="2:6" ht="14.25" thickTop="1"/>
  </sheetData>
  <mergeCells count="10">
    <mergeCell ref="B24:B25"/>
    <mergeCell ref="B26:B27"/>
    <mergeCell ref="D26:E26"/>
    <mergeCell ref="D27:E27"/>
    <mergeCell ref="D28:E28"/>
    <mergeCell ref="E3:E4"/>
    <mergeCell ref="B22:C22"/>
    <mergeCell ref="B23:C23"/>
    <mergeCell ref="D22:D23"/>
    <mergeCell ref="E22:E23"/>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83" t="str">
        <f>项目基本情况!B1</f>
        <v>北京市大兴区旧宫镇DX07-0201-0006、0007地块R2二类居住用地住宅（自持）用房房地产房地产抵押价值预评估</v>
      </c>
      <c r="C37" s="3183"/>
      <c r="D37" s="3183"/>
      <c r="E37" s="3183"/>
      <c r="F37" s="3183"/>
      <c r="G37" s="3183"/>
      <c r="H37" s="3183"/>
      <c r="I37" s="3183"/>
    </row>
    <row r="38" spans="1:9">
      <c r="A38" s="953"/>
      <c r="B38" s="953"/>
    </row>
    <row r="39" spans="1:9">
      <c r="A39" s="951" t="s">
        <v>818</v>
      </c>
      <c r="B39" s="951" t="s">
        <v>820</v>
      </c>
    </row>
    <row r="40" spans="1:9">
      <c r="A40" s="951"/>
      <c r="B40" s="1658" t="str">
        <f>项目基本情况!B5</f>
        <v>中国建设银行股份有限公司北京城建支行</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6" zoomScale="85" zoomScaleNormal="60" zoomScaleSheetLayoutView="85" workbookViewId="0">
      <selection activeCell="F66" sqref="F66"/>
    </sheetView>
  </sheetViews>
  <sheetFormatPr defaultColWidth="9" defaultRowHeight="14.25"/>
  <cols>
    <col min="1" max="1" width="14.375" style="363" customWidth="1"/>
    <col min="2" max="2" width="15.75" style="363" customWidth="1"/>
    <col min="3" max="3" width="1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2525</v>
      </c>
      <c r="B1" s="355"/>
      <c r="C1" s="356" t="s">
        <v>2526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323682</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24898</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2426</v>
      </c>
      <c r="B4" s="362"/>
      <c r="C4" s="3402" t="s">
        <v>2427</v>
      </c>
      <c r="D4" s="3403"/>
      <c r="E4" s="3404" t="s">
        <v>2428</v>
      </c>
      <c r="F4" s="3405"/>
      <c r="G4" s="3402" t="s">
        <v>2429</v>
      </c>
      <c r="H4" s="3403"/>
      <c r="I4" s="3402" t="s">
        <v>2430</v>
      </c>
      <c r="J4" s="3403"/>
      <c r="K4" s="567" t="s">
        <v>2431</v>
      </c>
      <c r="L4" s="2935"/>
      <c r="M4" s="2936"/>
      <c r="N4" s="2936"/>
      <c r="O4" s="2936"/>
      <c r="P4" s="3406" t="s">
        <v>2432</v>
      </c>
      <c r="Q4" s="3407"/>
      <c r="R4" s="3389" t="s">
        <v>2428</v>
      </c>
      <c r="S4" s="3390"/>
      <c r="T4" s="3389" t="s">
        <v>2429</v>
      </c>
      <c r="U4" s="3390"/>
      <c r="V4" s="3414" t="s">
        <v>2430</v>
      </c>
      <c r="W4" s="3414"/>
      <c r="X4" s="1538"/>
      <c r="Y4" s="3389" t="s">
        <v>2432</v>
      </c>
      <c r="Z4" s="3390"/>
      <c r="AA4" s="3384" t="s">
        <v>2428</v>
      </c>
      <c r="AB4" s="3385" t="s">
        <v>2429</v>
      </c>
      <c r="AC4" s="3384" t="s">
        <v>2430</v>
      </c>
    </row>
    <row r="5" spans="1:30" ht="59.25" customHeight="1">
      <c r="A5" s="364"/>
      <c r="B5" s="365"/>
      <c r="C5" s="3395" t="s">
        <v>2323</v>
      </c>
      <c r="D5" s="3396"/>
      <c r="E5" s="3393" t="str">
        <f>土地案例!A5</f>
        <v>北京市大兴区西红门镇B1-05-(3)地块R2二类居住用地</v>
      </c>
      <c r="F5" s="3394"/>
      <c r="G5" s="3395" t="str">
        <f>土地案例!A3</f>
        <v>北京经济技术开发区河西区X46R1、X46R2地块R2二类居住用地、A334托幼用地国有建设用地</v>
      </c>
      <c r="H5" s="3396"/>
      <c r="I5" s="3395" t="str">
        <f>土地案例!A6</f>
        <v>北京市大兴区西红门镇B1-05-(2)地块R2二类居住用地、B2-02地块S4社会停车场用地</v>
      </c>
      <c r="J5" s="3396"/>
      <c r="K5" s="567"/>
      <c r="L5" s="2935"/>
      <c r="M5" s="2936"/>
      <c r="N5" s="2936"/>
      <c r="O5" s="2936"/>
      <c r="P5" s="3408"/>
      <c r="Q5" s="3409"/>
      <c r="R5" s="3391"/>
      <c r="S5" s="3392"/>
      <c r="T5" s="3391"/>
      <c r="U5" s="3392"/>
      <c r="V5" s="3414"/>
      <c r="W5" s="3414"/>
      <c r="X5" s="1538"/>
      <c r="Y5" s="3391"/>
      <c r="Z5" s="3392"/>
      <c r="AA5" s="3385"/>
      <c r="AB5" s="3385"/>
      <c r="AC5" s="3385"/>
    </row>
    <row r="6" spans="1:30" ht="15.75" thickBot="1">
      <c r="A6" s="366"/>
      <c r="B6" s="367"/>
      <c r="C6" s="3397" t="s">
        <v>2327</v>
      </c>
      <c r="D6" s="3398"/>
      <c r="E6" s="3399" t="s">
        <v>2327</v>
      </c>
      <c r="F6" s="3400"/>
      <c r="G6" s="3397" t="s">
        <v>2327</v>
      </c>
      <c r="H6" s="3398"/>
      <c r="I6" s="3397" t="s">
        <v>2327</v>
      </c>
      <c r="J6" s="3398"/>
      <c r="K6" s="567" t="s">
        <v>2328</v>
      </c>
      <c r="L6" s="2935"/>
      <c r="M6" s="2936"/>
      <c r="N6" s="2936"/>
      <c r="O6" s="2936"/>
      <c r="P6" s="3410"/>
      <c r="Q6" s="3411"/>
      <c r="R6" s="3391"/>
      <c r="S6" s="3392"/>
      <c r="T6" s="3412"/>
      <c r="U6" s="3413"/>
      <c r="V6" s="3414"/>
      <c r="W6" s="3414"/>
      <c r="X6" s="1538"/>
      <c r="Y6" s="3412"/>
      <c r="Z6" s="3413"/>
      <c r="AA6" s="3386"/>
      <c r="AB6" s="3386"/>
      <c r="AC6" s="3386"/>
    </row>
    <row r="7" spans="1:30" s="113" customFormat="1" ht="15.75" thickBot="1">
      <c r="A7" s="368" t="s">
        <v>2329</v>
      </c>
      <c r="B7" s="369"/>
      <c r="C7" s="370">
        <f>'数据-取费表'!B2</f>
        <v>44314</v>
      </c>
      <c r="D7" s="371">
        <v>100</v>
      </c>
      <c r="E7" s="372" t="str">
        <f>土地案例!AA5</f>
        <v>2020-04-29</v>
      </c>
      <c r="F7" s="373">
        <f>SUMIF(70:70,YEAR(E7)&amp;"-"&amp;INT((MONTH(E7)+2)/3),71:71)</f>
        <v>96</v>
      </c>
      <c r="G7" s="2156" t="str">
        <f>土地案例!AA3</f>
        <v>2020-08-03</v>
      </c>
      <c r="H7" s="371">
        <f>SUMIF(70:70,YEAR(G7)&amp;"-"&amp;INT((MONTH(G7)+2)/3),71:71)</f>
        <v>97</v>
      </c>
      <c r="I7" s="2156" t="str">
        <f>土地案例!AA6</f>
        <v>2020-04-29</v>
      </c>
      <c r="J7" s="371">
        <f>SUMIF(70:70,YEAR(I7)&amp;"-"&amp;INT((MONTH(I7)+2)/3),71:71)</f>
        <v>96</v>
      </c>
      <c r="K7" s="568"/>
      <c r="L7" s="2937"/>
      <c r="M7" s="2938"/>
      <c r="N7" s="2938"/>
      <c r="O7" s="2938"/>
      <c r="P7" s="3387" t="s">
        <v>2330</v>
      </c>
      <c r="Q7" s="3415"/>
      <c r="R7" s="710" t="s">
        <v>17</v>
      </c>
      <c r="S7" s="711">
        <f t="shared" ref="S7:S15" si="0">F7</f>
        <v>96</v>
      </c>
      <c r="T7" s="710" t="s">
        <v>17</v>
      </c>
      <c r="U7" s="711">
        <f t="shared" ref="U7:U15" si="1">H7</f>
        <v>97</v>
      </c>
      <c r="V7" s="710" t="s">
        <v>17</v>
      </c>
      <c r="W7" s="711">
        <f t="shared" ref="W7:W15" si="2">J7</f>
        <v>96</v>
      </c>
      <c r="X7" s="712"/>
      <c r="Y7" s="3387" t="s">
        <v>2330</v>
      </c>
      <c r="Z7" s="3388"/>
      <c r="AA7" s="713">
        <f>D7/F7</f>
        <v>1.0416666666666667</v>
      </c>
      <c r="AB7" s="713">
        <f>D7/H7</f>
        <v>1.0309278350515463</v>
      </c>
      <c r="AC7" s="713">
        <f>D7/J7</f>
        <v>1.0416666666666667</v>
      </c>
    </row>
    <row r="8" spans="1:30" s="113" customFormat="1" ht="15.75" thickBot="1">
      <c r="A8" s="368" t="s">
        <v>2331</v>
      </c>
      <c r="B8" s="369"/>
      <c r="C8" s="374" t="s">
        <v>2332</v>
      </c>
      <c r="D8" s="371">
        <v>100</v>
      </c>
      <c r="E8" s="374" t="s">
        <v>2332</v>
      </c>
      <c r="F8" s="373">
        <f>SUMIF(73:73,E8,74:74)-SUMIF(73:73,C8,74:74)+100</f>
        <v>100</v>
      </c>
      <c r="G8" s="374" t="s">
        <v>2332</v>
      </c>
      <c r="H8" s="371">
        <f>SUMIF(73:73,G8,74:74)-SUMIF(73:73,C8,74:74)+100</f>
        <v>100</v>
      </c>
      <c r="I8" s="374" t="s">
        <v>2332</v>
      </c>
      <c r="J8" s="371">
        <f>SUMIF(73:73,I8,74:74)-SUMIF(73:73,C8,74:74)+100</f>
        <v>100</v>
      </c>
      <c r="K8" s="568"/>
      <c r="L8" s="2937"/>
      <c r="M8" s="2938"/>
      <c r="N8" s="2938"/>
      <c r="O8" s="2938"/>
      <c r="P8" s="3387" t="s">
        <v>2333</v>
      </c>
      <c r="Q8" s="3388"/>
      <c r="R8" s="710" t="s">
        <v>17</v>
      </c>
      <c r="S8" s="711">
        <f t="shared" si="0"/>
        <v>100</v>
      </c>
      <c r="T8" s="710" t="s">
        <v>17</v>
      </c>
      <c r="U8" s="711">
        <f t="shared" si="1"/>
        <v>100</v>
      </c>
      <c r="V8" s="710" t="s">
        <v>17</v>
      </c>
      <c r="W8" s="711">
        <f t="shared" si="2"/>
        <v>100</v>
      </c>
      <c r="X8" s="712"/>
      <c r="Y8" s="3387" t="s">
        <v>2333</v>
      </c>
      <c r="Z8" s="3388"/>
      <c r="AA8" s="713">
        <f t="shared" ref="AA8:AA45" si="3">D8/F8</f>
        <v>1</v>
      </c>
      <c r="AB8" s="713">
        <f t="shared" ref="AB8:AB45" si="4">D8/H8</f>
        <v>1</v>
      </c>
      <c r="AC8" s="713">
        <f t="shared" ref="AC8:AC45" si="5">D8/J8</f>
        <v>1</v>
      </c>
    </row>
    <row r="9" spans="1:30" s="113" customFormat="1">
      <c r="A9" s="375" t="s">
        <v>2334</v>
      </c>
      <c r="B9" s="67" t="s">
        <v>2335</v>
      </c>
      <c r="C9" s="2159" t="s">
        <v>3158</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37"/>
      <c r="M9" s="2938"/>
      <c r="N9" s="2938"/>
      <c r="O9" s="2992"/>
      <c r="P9" s="3401"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713">
        <f t="shared" si="5"/>
        <v>1</v>
      </c>
    </row>
    <row r="10" spans="1:30" s="386" customFormat="1" ht="27">
      <c r="A10" s="380"/>
      <c r="B10" s="381" t="s">
        <v>2338</v>
      </c>
      <c r="C10" s="391"/>
      <c r="D10" s="132">
        <v>100</v>
      </c>
      <c r="E10" s="424"/>
      <c r="F10" s="132">
        <f>ROUND(100/'数据-取费表'!G16,0)</f>
        <v>101</v>
      </c>
      <c r="G10" s="422"/>
      <c r="H10" s="132">
        <f>ROUND(100/'数据-取费表'!G16,0)</f>
        <v>101</v>
      </c>
      <c r="I10" s="422"/>
      <c r="J10" s="132">
        <f>ROUND(100/'数据-取费表'!G16,0)</f>
        <v>101</v>
      </c>
      <c r="K10" s="628"/>
      <c r="L10" s="2939"/>
      <c r="M10" s="2940"/>
      <c r="N10" s="2940"/>
      <c r="O10" s="2993"/>
      <c r="P10" s="3401"/>
      <c r="Q10" s="1526" t="str">
        <f t="shared" si="6"/>
        <v>土地使用年限（年）</v>
      </c>
      <c r="R10" s="710" t="s">
        <v>17</v>
      </c>
      <c r="S10" s="711">
        <f t="shared" si="0"/>
        <v>101</v>
      </c>
      <c r="T10" s="710" t="s">
        <v>17</v>
      </c>
      <c r="U10" s="711">
        <f t="shared" si="1"/>
        <v>101</v>
      </c>
      <c r="V10" s="710" t="s">
        <v>17</v>
      </c>
      <c r="W10" s="711">
        <f t="shared" si="2"/>
        <v>101</v>
      </c>
      <c r="X10" s="712"/>
      <c r="Y10" s="3348"/>
      <c r="Z10" s="55" t="str">
        <f t="shared" si="7"/>
        <v>土地使用年限（年）</v>
      </c>
      <c r="AA10" s="713">
        <f t="shared" si="3"/>
        <v>0.99009900990099009</v>
      </c>
      <c r="AB10" s="713">
        <f t="shared" si="4"/>
        <v>0.99009900990099009</v>
      </c>
      <c r="AC10" s="713">
        <f t="shared" si="5"/>
        <v>0.99009900990099009</v>
      </c>
    </row>
    <row r="11" spans="1:30" ht="15">
      <c r="A11" s="387"/>
      <c r="B11" s="381" t="s">
        <v>2339</v>
      </c>
      <c r="C11" s="388">
        <f>'数据-汇总表'!I7</f>
        <v>2.2000000000000002</v>
      </c>
      <c r="D11" s="132">
        <v>100</v>
      </c>
      <c r="E11" s="388">
        <v>2.1</v>
      </c>
      <c r="F11" s="132">
        <f>LOOKUP(E11,80:80,81:81)-LOOKUP(C11,80:80,81:81)+100</f>
        <v>100</v>
      </c>
      <c r="G11" s="389">
        <v>2.5</v>
      </c>
      <c r="H11" s="132">
        <f>LOOKUP(G11,80:80,81:81)-LOOKUP(C11,80:80,81:81)+100</f>
        <v>99</v>
      </c>
      <c r="I11" s="388">
        <v>2.1</v>
      </c>
      <c r="J11" s="132">
        <f>LOOKUP(I11,80:80,81:81)-LOOKUP(C11,80:80,81:81)+100</f>
        <v>100</v>
      </c>
      <c r="K11" s="629">
        <v>1</v>
      </c>
      <c r="L11" s="2941" t="s">
        <v>3168</v>
      </c>
      <c r="M11" s="2936"/>
      <c r="N11" s="2936"/>
      <c r="O11" s="2994"/>
      <c r="P11" s="3401"/>
      <c r="Q11" s="1526" t="str">
        <f t="shared" si="6"/>
        <v>容积率</v>
      </c>
      <c r="R11" s="710" t="s">
        <v>17</v>
      </c>
      <c r="S11" s="711">
        <f t="shared" si="0"/>
        <v>100</v>
      </c>
      <c r="T11" s="710" t="s">
        <v>17</v>
      </c>
      <c r="U11" s="711">
        <f t="shared" si="1"/>
        <v>99</v>
      </c>
      <c r="V11" s="710" t="s">
        <v>17</v>
      </c>
      <c r="W11" s="711">
        <f t="shared" si="2"/>
        <v>100</v>
      </c>
      <c r="X11" s="712"/>
      <c r="Y11" s="3348"/>
      <c r="Z11" s="55" t="str">
        <f t="shared" si="7"/>
        <v>容积率</v>
      </c>
      <c r="AA11" s="713">
        <f t="shared" si="3"/>
        <v>1</v>
      </c>
      <c r="AB11" s="713">
        <f t="shared" si="4"/>
        <v>1.0101010101010102</v>
      </c>
      <c r="AC11" s="713">
        <f t="shared" si="5"/>
        <v>1</v>
      </c>
    </row>
    <row r="12" spans="1:30" s="113" customFormat="1" ht="15">
      <c r="A12" s="390"/>
      <c r="B12" s="3059" t="s">
        <v>3133</v>
      </c>
      <c r="C12" s="391" t="s">
        <v>3167</v>
      </c>
      <c r="D12" s="392">
        <v>100</v>
      </c>
      <c r="E12" s="3067" t="s">
        <v>3169</v>
      </c>
      <c r="F12" s="132">
        <f>SUMIF(82:82,E12,83:83)-SUMIF(82:82,C12,83:83)+100</f>
        <v>130</v>
      </c>
      <c r="G12" s="3067" t="s">
        <v>3169</v>
      </c>
      <c r="H12" s="132">
        <f>SUMIF(82:82,G12,83:83)-SUMIF(82:82,C12,83:83)+100</f>
        <v>130</v>
      </c>
      <c r="I12" s="3067" t="s">
        <v>3169</v>
      </c>
      <c r="J12" s="132">
        <f>SUMIF(82:82,I12,83:83)-SUMIF(82:82,C12,83:83)+100</f>
        <v>130</v>
      </c>
      <c r="K12" s="628"/>
      <c r="L12" s="2937"/>
      <c r="M12" s="2938"/>
      <c r="N12" s="2938"/>
      <c r="O12" s="2992"/>
      <c r="P12" s="3401"/>
      <c r="Q12" s="1526" t="str">
        <f t="shared" si="6"/>
        <v>自持</v>
      </c>
      <c r="R12" s="710" t="s">
        <v>17</v>
      </c>
      <c r="S12" s="711">
        <f t="shared" si="0"/>
        <v>130</v>
      </c>
      <c r="T12" s="710" t="s">
        <v>17</v>
      </c>
      <c r="U12" s="711">
        <f t="shared" si="1"/>
        <v>130</v>
      </c>
      <c r="V12" s="710" t="s">
        <v>17</v>
      </c>
      <c r="W12" s="711">
        <f t="shared" si="2"/>
        <v>130</v>
      </c>
      <c r="X12" s="712"/>
      <c r="Y12" s="3348"/>
      <c r="Z12" s="55" t="str">
        <f t="shared" si="7"/>
        <v>自持</v>
      </c>
      <c r="AA12" s="713">
        <f>D12/F12</f>
        <v>0.76923076923076927</v>
      </c>
      <c r="AB12" s="713">
        <f>D12/H12</f>
        <v>0.76923076923076927</v>
      </c>
      <c r="AC12" s="713">
        <f>D12/J12</f>
        <v>0.76923076923076927</v>
      </c>
    </row>
    <row r="13" spans="1:30" ht="15">
      <c r="A13" s="387"/>
      <c r="B13" s="2075"/>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401"/>
      <c r="Q13" s="1526">
        <f t="shared" si="6"/>
        <v>0</v>
      </c>
      <c r="R13" s="710" t="s">
        <v>17</v>
      </c>
      <c r="S13" s="711">
        <f t="shared" si="0"/>
        <v>100</v>
      </c>
      <c r="T13" s="710" t="s">
        <v>17</v>
      </c>
      <c r="U13" s="711">
        <f t="shared" si="1"/>
        <v>100</v>
      </c>
      <c r="V13" s="710" t="s">
        <v>17</v>
      </c>
      <c r="W13" s="711">
        <f t="shared" si="2"/>
        <v>100</v>
      </c>
      <c r="X13" s="712"/>
      <c r="Y13" s="3348"/>
      <c r="Z13" s="55">
        <f t="shared" si="7"/>
        <v>0</v>
      </c>
      <c r="AA13" s="713">
        <f>D13/F13</f>
        <v>1</v>
      </c>
      <c r="AB13" s="713">
        <f>D13/H13</f>
        <v>1</v>
      </c>
      <c r="AC13" s="713">
        <f>D13/J13</f>
        <v>1</v>
      </c>
    </row>
    <row r="14" spans="1:30" ht="15.75" thickBot="1">
      <c r="A14" s="395"/>
      <c r="B14" s="2077"/>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401"/>
      <c r="Q14" s="1526">
        <f t="shared" si="6"/>
        <v>0</v>
      </c>
      <c r="R14" s="710" t="s">
        <v>17</v>
      </c>
      <c r="S14" s="711">
        <f t="shared" si="0"/>
        <v>100</v>
      </c>
      <c r="T14" s="710" t="s">
        <v>17</v>
      </c>
      <c r="U14" s="711">
        <f t="shared" si="1"/>
        <v>100</v>
      </c>
      <c r="V14" s="710" t="s">
        <v>17</v>
      </c>
      <c r="W14" s="711">
        <f t="shared" si="2"/>
        <v>100</v>
      </c>
      <c r="X14" s="712"/>
      <c r="Y14" s="3348"/>
      <c r="Z14" s="55">
        <f t="shared" si="7"/>
        <v>0</v>
      </c>
      <c r="AA14" s="713">
        <f>D14/F14</f>
        <v>1</v>
      </c>
      <c r="AB14" s="713">
        <f>D14/H14</f>
        <v>1</v>
      </c>
      <c r="AC14" s="713">
        <f>D14/J14</f>
        <v>1</v>
      </c>
    </row>
    <row r="15" spans="1:30" ht="103.5" customHeight="1">
      <c r="A15" s="399" t="s">
        <v>2340</v>
      </c>
      <c r="B15" s="65" t="s">
        <v>1942</v>
      </c>
      <c r="C15" s="2078" t="str">
        <f>估价对象房地状况!C15</f>
        <v>估价对象周边居住用地比例较高、居住小区规模和社区发展完善程度，德茂小区、润枫锦尚、有德家苑等住宅项目，综合评价居住社区成熟度较好</v>
      </c>
      <c r="D15" s="400">
        <v>100</v>
      </c>
      <c r="E15" s="401"/>
      <c r="F15" s="400">
        <f>SUMIF(88:88,E16,89:89)-SUMIF(88:88,C16,89:89)+100</f>
        <v>102</v>
      </c>
      <c r="G15" s="3071" t="s">
        <v>3176</v>
      </c>
      <c r="H15" s="400">
        <f>SUMIF(88:88,G16,89:89)-SUMIF(88:88,C16,89:89)+100</f>
        <v>100</v>
      </c>
      <c r="I15" s="403"/>
      <c r="J15" s="400">
        <f>SUMIF(88:88,I16,89:89)-SUMIF(88:88,C16,89:89)+100</f>
        <v>102</v>
      </c>
      <c r="K15" s="629">
        <v>2</v>
      </c>
      <c r="L15" s="2942"/>
      <c r="M15" s="2936"/>
      <c r="N15" s="2936"/>
      <c r="O15" s="2994"/>
      <c r="P15" s="3416" t="s">
        <v>2341</v>
      </c>
      <c r="Q15" s="1535" t="str">
        <f t="shared" si="6"/>
        <v>居住社区成熟度</v>
      </c>
      <c r="R15" s="714" t="s">
        <v>17</v>
      </c>
      <c r="S15" s="715">
        <f t="shared" si="0"/>
        <v>102</v>
      </c>
      <c r="T15" s="714" t="s">
        <v>17</v>
      </c>
      <c r="U15" s="715">
        <f t="shared" si="1"/>
        <v>100</v>
      </c>
      <c r="V15" s="714" t="s">
        <v>17</v>
      </c>
      <c r="W15" s="715">
        <f t="shared" si="2"/>
        <v>102</v>
      </c>
      <c r="X15" s="1538"/>
      <c r="Y15" s="3416" t="s">
        <v>2341</v>
      </c>
      <c r="Z15" s="1539" t="str">
        <f t="shared" si="7"/>
        <v>居住社区成熟度</v>
      </c>
      <c r="AA15" s="1536">
        <f t="shared" si="3"/>
        <v>0.98039215686274506</v>
      </c>
      <c r="AB15" s="1536">
        <f t="shared" si="4"/>
        <v>1</v>
      </c>
      <c r="AC15" s="1536">
        <f t="shared" si="5"/>
        <v>0.98039215686274506</v>
      </c>
    </row>
    <row r="16" spans="1:30" ht="15">
      <c r="A16" s="387"/>
      <c r="B16" s="405"/>
      <c r="C16" s="406" t="s">
        <v>3170</v>
      </c>
      <c r="D16" s="407"/>
      <c r="E16" s="406" t="s">
        <v>3177</v>
      </c>
      <c r="F16" s="407"/>
      <c r="G16" s="406" t="s">
        <v>3170</v>
      </c>
      <c r="H16" s="409"/>
      <c r="I16" s="406" t="s">
        <v>3177</v>
      </c>
      <c r="J16" s="407"/>
      <c r="K16" s="628"/>
      <c r="L16" s="2942"/>
      <c r="M16" s="2936"/>
      <c r="N16" s="2936"/>
      <c r="O16" s="2994"/>
      <c r="P16" s="3417"/>
      <c r="Q16" s="1535"/>
      <c r="R16" s="714"/>
      <c r="S16" s="715"/>
      <c r="T16" s="714"/>
      <c r="U16" s="715"/>
      <c r="V16" s="714"/>
      <c r="W16" s="715"/>
      <c r="X16" s="1538"/>
      <c r="Y16" s="3417"/>
      <c r="Z16" s="1539"/>
      <c r="AA16" s="1536">
        <v>1</v>
      </c>
      <c r="AB16" s="1536">
        <v>1</v>
      </c>
      <c r="AC16" s="1536">
        <v>1</v>
      </c>
    </row>
    <row r="17" spans="1:29" ht="24.75" hidden="1" customHeight="1">
      <c r="A17" s="387"/>
      <c r="B17" s="410" t="s">
        <v>2434</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417"/>
      <c r="Q17" s="1535" t="str">
        <f>B17</f>
        <v>商业繁华度</v>
      </c>
      <c r="R17" s="714" t="s">
        <v>17</v>
      </c>
      <c r="S17" s="715">
        <f>F17</f>
        <v>100</v>
      </c>
      <c r="T17" s="714" t="s">
        <v>17</v>
      </c>
      <c r="U17" s="715">
        <f>H17</f>
        <v>100</v>
      </c>
      <c r="V17" s="714" t="s">
        <v>17</v>
      </c>
      <c r="W17" s="715">
        <f>J17</f>
        <v>100</v>
      </c>
      <c r="X17" s="1538"/>
      <c r="Y17" s="3417"/>
      <c r="Z17" s="1539" t="str">
        <f>Q17</f>
        <v>商业繁华度</v>
      </c>
      <c r="AA17" s="1536">
        <f t="shared" si="3"/>
        <v>1</v>
      </c>
      <c r="AB17" s="1536">
        <f t="shared" si="4"/>
        <v>1</v>
      </c>
      <c r="AC17" s="1536">
        <f t="shared" si="5"/>
        <v>1</v>
      </c>
    </row>
    <row r="18" spans="1:29" ht="15" hidden="1">
      <c r="A18" s="387"/>
      <c r="B18" s="415"/>
      <c r="C18" s="2083"/>
      <c r="D18" s="409"/>
      <c r="E18" s="2085"/>
      <c r="F18" s="409"/>
      <c r="G18" s="2085"/>
      <c r="H18" s="407"/>
      <c r="I18" s="2084"/>
      <c r="J18" s="407"/>
      <c r="K18" s="628"/>
      <c r="L18" s="2942"/>
      <c r="M18" s="2936"/>
      <c r="N18" s="2936"/>
      <c r="O18" s="2994"/>
      <c r="P18" s="3417"/>
      <c r="Q18" s="1535"/>
      <c r="R18" s="714"/>
      <c r="S18" s="715"/>
      <c r="T18" s="714"/>
      <c r="U18" s="715"/>
      <c r="V18" s="714"/>
      <c r="W18" s="715"/>
      <c r="X18" s="1538"/>
      <c r="Y18" s="3417"/>
      <c r="Z18" s="1539"/>
      <c r="AA18" s="1536">
        <v>1</v>
      </c>
      <c r="AB18" s="1536">
        <v>1</v>
      </c>
      <c r="AC18" s="1536">
        <v>1</v>
      </c>
    </row>
    <row r="19" spans="1:29" ht="27.75" hidden="1" customHeight="1">
      <c r="A19" s="387"/>
      <c r="B19" s="410" t="s">
        <v>2468</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417"/>
      <c r="Q19" s="1535" t="str">
        <f>B19</f>
        <v>办公集聚程度</v>
      </c>
      <c r="R19" s="714" t="s">
        <v>17</v>
      </c>
      <c r="S19" s="715">
        <f>F19</f>
        <v>100</v>
      </c>
      <c r="T19" s="714" t="s">
        <v>17</v>
      </c>
      <c r="U19" s="715">
        <f>H19</f>
        <v>100</v>
      </c>
      <c r="V19" s="714" t="s">
        <v>17</v>
      </c>
      <c r="W19" s="715">
        <f>J19</f>
        <v>100</v>
      </c>
      <c r="X19" s="1538"/>
      <c r="Y19" s="3417"/>
      <c r="Z19" s="1539" t="str">
        <f>Q19</f>
        <v>办公集聚程度</v>
      </c>
      <c r="AA19" s="1536">
        <f t="shared" si="3"/>
        <v>1</v>
      </c>
      <c r="AB19" s="1536">
        <f t="shared" si="4"/>
        <v>1</v>
      </c>
      <c r="AC19" s="1536">
        <f t="shared" si="5"/>
        <v>1</v>
      </c>
    </row>
    <row r="20" spans="1:29" ht="15" hidden="1">
      <c r="A20" s="387"/>
      <c r="B20" s="415"/>
      <c r="C20" s="406"/>
      <c r="D20" s="407"/>
      <c r="E20" s="2080"/>
      <c r="F20" s="407"/>
      <c r="G20" s="2080"/>
      <c r="H20" s="407"/>
      <c r="I20" s="2079"/>
      <c r="J20" s="407"/>
      <c r="K20" s="628"/>
      <c r="L20" s="2942"/>
      <c r="M20" s="2936"/>
      <c r="N20" s="2936"/>
      <c r="O20" s="2994"/>
      <c r="P20" s="3417"/>
      <c r="Q20" s="1535"/>
      <c r="R20" s="714"/>
      <c r="S20" s="715"/>
      <c r="T20" s="714"/>
      <c r="U20" s="715"/>
      <c r="V20" s="714"/>
      <c r="W20" s="715"/>
      <c r="X20" s="1538"/>
      <c r="Y20" s="3417"/>
      <c r="Z20" s="1539"/>
      <c r="AA20" s="1536">
        <v>1</v>
      </c>
      <c r="AB20" s="1536">
        <v>1</v>
      </c>
      <c r="AC20" s="1536">
        <v>1</v>
      </c>
    </row>
    <row r="21" spans="1:29" ht="99.75">
      <c r="A21" s="387"/>
      <c r="B21" s="410" t="s">
        <v>2490</v>
      </c>
      <c r="C21" s="2082" t="str">
        <f>估价对象房地状况!C18</f>
        <v>估价对象周边道路状况、公共交通通达情况：341、453、555等公交线路及地铁八号线经过、停车便捷程度较好，综合评价交通便捷度较好</v>
      </c>
      <c r="D21" s="409">
        <v>100</v>
      </c>
      <c r="E21" s="411"/>
      <c r="F21" s="414">
        <f>SUMIF(94:94,E22,95:95)-SUMIF(94:94,C22,95:95)+100</f>
        <v>100</v>
      </c>
      <c r="G21" s="411" t="s">
        <v>3346</v>
      </c>
      <c r="H21" s="409">
        <f>SUMIF(94:94,G22,95:95)-SUMIF(94:94,C22,95:95)+100</f>
        <v>98</v>
      </c>
      <c r="I21" s="413"/>
      <c r="J21" s="409">
        <f>SUMIF(94:94,I22,95:95)-SUMIF(94:94,C22,95:95)+100</f>
        <v>100</v>
      </c>
      <c r="K21" s="629">
        <v>2</v>
      </c>
      <c r="L21" s="2942"/>
      <c r="M21" s="2936"/>
      <c r="N21" s="2936"/>
      <c r="O21" s="2994"/>
      <c r="P21" s="3417"/>
      <c r="Q21" s="1535" t="str">
        <f>B21</f>
        <v>交通便捷度</v>
      </c>
      <c r="R21" s="714" t="s">
        <v>17</v>
      </c>
      <c r="S21" s="715">
        <f>F21</f>
        <v>100</v>
      </c>
      <c r="T21" s="714" t="s">
        <v>17</v>
      </c>
      <c r="U21" s="715">
        <f>H21</f>
        <v>98</v>
      </c>
      <c r="V21" s="714" t="s">
        <v>17</v>
      </c>
      <c r="W21" s="715">
        <f>J21</f>
        <v>100</v>
      </c>
      <c r="X21" s="1538"/>
      <c r="Y21" s="3417"/>
      <c r="Z21" s="1539" t="str">
        <f>Q21</f>
        <v>交通便捷度</v>
      </c>
      <c r="AA21" s="1536">
        <f t="shared" si="3"/>
        <v>1</v>
      </c>
      <c r="AB21" s="1536">
        <f t="shared" si="4"/>
        <v>1.0204081632653061</v>
      </c>
      <c r="AC21" s="1536">
        <f t="shared" si="5"/>
        <v>1</v>
      </c>
    </row>
    <row r="22" spans="1:29" ht="15">
      <c r="A22" s="387"/>
      <c r="B22" s="1293"/>
      <c r="C22" s="406" t="s">
        <v>3177</v>
      </c>
      <c r="D22" s="409"/>
      <c r="E22" s="406" t="s">
        <v>3177</v>
      </c>
      <c r="F22" s="407"/>
      <c r="G22" s="2080" t="s">
        <v>3170</v>
      </c>
      <c r="H22" s="407"/>
      <c r="I22" s="2079" t="s">
        <v>3177</v>
      </c>
      <c r="J22" s="407"/>
      <c r="K22" s="628"/>
      <c r="L22" s="2942"/>
      <c r="M22" s="2936"/>
      <c r="N22" s="2936"/>
      <c r="O22" s="2994"/>
      <c r="P22" s="3417"/>
      <c r="Q22" s="1535"/>
      <c r="R22" s="714"/>
      <c r="S22" s="715"/>
      <c r="T22" s="714"/>
      <c r="U22" s="715"/>
      <c r="V22" s="714"/>
      <c r="W22" s="715"/>
      <c r="X22" s="1538"/>
      <c r="Y22" s="3417"/>
      <c r="Z22" s="1539"/>
      <c r="AA22" s="1536">
        <v>1</v>
      </c>
      <c r="AB22" s="1536">
        <v>1</v>
      </c>
      <c r="AC22" s="1536">
        <v>1</v>
      </c>
    </row>
    <row r="23" spans="1:29" ht="15">
      <c r="A23" s="364"/>
      <c r="B23" s="410" t="s">
        <v>2528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2"/>
      <c r="M23" s="2936"/>
      <c r="N23" s="2936"/>
      <c r="O23" s="2994"/>
      <c r="P23" s="3417"/>
      <c r="Q23" s="1535" t="str">
        <f t="shared" ref="Q23:Q37" si="8">B23</f>
        <v>区域土地利用方向</v>
      </c>
      <c r="R23" s="714" t="s">
        <v>17</v>
      </c>
      <c r="S23" s="715">
        <f>F23</f>
        <v>100</v>
      </c>
      <c r="T23" s="714" t="s">
        <v>17</v>
      </c>
      <c r="U23" s="715">
        <f>H23</f>
        <v>100</v>
      </c>
      <c r="V23" s="714" t="s">
        <v>17</v>
      </c>
      <c r="W23" s="715">
        <f>J23</f>
        <v>100</v>
      </c>
      <c r="X23" s="1538"/>
      <c r="Y23" s="3417"/>
      <c r="Z23" s="1539" t="str">
        <f>Q23</f>
        <v>区域土地利用方向</v>
      </c>
      <c r="AA23" s="1536">
        <f t="shared" si="3"/>
        <v>1</v>
      </c>
      <c r="AB23" s="1536">
        <f t="shared" si="4"/>
        <v>1</v>
      </c>
      <c r="AC23" s="1536">
        <f t="shared" si="5"/>
        <v>1</v>
      </c>
    </row>
    <row r="24" spans="1:29" ht="15">
      <c r="A24" s="364"/>
      <c r="B24" s="415"/>
      <c r="C24" s="573" t="s">
        <v>3177</v>
      </c>
      <c r="D24" s="407"/>
      <c r="E24" s="573" t="s">
        <v>3177</v>
      </c>
      <c r="F24" s="407"/>
      <c r="G24" s="573" t="s">
        <v>3177</v>
      </c>
      <c r="H24" s="407"/>
      <c r="I24" s="573" t="s">
        <v>3177</v>
      </c>
      <c r="J24" s="407"/>
      <c r="K24" s="751"/>
      <c r="L24" s="2942"/>
      <c r="M24" s="2936"/>
      <c r="N24" s="2936"/>
      <c r="O24" s="2994"/>
      <c r="P24" s="3417"/>
      <c r="Q24" s="1535"/>
      <c r="R24" s="714"/>
      <c r="S24" s="715"/>
      <c r="T24" s="714"/>
      <c r="U24" s="715"/>
      <c r="V24" s="714"/>
      <c r="W24" s="715"/>
      <c r="X24" s="1538"/>
      <c r="Y24" s="3417"/>
      <c r="Z24" s="1539"/>
      <c r="AA24" s="1536"/>
      <c r="AB24" s="1536"/>
      <c r="AC24" s="1536"/>
    </row>
    <row r="25" spans="1:29" ht="71.25">
      <c r="A25" s="364"/>
      <c r="B25" s="1293" t="s">
        <v>2529</v>
      </c>
      <c r="C25" s="2137" t="str">
        <f>估价对象房地状况!C20</f>
        <v>区域自然环境：南海子公园、旧宫公园、市民公园；人文环境；综合评价环境状况一般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2"/>
      <c r="M25" s="2936"/>
      <c r="N25" s="2936"/>
      <c r="O25" s="2994"/>
      <c r="P25" s="3417"/>
      <c r="Q25" s="1535" t="str">
        <f t="shared" si="8"/>
        <v>自然及人文环境状况</v>
      </c>
      <c r="R25" s="714" t="s">
        <v>17</v>
      </c>
      <c r="S25" s="715">
        <f>F25</f>
        <v>100</v>
      </c>
      <c r="T25" s="714" t="s">
        <v>17</v>
      </c>
      <c r="U25" s="715">
        <f>H25</f>
        <v>98</v>
      </c>
      <c r="V25" s="714" t="s">
        <v>17</v>
      </c>
      <c r="W25" s="715">
        <f>J25</f>
        <v>100</v>
      </c>
      <c r="X25" s="1538"/>
      <c r="Y25" s="3417"/>
      <c r="Z25" s="1539" t="str">
        <f>Q25</f>
        <v>自然及人文环境状况</v>
      </c>
      <c r="AA25" s="1536">
        <f t="shared" si="3"/>
        <v>1</v>
      </c>
      <c r="AB25" s="1536">
        <f t="shared" si="4"/>
        <v>1.0204081632653061</v>
      </c>
      <c r="AC25" s="1536">
        <f t="shared" si="5"/>
        <v>1</v>
      </c>
    </row>
    <row r="26" spans="1:29" ht="15">
      <c r="A26" s="364"/>
      <c r="B26" s="415"/>
      <c r="C26" s="406" t="s">
        <v>3170</v>
      </c>
      <c r="D26" s="407"/>
      <c r="E26" s="406" t="s">
        <v>3170</v>
      </c>
      <c r="F26" s="407"/>
      <c r="G26" s="406" t="s">
        <v>3224</v>
      </c>
      <c r="H26" s="407"/>
      <c r="I26" s="406" t="s">
        <v>3170</v>
      </c>
      <c r="J26" s="407"/>
      <c r="K26" s="628"/>
      <c r="L26" s="2942"/>
      <c r="M26" s="2936"/>
      <c r="N26" s="2936"/>
      <c r="O26" s="2994"/>
      <c r="P26" s="3417"/>
      <c r="Q26" s="1535"/>
      <c r="R26" s="714"/>
      <c r="S26" s="715"/>
      <c r="T26" s="714"/>
      <c r="U26" s="715"/>
      <c r="V26" s="714"/>
      <c r="W26" s="715"/>
      <c r="X26" s="1538"/>
      <c r="Y26" s="3417"/>
      <c r="Z26" s="1539"/>
      <c r="AA26" s="1536">
        <v>1</v>
      </c>
      <c r="AB26" s="1536">
        <v>1</v>
      </c>
      <c r="AC26" s="1536">
        <v>1</v>
      </c>
    </row>
    <row r="27" spans="1:29" s="113" customFormat="1" ht="42.75">
      <c r="A27" s="605"/>
      <c r="B27" s="1293" t="s">
        <v>2435</v>
      </c>
      <c r="C27" s="2082"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7"/>
      <c r="M27" s="2938"/>
      <c r="N27" s="2938"/>
      <c r="O27" s="2992"/>
      <c r="P27" s="3417"/>
      <c r="Q27" s="1526" t="str">
        <f t="shared" si="8"/>
        <v>公共配套设施</v>
      </c>
      <c r="R27" s="710" t="s">
        <v>17</v>
      </c>
      <c r="S27" s="711">
        <f>F27</f>
        <v>100</v>
      </c>
      <c r="T27" s="710" t="s">
        <v>17</v>
      </c>
      <c r="U27" s="711">
        <f>H27</f>
        <v>100</v>
      </c>
      <c r="V27" s="710" t="s">
        <v>17</v>
      </c>
      <c r="W27" s="711">
        <f>J27</f>
        <v>100</v>
      </c>
      <c r="X27" s="712"/>
      <c r="Y27" s="3417"/>
      <c r="Z27" s="55" t="str">
        <f>Q27</f>
        <v>公共配套设施</v>
      </c>
      <c r="AA27" s="1536">
        <f>D27/F27</f>
        <v>1</v>
      </c>
      <c r="AB27" s="1536">
        <f>D27/H27</f>
        <v>1</v>
      </c>
      <c r="AC27" s="1536">
        <f>D27/J27</f>
        <v>1</v>
      </c>
    </row>
    <row r="28" spans="1:29" s="113" customFormat="1" ht="15">
      <c r="A28" s="605"/>
      <c r="B28" s="415"/>
      <c r="C28" s="2160" t="s">
        <v>3170</v>
      </c>
      <c r="D28" s="407"/>
      <c r="E28" s="2160" t="s">
        <v>3170</v>
      </c>
      <c r="F28" s="407"/>
      <c r="G28" s="2160" t="s">
        <v>3170</v>
      </c>
      <c r="H28" s="407"/>
      <c r="I28" s="2160" t="s">
        <v>3170</v>
      </c>
      <c r="J28" s="407"/>
      <c r="K28" s="628"/>
      <c r="L28" s="2937"/>
      <c r="M28" s="2938"/>
      <c r="N28" s="2938"/>
      <c r="O28" s="2992"/>
      <c r="P28" s="3417"/>
      <c r="Q28" s="1526"/>
      <c r="R28" s="710"/>
      <c r="S28" s="711"/>
      <c r="T28" s="710"/>
      <c r="U28" s="711"/>
      <c r="V28" s="710"/>
      <c r="W28" s="711"/>
      <c r="X28" s="712"/>
      <c r="Y28" s="3417"/>
      <c r="Z28" s="55"/>
      <c r="AA28" s="1536">
        <v>1</v>
      </c>
      <c r="AB28" s="1536">
        <v>1</v>
      </c>
      <c r="AC28" s="1536">
        <v>1</v>
      </c>
    </row>
    <row r="29" spans="1:29" s="113" customFormat="1" ht="28.5">
      <c r="A29" s="605"/>
      <c r="B29" s="1293" t="s">
        <v>2436</v>
      </c>
      <c r="C29" s="2082" t="str">
        <f>估价对象房地状况!C22</f>
        <v>估价对象所在区域基础设施水平较高</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7"/>
      <c r="M29" s="2938"/>
      <c r="N29" s="2938"/>
      <c r="O29" s="2992"/>
      <c r="P29" s="3417"/>
      <c r="Q29" s="1526" t="str">
        <f t="shared" ref="Q29" si="9">B29</f>
        <v>基础设施水平</v>
      </c>
      <c r="R29" s="710" t="s">
        <v>17</v>
      </c>
      <c r="S29" s="711">
        <f>F29</f>
        <v>100</v>
      </c>
      <c r="T29" s="710" t="s">
        <v>17</v>
      </c>
      <c r="U29" s="711">
        <f>H29</f>
        <v>100</v>
      </c>
      <c r="V29" s="710" t="s">
        <v>17</v>
      </c>
      <c r="W29" s="711">
        <f>J29</f>
        <v>100</v>
      </c>
      <c r="X29" s="712"/>
      <c r="Y29" s="3417"/>
      <c r="Z29" s="55" t="str">
        <f>Q29</f>
        <v>基础设施水平</v>
      </c>
      <c r="AA29" s="1536">
        <f>D29/F29</f>
        <v>1</v>
      </c>
      <c r="AB29" s="1536">
        <f>D29/H29</f>
        <v>1</v>
      </c>
      <c r="AC29" s="1536">
        <f>D29/J29</f>
        <v>1</v>
      </c>
    </row>
    <row r="30" spans="1:29" s="113" customFormat="1" ht="15">
      <c r="A30" s="605"/>
      <c r="B30" s="415"/>
      <c r="C30" s="2160" t="s">
        <v>3178</v>
      </c>
      <c r="D30" s="407"/>
      <c r="E30" s="2160" t="s">
        <v>3178</v>
      </c>
      <c r="F30" s="407"/>
      <c r="G30" s="2160" t="s">
        <v>3178</v>
      </c>
      <c r="H30" s="407"/>
      <c r="I30" s="2160" t="s">
        <v>3178</v>
      </c>
      <c r="J30" s="407"/>
      <c r="K30" s="628"/>
      <c r="L30" s="2937"/>
      <c r="M30" s="2938"/>
      <c r="N30" s="2938"/>
      <c r="O30" s="2992"/>
      <c r="P30" s="3417"/>
      <c r="Q30" s="1526"/>
      <c r="R30" s="710"/>
      <c r="S30" s="711"/>
      <c r="T30" s="710"/>
      <c r="U30" s="711"/>
      <c r="V30" s="710"/>
      <c r="W30" s="711"/>
      <c r="X30" s="712"/>
      <c r="Y30" s="3417"/>
      <c r="Z30" s="55"/>
      <c r="AA30" s="1536">
        <v>1</v>
      </c>
      <c r="AB30" s="1536">
        <v>1</v>
      </c>
      <c r="AC30" s="1536">
        <v>1</v>
      </c>
    </row>
    <row r="31" spans="1:29" ht="15">
      <c r="A31" s="387"/>
      <c r="B31" s="415" t="s">
        <v>2437</v>
      </c>
      <c r="C31" s="573" t="s">
        <v>3179</v>
      </c>
      <c r="D31" s="394">
        <v>100</v>
      </c>
      <c r="E31" s="573" t="s">
        <v>3179</v>
      </c>
      <c r="F31" s="394">
        <f>SUMIF(104:104,E31,105:105)-SUMIF(104:104,C31,105:105)+100</f>
        <v>100</v>
      </c>
      <c r="G31" s="573" t="s">
        <v>3179</v>
      </c>
      <c r="H31" s="394">
        <f>SUMIF(104:104,G31,105:105)-SUMIF(104:104,C31,105:105)+100</f>
        <v>100</v>
      </c>
      <c r="I31" s="573" t="s">
        <v>3179</v>
      </c>
      <c r="J31" s="394">
        <f>SUMIF(104:104,I31,105:105)-SUMIF(104:104,C31,105:105)+100</f>
        <v>100</v>
      </c>
      <c r="K31" s="629">
        <v>2</v>
      </c>
      <c r="L31" s="2942"/>
      <c r="M31" s="2936"/>
      <c r="N31" s="2936"/>
      <c r="O31" s="2994"/>
      <c r="P31" s="3417"/>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417"/>
      <c r="Z31" s="1539" t="str">
        <f t="shared" ref="Z31:Z45" si="13">Q31</f>
        <v>临街状况</v>
      </c>
      <c r="AA31" s="1536">
        <f t="shared" si="3"/>
        <v>1</v>
      </c>
      <c r="AB31" s="1536">
        <f t="shared" si="4"/>
        <v>1</v>
      </c>
      <c r="AC31" s="1536">
        <f t="shared" si="5"/>
        <v>1</v>
      </c>
    </row>
    <row r="32" spans="1:29" ht="27">
      <c r="A32" s="387"/>
      <c r="B32" s="1293" t="s">
        <v>2472</v>
      </c>
      <c r="C32" s="413"/>
      <c r="D32" s="409">
        <v>100</v>
      </c>
      <c r="E32" s="411"/>
      <c r="F32" s="409">
        <f>SUMIF(106:106,E33,107:107)-SUMIF(106:106,C33,107:107)+100</f>
        <v>99</v>
      </c>
      <c r="G32" s="411"/>
      <c r="H32" s="409">
        <f>SUMIF(106:106,G33,107:107)-SUMIF(106:106,C33,107:107)+100</f>
        <v>99</v>
      </c>
      <c r="I32" s="413"/>
      <c r="J32" s="409">
        <f>SUMIF(106:106,I33,107:107)-SUMIF(106:106,C33,107:107)+100</f>
        <v>99</v>
      </c>
      <c r="K32" s="629">
        <v>1</v>
      </c>
      <c r="L32" s="2942"/>
      <c r="M32" s="2936"/>
      <c r="N32" s="2936"/>
      <c r="O32" s="2994"/>
      <c r="P32" s="3417"/>
      <c r="Q32" s="1535" t="str">
        <f t="shared" si="8"/>
        <v>毗邻道路的类型与等级</v>
      </c>
      <c r="R32" s="714" t="s">
        <v>17</v>
      </c>
      <c r="S32" s="715">
        <f t="shared" si="10"/>
        <v>99</v>
      </c>
      <c r="T32" s="714" t="s">
        <v>17</v>
      </c>
      <c r="U32" s="715">
        <f t="shared" si="11"/>
        <v>99</v>
      </c>
      <c r="V32" s="714" t="s">
        <v>17</v>
      </c>
      <c r="W32" s="715">
        <f t="shared" si="12"/>
        <v>99</v>
      </c>
      <c r="X32" s="1538"/>
      <c r="Y32" s="3417"/>
      <c r="Z32" s="1539" t="str">
        <f t="shared" si="13"/>
        <v>毗邻道路的类型与等级</v>
      </c>
      <c r="AA32" s="1536">
        <f t="shared" si="3"/>
        <v>1.0101010101010102</v>
      </c>
      <c r="AB32" s="1536">
        <f t="shared" si="4"/>
        <v>1.0101010101010102</v>
      </c>
      <c r="AC32" s="1536">
        <f t="shared" si="5"/>
        <v>1.0101010101010102</v>
      </c>
    </row>
    <row r="33" spans="1:29" ht="15">
      <c r="A33" s="387"/>
      <c r="B33" s="415"/>
      <c r="C33" s="406" t="s">
        <v>3180</v>
      </c>
      <c r="D33" s="407"/>
      <c r="E33" s="2086" t="s">
        <v>3181</v>
      </c>
      <c r="F33" s="407"/>
      <c r="G33" s="2086" t="s">
        <v>3181</v>
      </c>
      <c r="H33" s="407"/>
      <c r="I33" s="2086" t="s">
        <v>3181</v>
      </c>
      <c r="J33" s="407"/>
      <c r="K33" s="570"/>
      <c r="L33" s="2942"/>
      <c r="M33" s="2936"/>
      <c r="N33" s="2936"/>
      <c r="O33" s="2994"/>
      <c r="P33" s="3417"/>
      <c r="Q33" s="1535"/>
      <c r="R33" s="714"/>
      <c r="S33" s="715"/>
      <c r="T33" s="714"/>
      <c r="U33" s="715"/>
      <c r="V33" s="714"/>
      <c r="W33" s="715"/>
      <c r="X33" s="1538"/>
      <c r="Y33" s="3417"/>
      <c r="Z33" s="1539"/>
      <c r="AA33" s="1536">
        <v>1</v>
      </c>
      <c r="AB33" s="1536">
        <v>1</v>
      </c>
      <c r="AC33" s="1536">
        <v>1</v>
      </c>
    </row>
    <row r="34" spans="1:29" ht="15">
      <c r="A34" s="387"/>
      <c r="B34" s="381" t="s">
        <v>2530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417"/>
      <c r="Q34" s="1535" t="str">
        <f t="shared" si="8"/>
        <v>土地级别</v>
      </c>
      <c r="R34" s="714" t="s">
        <v>17</v>
      </c>
      <c r="S34" s="715">
        <f t="shared" si="10"/>
        <v>100</v>
      </c>
      <c r="T34" s="714" t="s">
        <v>17</v>
      </c>
      <c r="U34" s="715">
        <f t="shared" si="11"/>
        <v>100</v>
      </c>
      <c r="V34" s="714" t="s">
        <v>17</v>
      </c>
      <c r="W34" s="715">
        <f t="shared" si="12"/>
        <v>100</v>
      </c>
      <c r="X34" s="1538"/>
      <c r="Y34" s="3417"/>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417"/>
      <c r="Q35" s="1535">
        <f t="shared" si="8"/>
        <v>111</v>
      </c>
      <c r="R35" s="714" t="s">
        <v>17</v>
      </c>
      <c r="S35" s="715">
        <f t="shared" si="10"/>
        <v>100</v>
      </c>
      <c r="T35" s="714" t="s">
        <v>17</v>
      </c>
      <c r="U35" s="715">
        <f t="shared" si="11"/>
        <v>100</v>
      </c>
      <c r="V35" s="714" t="s">
        <v>17</v>
      </c>
      <c r="W35" s="715">
        <f t="shared" si="12"/>
        <v>100</v>
      </c>
      <c r="X35" s="1538"/>
      <c r="Y35" s="3417"/>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418" t="s">
        <v>2346</v>
      </c>
      <c r="Q36" s="1535">
        <f t="shared" si="8"/>
        <v>111</v>
      </c>
      <c r="R36" s="714" t="s">
        <v>17</v>
      </c>
      <c r="S36" s="715">
        <f t="shared" si="10"/>
        <v>100</v>
      </c>
      <c r="T36" s="714" t="s">
        <v>17</v>
      </c>
      <c r="U36" s="715">
        <f t="shared" si="11"/>
        <v>100</v>
      </c>
      <c r="V36" s="714" t="s">
        <v>17</v>
      </c>
      <c r="W36" s="715">
        <f t="shared" si="12"/>
        <v>100</v>
      </c>
      <c r="X36" s="1538"/>
      <c r="Y36" s="3419" t="s">
        <v>2346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419"/>
      <c r="Q37" s="1535">
        <f t="shared" si="8"/>
        <v>111</v>
      </c>
      <c r="R37" s="717" t="s">
        <v>17</v>
      </c>
      <c r="S37" s="718">
        <f t="shared" si="10"/>
        <v>100</v>
      </c>
      <c r="T37" s="717" t="s">
        <v>17</v>
      </c>
      <c r="U37" s="718">
        <f t="shared" si="11"/>
        <v>100</v>
      </c>
      <c r="V37" s="717" t="s">
        <v>17</v>
      </c>
      <c r="W37" s="718">
        <f t="shared" si="12"/>
        <v>100</v>
      </c>
      <c r="X37" s="719"/>
      <c r="Y37" s="3419"/>
      <c r="Z37" s="720">
        <f t="shared" si="13"/>
        <v>111</v>
      </c>
      <c r="AA37" s="1536">
        <f t="shared" si="3"/>
        <v>1</v>
      </c>
      <c r="AB37" s="1536">
        <f t="shared" si="4"/>
        <v>1</v>
      </c>
      <c r="AC37" s="1536">
        <f t="shared" si="5"/>
        <v>1</v>
      </c>
    </row>
    <row r="38" spans="1:29" ht="15">
      <c r="A38" s="431" t="s">
        <v>2344</v>
      </c>
      <c r="B38" s="415" t="s">
        <v>2531</v>
      </c>
      <c r="C38" s="635">
        <f>'数据-基础表'!A3</f>
        <v>37742.35</v>
      </c>
      <c r="D38" s="426">
        <v>100</v>
      </c>
      <c r="E38" s="635">
        <f>土地案例!J5</f>
        <v>45081.99</v>
      </c>
      <c r="F38" s="426">
        <f>LOOKUP(E38,117:117,118:118)-LOOKUP(C38,117:117,118:118)+100</f>
        <v>100</v>
      </c>
      <c r="G38" s="635">
        <f>土地案例!J3</f>
        <v>85128.1</v>
      </c>
      <c r="H38" s="426">
        <f>LOOKUP(G38,117:117,118:118)-LOOKUP(C38,117:117,118:118)+100</f>
        <v>100.5</v>
      </c>
      <c r="I38" s="487">
        <f>土地案例!J6</f>
        <v>39577.68</v>
      </c>
      <c r="J38" s="426">
        <f>LOOKUP(I38,117:117,118:118)-LOOKUP(C38,117:117,118:118)+100</f>
        <v>100</v>
      </c>
      <c r="K38" s="570"/>
      <c r="L38" s="2942"/>
      <c r="M38" s="2936"/>
      <c r="N38" s="2936"/>
      <c r="O38" s="2994"/>
      <c r="P38" s="3419"/>
      <c r="Q38" s="1535" t="str">
        <f>B38</f>
        <v>宗地面积</v>
      </c>
      <c r="R38" s="714" t="s">
        <v>17</v>
      </c>
      <c r="S38" s="715">
        <f t="shared" si="10"/>
        <v>100</v>
      </c>
      <c r="T38" s="714" t="s">
        <v>17</v>
      </c>
      <c r="U38" s="715">
        <f t="shared" si="11"/>
        <v>100.5</v>
      </c>
      <c r="V38" s="714" t="s">
        <v>17</v>
      </c>
      <c r="W38" s="715">
        <f t="shared" si="12"/>
        <v>100</v>
      </c>
      <c r="X38" s="1538"/>
      <c r="Y38" s="3419"/>
      <c r="Z38" s="1539" t="str">
        <f t="shared" si="13"/>
        <v>宗地面积</v>
      </c>
      <c r="AA38" s="1536">
        <f t="shared" si="3"/>
        <v>1</v>
      </c>
      <c r="AB38" s="1536">
        <f t="shared" si="4"/>
        <v>0.99502487562189057</v>
      </c>
      <c r="AC38" s="1536">
        <f t="shared" si="5"/>
        <v>1</v>
      </c>
    </row>
    <row r="39" spans="1:29" ht="15">
      <c r="A39" s="431"/>
      <c r="B39" s="381" t="s">
        <v>2532</v>
      </c>
      <c r="C39" s="2088" t="s">
        <v>3182</v>
      </c>
      <c r="D39" s="394">
        <v>100</v>
      </c>
      <c r="E39" s="2088" t="s">
        <v>3182</v>
      </c>
      <c r="F39" s="394">
        <f>SUMIF(119:119,E39,120:120)-SUMIF(119:119,C39,120:120)+100</f>
        <v>100</v>
      </c>
      <c r="G39" s="2088" t="s">
        <v>3182</v>
      </c>
      <c r="H39" s="394">
        <f>SUMIF(119:119,G39,120:120)-SUMIF(119:119,C39,120:120)+100</f>
        <v>100</v>
      </c>
      <c r="I39" s="2088" t="s">
        <v>3182</v>
      </c>
      <c r="J39" s="394">
        <f>SUMIF(119:119,I39,120:120)-SUMIF(119:119,C39,120:120)+100</f>
        <v>100</v>
      </c>
      <c r="K39" s="569">
        <v>2</v>
      </c>
      <c r="L39" s="2942"/>
      <c r="M39" s="2936"/>
      <c r="N39" s="2936"/>
      <c r="O39" s="2994"/>
      <c r="P39" s="3419"/>
      <c r="Q39" s="1535" t="str">
        <f t="shared" ref="Q39:Q45" si="14">B39</f>
        <v>宗地形状</v>
      </c>
      <c r="R39" s="714" t="s">
        <v>17</v>
      </c>
      <c r="S39" s="715">
        <f t="shared" si="10"/>
        <v>100</v>
      </c>
      <c r="T39" s="714" t="s">
        <v>17</v>
      </c>
      <c r="U39" s="715">
        <f t="shared" si="11"/>
        <v>100</v>
      </c>
      <c r="V39" s="714" t="s">
        <v>17</v>
      </c>
      <c r="W39" s="715">
        <f t="shared" si="12"/>
        <v>100</v>
      </c>
      <c r="X39" s="1538"/>
      <c r="Y39" s="3419"/>
      <c r="Z39" s="1539" t="str">
        <f t="shared" si="13"/>
        <v>宗地形状</v>
      </c>
      <c r="AA39" s="1536">
        <f t="shared" si="3"/>
        <v>1</v>
      </c>
      <c r="AB39" s="1536">
        <f t="shared" si="4"/>
        <v>1</v>
      </c>
      <c r="AC39" s="1536">
        <f t="shared" si="5"/>
        <v>1</v>
      </c>
    </row>
    <row r="40" spans="1:29" ht="15">
      <c r="A40" s="431"/>
      <c r="B40" s="381" t="s">
        <v>2533</v>
      </c>
      <c r="C40" s="2088" t="s">
        <v>3183</v>
      </c>
      <c r="D40" s="394">
        <v>100</v>
      </c>
      <c r="E40" s="2088" t="s">
        <v>3183</v>
      </c>
      <c r="F40" s="394">
        <f>SUMIF(121:121,E40,122:122)-SUMIF(121:121,C40,122:122)+100</f>
        <v>100</v>
      </c>
      <c r="G40" s="2088" t="s">
        <v>3183</v>
      </c>
      <c r="H40" s="394">
        <f>SUMIF(121:121,G40,122:122)-SUMIF(121:121,C40,122:122)+100</f>
        <v>100</v>
      </c>
      <c r="I40" s="2088" t="s">
        <v>3183</v>
      </c>
      <c r="J40" s="394">
        <f>SUMIF(121:121,I40,122:122)-SUMIF(121:121,C40,122:122)+100</f>
        <v>100</v>
      </c>
      <c r="K40" s="569">
        <v>2</v>
      </c>
      <c r="L40" s="2942"/>
      <c r="M40" s="2936"/>
      <c r="N40" s="2936"/>
      <c r="O40" s="2994"/>
      <c r="P40" s="3419"/>
      <c r="Q40" s="1535" t="str">
        <f t="shared" si="14"/>
        <v>临街宽度及深度</v>
      </c>
      <c r="R40" s="714" t="s">
        <v>17</v>
      </c>
      <c r="S40" s="715">
        <f t="shared" si="10"/>
        <v>100</v>
      </c>
      <c r="T40" s="714" t="s">
        <v>17</v>
      </c>
      <c r="U40" s="715">
        <f t="shared" si="11"/>
        <v>100</v>
      </c>
      <c r="V40" s="714" t="s">
        <v>17</v>
      </c>
      <c r="W40" s="715">
        <f t="shared" si="12"/>
        <v>100</v>
      </c>
      <c r="X40" s="1538"/>
      <c r="Y40" s="3419"/>
      <c r="Z40" s="1539" t="str">
        <f t="shared" si="13"/>
        <v>临街宽度及深度</v>
      </c>
      <c r="AA40" s="1536">
        <f t="shared" si="3"/>
        <v>1</v>
      </c>
      <c r="AB40" s="1536">
        <f t="shared" si="4"/>
        <v>1</v>
      </c>
      <c r="AC40" s="1536">
        <f t="shared" si="5"/>
        <v>1</v>
      </c>
    </row>
    <row r="41" spans="1:29" s="113" customFormat="1" ht="15">
      <c r="A41" s="432"/>
      <c r="B41" s="381" t="s">
        <v>2534</v>
      </c>
      <c r="C41" s="2162" t="s">
        <v>3184</v>
      </c>
      <c r="D41" s="132">
        <v>100</v>
      </c>
      <c r="E41" s="2162" t="s">
        <v>3184</v>
      </c>
      <c r="F41" s="394">
        <f>SUMIF(123:123,E41,124:124)-SUMIF(123:123,C41,124:124)+100</f>
        <v>100</v>
      </c>
      <c r="G41" s="2162" t="s">
        <v>3184</v>
      </c>
      <c r="H41" s="394">
        <f>SUMIF(123:123,G41,124:124)-SUMIF(123:123,C41,124:124)+100</f>
        <v>100</v>
      </c>
      <c r="I41" s="2162" t="s">
        <v>3185</v>
      </c>
      <c r="J41" s="394">
        <f>SUMIF(123:123,I41,124:124)-SUMIF(123:123,C41,124:124)+100</f>
        <v>99</v>
      </c>
      <c r="K41" s="569">
        <v>1</v>
      </c>
      <c r="L41" s="2937"/>
      <c r="M41" s="2938"/>
      <c r="N41" s="2938"/>
      <c r="O41" s="2992"/>
      <c r="P41" s="3419"/>
      <c r="Q41" s="1535" t="str">
        <f t="shared" si="14"/>
        <v>宗地开发程度</v>
      </c>
      <c r="R41" s="710" t="s">
        <v>17</v>
      </c>
      <c r="S41" s="711">
        <f t="shared" si="10"/>
        <v>100</v>
      </c>
      <c r="T41" s="710" t="s">
        <v>17</v>
      </c>
      <c r="U41" s="711">
        <f t="shared" si="11"/>
        <v>100</v>
      </c>
      <c r="V41" s="710" t="s">
        <v>17</v>
      </c>
      <c r="W41" s="711">
        <f t="shared" si="12"/>
        <v>99</v>
      </c>
      <c r="X41" s="712"/>
      <c r="Y41" s="3419"/>
      <c r="Z41" s="55" t="str">
        <f t="shared" si="13"/>
        <v>宗地开发程度</v>
      </c>
      <c r="AA41" s="713">
        <f t="shared" si="3"/>
        <v>1</v>
      </c>
      <c r="AB41" s="713">
        <f t="shared" si="4"/>
        <v>1</v>
      </c>
      <c r="AC41" s="713">
        <f t="shared" si="5"/>
        <v>1.0101010101010102</v>
      </c>
    </row>
    <row r="42" spans="1:29" ht="15">
      <c r="A42" s="431"/>
      <c r="B42" s="381" t="s">
        <v>2535</v>
      </c>
      <c r="C42" s="2088" t="s">
        <v>3177</v>
      </c>
      <c r="D42" s="394">
        <v>100</v>
      </c>
      <c r="E42" s="2088" t="s">
        <v>3177</v>
      </c>
      <c r="F42" s="394">
        <f>SUMIF(125:125,E42,126:126)-SUMIF(125:125,C42,126:126)+100</f>
        <v>100</v>
      </c>
      <c r="G42" s="2088" t="s">
        <v>3177</v>
      </c>
      <c r="H42" s="394">
        <f>SUMIF(125:125,G42,126:126)-SUMIF(125:125,C42,126:126)+100</f>
        <v>100</v>
      </c>
      <c r="I42" s="2088" t="s">
        <v>3177</v>
      </c>
      <c r="J42" s="394">
        <f>SUMIF(125:125,I42,126:126)-SUMIF(125:125,C42,126:126)+100</f>
        <v>100</v>
      </c>
      <c r="K42" s="569">
        <v>2</v>
      </c>
      <c r="L42" s="2942"/>
      <c r="M42" s="2936"/>
      <c r="N42" s="2936"/>
      <c r="O42" s="2994"/>
      <c r="P42" s="3419" t="s">
        <v>2346</v>
      </c>
      <c r="Q42" s="1535" t="str">
        <f t="shared" si="14"/>
        <v>工程地质条件</v>
      </c>
      <c r="R42" s="714" t="s">
        <v>17</v>
      </c>
      <c r="S42" s="715">
        <f t="shared" si="10"/>
        <v>100</v>
      </c>
      <c r="T42" s="714" t="s">
        <v>17</v>
      </c>
      <c r="U42" s="715">
        <f t="shared" si="11"/>
        <v>100</v>
      </c>
      <c r="V42" s="714" t="s">
        <v>17</v>
      </c>
      <c r="W42" s="715">
        <f t="shared" si="12"/>
        <v>100</v>
      </c>
      <c r="X42" s="1538"/>
      <c r="Y42" s="3419" t="s">
        <v>2346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419"/>
      <c r="Q43" s="1535">
        <f t="shared" si="14"/>
        <v>111</v>
      </c>
      <c r="R43" s="714" t="s">
        <v>17</v>
      </c>
      <c r="S43" s="715">
        <f t="shared" si="10"/>
        <v>100</v>
      </c>
      <c r="T43" s="714" t="s">
        <v>17</v>
      </c>
      <c r="U43" s="715">
        <f t="shared" si="11"/>
        <v>100</v>
      </c>
      <c r="V43" s="714" t="s">
        <v>17</v>
      </c>
      <c r="W43" s="715">
        <f t="shared" si="12"/>
        <v>100</v>
      </c>
      <c r="X43" s="1538"/>
      <c r="Y43" s="3419"/>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419"/>
      <c r="Q44" s="1535">
        <f t="shared" si="14"/>
        <v>111</v>
      </c>
      <c r="R44" s="714" t="s">
        <v>17</v>
      </c>
      <c r="S44" s="715">
        <f t="shared" si="10"/>
        <v>100</v>
      </c>
      <c r="T44" s="714" t="s">
        <v>17</v>
      </c>
      <c r="U44" s="715">
        <f t="shared" si="11"/>
        <v>100</v>
      </c>
      <c r="V44" s="714" t="s">
        <v>17</v>
      </c>
      <c r="W44" s="715">
        <f t="shared" si="12"/>
        <v>100</v>
      </c>
      <c r="X44" s="1538"/>
      <c r="Y44" s="3419"/>
      <c r="Z44" s="1539">
        <f t="shared" si="13"/>
        <v>111</v>
      </c>
      <c r="AA44" s="1536">
        <f t="shared" si="3"/>
        <v>1</v>
      </c>
      <c r="AB44" s="1536">
        <f t="shared" si="4"/>
        <v>1</v>
      </c>
      <c r="AC44" s="1536">
        <f t="shared" si="5"/>
        <v>1</v>
      </c>
    </row>
    <row r="45" spans="1:29" s="430" customFormat="1" ht="15.75" thickBot="1">
      <c r="A45" s="427"/>
      <c r="B45" s="1296">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419"/>
      <c r="Q45" s="1535">
        <f t="shared" si="14"/>
        <v>111</v>
      </c>
      <c r="R45" s="717" t="s">
        <v>17</v>
      </c>
      <c r="S45" s="718">
        <f t="shared" si="10"/>
        <v>100</v>
      </c>
      <c r="T45" s="717" t="s">
        <v>17</v>
      </c>
      <c r="U45" s="718">
        <f t="shared" si="11"/>
        <v>100</v>
      </c>
      <c r="V45" s="717" t="s">
        <v>17</v>
      </c>
      <c r="W45" s="718">
        <f t="shared" si="12"/>
        <v>100</v>
      </c>
      <c r="X45" s="719"/>
      <c r="Y45" s="3419"/>
      <c r="Z45" s="720">
        <f t="shared" si="13"/>
        <v>111</v>
      </c>
      <c r="AA45" s="1536">
        <f t="shared" si="3"/>
        <v>1</v>
      </c>
      <c r="AB45" s="1536">
        <f t="shared" si="4"/>
        <v>1</v>
      </c>
      <c r="AC45" s="1536">
        <f t="shared" si="5"/>
        <v>1</v>
      </c>
    </row>
    <row r="46" spans="1:29" ht="15">
      <c r="A46" s="438" t="s">
        <v>2501</v>
      </c>
      <c r="B46" s="2164" t="s">
        <v>2536</v>
      </c>
      <c r="C46" s="638" t="s">
        <v>1</v>
      </c>
      <c r="D46" s="440"/>
      <c r="E46" s="441">
        <f>ROUND(土地案例!AL5,0)</f>
        <v>39505</v>
      </c>
      <c r="F46" s="442"/>
      <c r="G46" s="441">
        <f>ROUND(土地案例!AL3,0)</f>
        <v>39211</v>
      </c>
      <c r="H46" s="444"/>
      <c r="I46" s="441">
        <f>ROUND(土地案例!AL6,0)</f>
        <v>38913</v>
      </c>
      <c r="J46" s="444"/>
      <c r="K46" s="723"/>
      <c r="L46" s="2944"/>
      <c r="M46" s="2945"/>
      <c r="N46" s="2936"/>
      <c r="O46" s="2945"/>
      <c r="P46" s="3401" t="str">
        <f>A46</f>
        <v>成交单价</v>
      </c>
      <c r="Q46" s="3401"/>
      <c r="R46" s="3414">
        <f>E46</f>
        <v>39505</v>
      </c>
      <c r="S46" s="3414"/>
      <c r="T46" s="3414">
        <f>G46</f>
        <v>39211</v>
      </c>
      <c r="U46" s="3414"/>
      <c r="V46" s="3414">
        <f>I46</f>
        <v>38913</v>
      </c>
      <c r="W46" s="3414"/>
      <c r="X46" s="699"/>
      <c r="Y46" s="721"/>
      <c r="Z46" s="699"/>
      <c r="AA46" s="699"/>
      <c r="AB46" s="699"/>
      <c r="AC46" s="699"/>
    </row>
    <row r="47" spans="1:29" ht="15.75" thickBot="1">
      <c r="A47" s="445" t="s">
        <v>2450</v>
      </c>
      <c r="B47" s="639"/>
      <c r="C47" s="448">
        <f>R48</f>
        <v>31488</v>
      </c>
      <c r="D47" s="2534" t="s">
        <v>2840</v>
      </c>
      <c r="E47" s="448">
        <f>R47</f>
        <v>31037</v>
      </c>
      <c r="F47" s="2535"/>
      <c r="G47" s="447">
        <f>T47</f>
        <v>32545</v>
      </c>
      <c r="H47" s="2535"/>
      <c r="I47" s="448">
        <f>V47</f>
        <v>30881</v>
      </c>
      <c r="J47" s="2535"/>
      <c r="K47" s="2537">
        <f>F47+H47+J47</f>
        <v>0</v>
      </c>
      <c r="L47" s="2944"/>
      <c r="M47" s="2945"/>
      <c r="N47" s="2945"/>
      <c r="O47" s="2945"/>
      <c r="P47" s="3401" t="str">
        <f>A47</f>
        <v>比较价值（元/平方米）</v>
      </c>
      <c r="Q47" s="3401"/>
      <c r="R47" s="3420">
        <f>ROUND(PRODUCT(R46,AA7:AA45),0)</f>
        <v>31037</v>
      </c>
      <c r="S47" s="3420"/>
      <c r="T47" s="3420">
        <f>ROUND(PRODUCT(T46,AB7:AB45),0)</f>
        <v>32545</v>
      </c>
      <c r="U47" s="3420"/>
      <c r="V47" s="3420">
        <f>ROUND(PRODUCT(V46,AC7:AC45),0)</f>
        <v>30881</v>
      </c>
      <c r="W47" s="3420"/>
      <c r="X47" s="699"/>
      <c r="Y47" s="699"/>
      <c r="Z47" s="699"/>
      <c r="AA47" s="699"/>
      <c r="AB47" s="699"/>
      <c r="AC47" s="699"/>
    </row>
    <row r="48" spans="1:29" ht="15.75" thickBot="1">
      <c r="A48" s="449" t="s">
        <v>2537</v>
      </c>
      <c r="B48" s="450"/>
      <c r="C48" s="451">
        <f>R48</f>
        <v>31488</v>
      </c>
      <c r="D48" s="451"/>
      <c r="E48" s="451"/>
      <c r="F48" s="451"/>
      <c r="G48" s="451"/>
      <c r="H48" s="451"/>
      <c r="I48" s="451"/>
      <c r="J48" s="451"/>
      <c r="K48" s="724"/>
      <c r="L48" s="2944"/>
      <c r="M48" s="2945"/>
      <c r="N48" s="2945"/>
      <c r="O48" s="2945"/>
      <c r="P48" s="3421" t="str">
        <f>A48</f>
        <v>估价对象XX用房的比较价值（楼面单价，元/平方米）</v>
      </c>
      <c r="Q48" s="3422"/>
      <c r="R48" s="3423">
        <f>ROUND(IF(D47="简单平均",AVERAGE(R47:W47),R47*F47+T47*H47+V47*J47),0)</f>
        <v>31488</v>
      </c>
      <c r="S48" s="3423"/>
      <c r="T48" s="3423"/>
      <c r="U48" s="3423"/>
      <c r="V48" s="3423"/>
      <c r="W48" s="3423"/>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2452</v>
      </c>
      <c r="D51" s="455"/>
      <c r="E51" s="456">
        <f>IF(E46&lt;E47,E47/E46-1,E46/E47-1)</f>
        <v>0.27283564777523606</v>
      </c>
      <c r="F51" s="457" t="str">
        <f>IF(OR(E51&gt;=0.3,E51&lt;=-0.3),"超过30%","")</f>
        <v/>
      </c>
      <c r="G51" s="456">
        <f>IF(G46&lt;G47,G47/G46-1,G46/G47-1)</f>
        <v>0.20482408972192356</v>
      </c>
      <c r="H51" s="457" t="str">
        <f>IF(OR(G51&gt;=0.3,G51&lt;=-0.3),"超过30%","")</f>
        <v/>
      </c>
      <c r="I51" s="456">
        <f>IF(I46&lt;I47,I47/I46-1,I46/I47-1)</f>
        <v>0.2600952041708493</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2453</v>
      </c>
      <c r="D52" s="458"/>
      <c r="E52" s="456">
        <f>IF(E47&lt;G47,G47/E47-1,E47/G47-1)</f>
        <v>4.85871701517544E-2</v>
      </c>
      <c r="F52" s="457" t="str">
        <f>IF(OR(E52&gt;=0.2,E52&lt;=-0.2),"超过20%","")</f>
        <v/>
      </c>
      <c r="G52" s="456">
        <f>IF(G47&lt;I47,I47/G47-1,G47/I47-1)</f>
        <v>5.3884265405913068E-2</v>
      </c>
      <c r="H52" s="457" t="str">
        <f>IF(OR(G52&gt;=0.2,G52&lt;=-0.2),"超过20%","")</f>
        <v/>
      </c>
      <c r="I52" s="456">
        <f>IF(I47&lt;E47,E47/I47-1,I47/E47-1)</f>
        <v>5.0516498818042876E-3</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2454</v>
      </c>
      <c r="D53" s="458"/>
      <c r="E53" s="456">
        <f>IF(E46&lt;G46,G46/E46-1,E46/G46-1)</f>
        <v>7.4978959985718685E-3</v>
      </c>
      <c r="F53" s="457" t="str">
        <f>IF(OR(E53&gt;=0.3,E53&lt;=-0.3),"超过30%","")</f>
        <v/>
      </c>
      <c r="G53" s="456">
        <f>IF(G46&lt;I46,I46/G46-1,G46/I46-1)</f>
        <v>7.6581091152057024E-3</v>
      </c>
      <c r="H53" s="457" t="str">
        <f>IF(OR(G53&gt;=0.3,G53&lt;=-0.3),"超过30%","")</f>
        <v/>
      </c>
      <c r="I53" s="456">
        <f>IF(I46&lt;E46,E46/I46-1,I46/E46-1)</f>
        <v>1.5213424819469079E-2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2538</v>
      </c>
      <c r="B55" s="641" t="s">
        <v>2539</v>
      </c>
      <c r="C55" s="2165" t="s">
        <v>2540</v>
      </c>
      <c r="D55" s="2166" t="s">
        <v>2541</v>
      </c>
      <c r="E55" s="642" t="s">
        <v>2542</v>
      </c>
      <c r="F55" s="1021" t="s">
        <v>2543</v>
      </c>
      <c r="G55" s="3402" t="s">
        <v>2544</v>
      </c>
      <c r="H55" s="3424"/>
      <c r="I55" s="140" t="s">
        <v>2545</v>
      </c>
      <c r="J55" s="2167">
        <f>项目基本情况!F35</f>
        <v>0</v>
      </c>
      <c r="K55" s="2168" t="s">
        <v>2546</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2547</v>
      </c>
      <c r="B56" s="645">
        <f>C48</f>
        <v>31488</v>
      </c>
      <c r="C56" s="646">
        <v>1</v>
      </c>
      <c r="D56" s="1075">
        <v>1</v>
      </c>
      <c r="E56" s="646">
        <f>'数据-汇总表'!E8+'数据-汇总表'!E9</f>
        <v>101252.65000000002</v>
      </c>
      <c r="F56" s="1017">
        <f t="shared" ref="F56:F65" si="15">ROUND(B56*E56/10000,0)</f>
        <v>318824</v>
      </c>
      <c r="G56" s="3425"/>
      <c r="H56" s="3401"/>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2548</v>
      </c>
      <c r="B57" s="224">
        <f>ROUND($C$48*C57*D57,0)</f>
        <v>0</v>
      </c>
      <c r="C57" s="176">
        <f t="shared" ref="C57:C65" si="16">IF($C$55="北京市系数",I57,J57)</f>
        <v>0</v>
      </c>
      <c r="D57" s="1076">
        <v>0.25</v>
      </c>
      <c r="E57" s="650"/>
      <c r="F57" s="1017">
        <f t="shared" si="15"/>
        <v>0</v>
      </c>
      <c r="G57" s="3426" t="s">
        <v>2549</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2550</v>
      </c>
      <c r="B58" s="224">
        <f t="shared" ref="B58:B65" si="17">ROUND($C$48*C58*D58,0)</f>
        <v>0</v>
      </c>
      <c r="C58" s="176">
        <f t="shared" si="16"/>
        <v>0</v>
      </c>
      <c r="D58" s="1076">
        <v>0.25</v>
      </c>
      <c r="E58" s="650"/>
      <c r="F58" s="1017">
        <f t="shared" si="15"/>
        <v>0</v>
      </c>
      <c r="G58" s="3426"/>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2551</v>
      </c>
      <c r="B59" s="224">
        <f t="shared" si="17"/>
        <v>0</v>
      </c>
      <c r="C59" s="176">
        <f t="shared" si="16"/>
        <v>0</v>
      </c>
      <c r="D59" s="1076">
        <v>0.25</v>
      </c>
      <c r="E59" s="650"/>
      <c r="F59" s="1017">
        <f t="shared" si="15"/>
        <v>0</v>
      </c>
      <c r="G59" s="3426"/>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2552</v>
      </c>
      <c r="B60" s="224">
        <f t="shared" si="17"/>
        <v>0</v>
      </c>
      <c r="C60" s="176">
        <f t="shared" si="16"/>
        <v>0</v>
      </c>
      <c r="D60" s="1076">
        <v>0.25</v>
      </c>
      <c r="E60" s="650"/>
      <c r="F60" s="1017">
        <f t="shared" si="15"/>
        <v>0</v>
      </c>
      <c r="G60" s="3426"/>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2553</v>
      </c>
      <c r="B61" s="224">
        <f t="shared" si="17"/>
        <v>0</v>
      </c>
      <c r="C61" s="176">
        <f t="shared" si="16"/>
        <v>0</v>
      </c>
      <c r="D61" s="1076">
        <v>0.25</v>
      </c>
      <c r="E61" s="223">
        <f>'数据-汇总表'!E11</f>
        <v>0</v>
      </c>
      <c r="F61" s="1017">
        <f t="shared" si="15"/>
        <v>0</v>
      </c>
      <c r="G61" s="2169" t="s">
        <v>2554</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2555</v>
      </c>
      <c r="B62" s="224">
        <f t="shared" si="17"/>
        <v>1968</v>
      </c>
      <c r="C62" s="176">
        <f t="shared" si="16"/>
        <v>0.25</v>
      </c>
      <c r="D62" s="1076">
        <v>0.25</v>
      </c>
      <c r="E62" s="223">
        <f>'数据-汇总表'!E12</f>
        <v>8448.9000000000015</v>
      </c>
      <c r="F62" s="1017">
        <f t="shared" si="15"/>
        <v>1663</v>
      </c>
      <c r="G62" s="1023" t="s">
        <v>3158</v>
      </c>
      <c r="H62" s="1018" t="str">
        <f>IF(G62="商业",项目基本情况!B37,IF(G62="办公",项目基本情况!C37,IF(G62="住宅",项目基本情况!D37,项目基本情况!E37)))</f>
        <v>七级</v>
      </c>
      <c r="I62" s="1022">
        <f>SUMIF(修正!A45:A56,H62,修正!G45:G56)</f>
        <v>0.25</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2557</v>
      </c>
      <c r="B63" s="224">
        <f t="shared" si="17"/>
        <v>1574</v>
      </c>
      <c r="C63" s="176">
        <f t="shared" si="16"/>
        <v>0.2</v>
      </c>
      <c r="D63" s="1076">
        <v>0.25</v>
      </c>
      <c r="E63" s="223">
        <f>'数据-汇总表'!E13</f>
        <v>20301.22</v>
      </c>
      <c r="F63" s="1017">
        <f t="shared" si="15"/>
        <v>3195</v>
      </c>
      <c r="G63" s="1023" t="s">
        <v>2558</v>
      </c>
      <c r="H63" s="1018" t="str">
        <f>IF(G63="商业",项目基本情况!B37,IF(G63="办公",项目基本情况!C37,IF(G63="住宅",项目基本情况!D37,项目基本情况!E37)))</f>
        <v>七级</v>
      </c>
      <c r="I63" s="1022">
        <f>SUMIF(修正!A45:A56,H63,修正!H45:H56)</f>
        <v>0.2</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2559</v>
      </c>
      <c r="B64" s="224">
        <f t="shared" si="17"/>
        <v>0</v>
      </c>
      <c r="C64" s="176">
        <f t="shared" si="16"/>
        <v>0</v>
      </c>
      <c r="D64" s="1076">
        <v>0.25</v>
      </c>
      <c r="E64" s="223">
        <f>'数据-汇总表'!E14</f>
        <v>0</v>
      </c>
      <c r="F64" s="1017">
        <f t="shared" si="15"/>
        <v>0</v>
      </c>
      <c r="G64" s="2169" t="s">
        <v>2549</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2560</v>
      </c>
      <c r="B65" s="224">
        <f t="shared" si="17"/>
        <v>0</v>
      </c>
      <c r="C65" s="176">
        <f t="shared" si="16"/>
        <v>0</v>
      </c>
      <c r="D65" s="1076">
        <v>0.25</v>
      </c>
      <c r="E65" s="223">
        <f>'数据-汇总表'!E15</f>
        <v>0</v>
      </c>
      <c r="F65" s="1017">
        <f t="shared" si="15"/>
        <v>0</v>
      </c>
      <c r="G65" s="2170" t="s">
        <v>2554</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2561</v>
      </c>
      <c r="B66" s="652" t="s">
        <v>28</v>
      </c>
      <c r="C66" s="652" t="s">
        <v>29</v>
      </c>
      <c r="D66" s="652" t="s">
        <v>997</v>
      </c>
      <c r="E66" s="652">
        <f>IF(B46="楼面地价",SUM(E56:E65),'数据-汇总表'!D3)</f>
        <v>130002.77000000002</v>
      </c>
      <c r="F66" s="653">
        <f>IF(B46="楼面地价",SUM(F56:F65),ROUND(C48*E66/10000,0))</f>
        <v>323682</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45"/>
      <c r="Q68" s="2945"/>
      <c r="R68" s="2945"/>
      <c r="S68" s="2945"/>
      <c r="T68" s="2945"/>
      <c r="U68" s="2945"/>
      <c r="V68" s="2945"/>
      <c r="W68" s="2945"/>
      <c r="X68" s="2945"/>
      <c r="Y68" s="2945"/>
      <c r="Z68" s="2945"/>
      <c r="AA68" s="2945"/>
      <c r="AB68" s="2945"/>
      <c r="AC68" s="2945"/>
    </row>
    <row r="69" spans="1:29" ht="21.75" thickBot="1">
      <c r="A69" s="703" t="s">
        <v>2455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1" t="s">
        <v>2562</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6"/>
      <c r="Q70" s="2961"/>
      <c r="R70" s="2961"/>
      <c r="S70" s="2961"/>
      <c r="T70" s="2961"/>
      <c r="U70" s="2961"/>
      <c r="V70" s="2961"/>
      <c r="W70" s="2961"/>
      <c r="X70" s="2961"/>
      <c r="Y70" s="2961"/>
      <c r="Z70" s="2961"/>
      <c r="AA70" s="2961"/>
      <c r="AB70" s="2961"/>
      <c r="AC70" s="2961"/>
    </row>
    <row r="71" spans="1:29" s="113" customFormat="1" ht="30" customHeight="1">
      <c r="A71" s="2172" t="s">
        <v>2563</v>
      </c>
      <c r="B71" s="294" t="str">
        <f>"北京市平均增长率"&amp;TEXT(SUMIF(基准地价修正!N21:N25,A71,基准地价修正!P21:P25),"0.00%")</f>
        <v>北京市平均增长率1.90%</v>
      </c>
      <c r="C71" s="560">
        <v>100</v>
      </c>
      <c r="D71" s="552">
        <f>C71-1</f>
        <v>99</v>
      </c>
      <c r="E71" s="552">
        <f t="shared" ref="E71:M71" si="20">D71-1</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2366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2331</v>
      </c>
      <c r="B73" s="467"/>
      <c r="C73" s="479" t="s">
        <v>2433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2369</v>
      </c>
      <c r="B75" s="485" t="s">
        <v>2335</v>
      </c>
      <c r="C75" s="3055" t="s">
        <v>3131</v>
      </c>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2338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2339</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2.5（含）-3</v>
      </c>
      <c r="I79" s="504" t="str">
        <f t="shared" si="21"/>
        <v>3（含）-</v>
      </c>
      <c r="J79" s="504" t="str">
        <f t="shared" si="21"/>
        <v>（含）-</v>
      </c>
      <c r="K79" s="504" t="str">
        <f t="shared" si="21"/>
        <v>（含）-</v>
      </c>
      <c r="L79" s="504" t="str">
        <f t="shared" si="21"/>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3056">
        <v>0</v>
      </c>
      <c r="D80" s="3056">
        <f>C80+0.5</f>
        <v>0.5</v>
      </c>
      <c r="E80" s="3056">
        <f t="shared" ref="E80:I80" si="22">D80+0.5</f>
        <v>1</v>
      </c>
      <c r="F80" s="3056">
        <f t="shared" si="22"/>
        <v>1.5</v>
      </c>
      <c r="G80" s="3056">
        <f t="shared" si="22"/>
        <v>2</v>
      </c>
      <c r="H80" s="3056">
        <f t="shared" si="22"/>
        <v>2.5</v>
      </c>
      <c r="I80" s="3056">
        <f t="shared" si="22"/>
        <v>3</v>
      </c>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3">IF($B$46="单位面积地价",C81+$K11,C81-$K11)</f>
        <v>99</v>
      </c>
      <c r="E81" s="501">
        <f t="shared" si="23"/>
        <v>98</v>
      </c>
      <c r="F81" s="501">
        <f t="shared" si="23"/>
        <v>97</v>
      </c>
      <c r="G81" s="501">
        <f t="shared" si="23"/>
        <v>96</v>
      </c>
      <c r="H81" s="501">
        <f t="shared" si="23"/>
        <v>95</v>
      </c>
      <c r="I81" s="501">
        <f t="shared" si="23"/>
        <v>94</v>
      </c>
      <c r="J81" s="501">
        <f t="shared" si="23"/>
        <v>93</v>
      </c>
      <c r="K81" s="501">
        <f t="shared" si="23"/>
        <v>92</v>
      </c>
      <c r="L81" s="501">
        <f t="shared" si="23"/>
        <v>91</v>
      </c>
      <c r="M81" s="501">
        <f t="shared" si="23"/>
        <v>90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自持</v>
      </c>
      <c r="C82" s="3057" t="s">
        <v>3132</v>
      </c>
      <c r="D82" s="3057" t="s">
        <v>3166</v>
      </c>
      <c r="E82" s="511" t="s">
        <v>3167</v>
      </c>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3058">
        <v>100</v>
      </c>
      <c r="D83" s="3058">
        <v>95</v>
      </c>
      <c r="E83" s="493">
        <v>70</v>
      </c>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0</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0</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2340</v>
      </c>
      <c r="B88" s="485" t="s">
        <v>2377</v>
      </c>
      <c r="C88" s="530" t="s">
        <v>2378</v>
      </c>
      <c r="D88" s="530" t="s">
        <v>2379</v>
      </c>
      <c r="E88" s="530" t="s">
        <v>2380</v>
      </c>
      <c r="F88" s="530" t="s">
        <v>2381</v>
      </c>
      <c r="G88" s="530" t="s">
        <v>2382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98</v>
      </c>
      <c r="E89" s="501">
        <f>D89-$K15</f>
        <v>96</v>
      </c>
      <c r="F89" s="501">
        <f>E89-$K15</f>
        <v>94</v>
      </c>
      <c r="G89" s="501">
        <f>F89-$K15</f>
        <v>92</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2564</v>
      </c>
      <c r="C90" s="535" t="s">
        <v>2378</v>
      </c>
      <c r="D90" s="535" t="s">
        <v>2379</v>
      </c>
      <c r="E90" s="535" t="s">
        <v>2380</v>
      </c>
      <c r="F90" s="535" t="s">
        <v>2381</v>
      </c>
      <c r="G90" s="535" t="s">
        <v>2382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2478</v>
      </c>
      <c r="C92" s="535" t="s">
        <v>2378</v>
      </c>
      <c r="D92" s="535" t="s">
        <v>2379</v>
      </c>
      <c r="E92" s="535" t="s">
        <v>2380</v>
      </c>
      <c r="F92" s="535" t="s">
        <v>2381</v>
      </c>
      <c r="G92" s="535" t="s">
        <v>2382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2383</v>
      </c>
      <c r="C94" s="535" t="s">
        <v>2378</v>
      </c>
      <c r="D94" s="535" t="s">
        <v>2379</v>
      </c>
      <c r="E94" s="535" t="s">
        <v>2380</v>
      </c>
      <c r="F94" s="535" t="s">
        <v>2381</v>
      </c>
      <c r="G94" s="535" t="s">
        <v>2382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98</v>
      </c>
      <c r="E95" s="501">
        <f>D95-$K21</f>
        <v>96</v>
      </c>
      <c r="F95" s="501">
        <f>E95-$K21</f>
        <v>94</v>
      </c>
      <c r="G95" s="501">
        <f>F95-$K21</f>
        <v>92</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2565</v>
      </c>
      <c r="C96" s="535" t="s">
        <v>2378</v>
      </c>
      <c r="D96" s="535" t="s">
        <v>2379</v>
      </c>
      <c r="E96" s="535" t="s">
        <v>2380</v>
      </c>
      <c r="F96" s="535" t="s">
        <v>2381</v>
      </c>
      <c r="G96" s="535" t="s">
        <v>2382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2566</v>
      </c>
      <c r="C98" s="530" t="s">
        <v>2378</v>
      </c>
      <c r="D98" s="530" t="s">
        <v>2379</v>
      </c>
      <c r="E98" s="530" t="s">
        <v>2380</v>
      </c>
      <c r="F98" s="530" t="s">
        <v>2381</v>
      </c>
      <c r="G98" s="530" t="s">
        <v>2382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2435</v>
      </c>
      <c r="C100" s="530" t="s">
        <v>2378</v>
      </c>
      <c r="D100" s="530" t="s">
        <v>2379</v>
      </c>
      <c r="E100" s="530" t="s">
        <v>2380</v>
      </c>
      <c r="F100" s="530" t="s">
        <v>2381</v>
      </c>
      <c r="G100" s="530" t="s">
        <v>2382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2436</v>
      </c>
      <c r="C102" s="616" t="s">
        <v>2456</v>
      </c>
      <c r="D102" s="616" t="s">
        <v>2457</v>
      </c>
      <c r="E102" s="616" t="s">
        <v>2458</v>
      </c>
      <c r="F102" s="616" t="s">
        <v>2459</v>
      </c>
      <c r="G102" s="616" t="s">
        <v>2460</v>
      </c>
      <c r="H102" s="557"/>
      <c r="I102" s="557"/>
      <c r="J102" s="557"/>
      <c r="K102" s="557"/>
      <c r="L102" s="557"/>
      <c r="M102" s="1294"/>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2567</v>
      </c>
      <c r="D104" s="496" t="s">
        <v>2568</v>
      </c>
      <c r="E104" s="496" t="s">
        <v>2569</v>
      </c>
      <c r="F104" s="496" t="s">
        <v>2570</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98</v>
      </c>
      <c r="E105" s="501">
        <f t="shared" ref="E105:M105" si="24">D105-$K31</f>
        <v>96</v>
      </c>
      <c r="F105" s="501">
        <f t="shared" si="24"/>
        <v>94</v>
      </c>
      <c r="G105" s="501">
        <f t="shared" si="24"/>
        <v>92</v>
      </c>
      <c r="H105" s="501">
        <f t="shared" si="24"/>
        <v>90</v>
      </c>
      <c r="I105" s="501">
        <f t="shared" si="24"/>
        <v>88</v>
      </c>
      <c r="J105" s="501">
        <f t="shared" si="24"/>
        <v>86</v>
      </c>
      <c r="K105" s="501">
        <f t="shared" si="24"/>
        <v>84</v>
      </c>
      <c r="L105" s="501">
        <f t="shared" si="24"/>
        <v>82</v>
      </c>
      <c r="M105" s="501">
        <f t="shared" si="24"/>
        <v>80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2472</v>
      </c>
      <c r="C106" s="3057" t="s">
        <v>3134</v>
      </c>
      <c r="D106" s="3057" t="s">
        <v>3135</v>
      </c>
      <c r="E106" s="3057" t="s">
        <v>3136</v>
      </c>
      <c r="F106" s="3057" t="s">
        <v>3137</v>
      </c>
      <c r="G106" s="3057" t="s">
        <v>3138</v>
      </c>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2530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ht="28.5">
      <c r="A116" s="484" t="s">
        <v>2344</v>
      </c>
      <c r="B116" s="485" t="s">
        <v>2571</v>
      </c>
      <c r="C116" s="486" t="str">
        <f>C117&amp;"(含)"&amp;"-"&amp;D117</f>
        <v>0(含)-50000</v>
      </c>
      <c r="D116" s="486" t="str">
        <f t="shared" ref="D116:M116" si="27">D117&amp;"(含)"&amp;"-"&amp;E117</f>
        <v>50000(含)-100000</v>
      </c>
      <c r="E116" s="486" t="str">
        <f t="shared" si="27"/>
        <v>100000(含)-150000</v>
      </c>
      <c r="F116" s="486" t="str">
        <f t="shared" si="27"/>
        <v>150000(含)-200000</v>
      </c>
      <c r="G116" s="486" t="str">
        <f t="shared" si="27"/>
        <v>200000(含)-250000</v>
      </c>
      <c r="H116" s="486" t="str">
        <f t="shared" si="27"/>
        <v>250000(含)-</v>
      </c>
      <c r="I116" s="486" t="str">
        <f t="shared" si="27"/>
        <v>(含)-</v>
      </c>
      <c r="J116" s="486" t="str">
        <f t="shared" si="27"/>
        <v>(含)-</v>
      </c>
      <c r="K116" s="486" t="str">
        <f t="shared" si="27"/>
        <v>(含)-</v>
      </c>
      <c r="L116" s="486" t="str">
        <f t="shared" si="27"/>
        <v>(含)-</v>
      </c>
      <c r="M116" s="486" t="str">
        <f t="shared" si="27"/>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3056">
        <v>0</v>
      </c>
      <c r="D117" s="3056">
        <f>C117+50000</f>
        <v>50000</v>
      </c>
      <c r="E117" s="3056">
        <f t="shared" ref="E117:H117" si="28">D117+50000</f>
        <v>100000</v>
      </c>
      <c r="F117" s="3056">
        <f t="shared" si="28"/>
        <v>150000</v>
      </c>
      <c r="G117" s="3056">
        <f t="shared" si="28"/>
        <v>200000</v>
      </c>
      <c r="H117" s="3056">
        <f t="shared" si="28"/>
        <v>250000</v>
      </c>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3060">
        <v>100</v>
      </c>
      <c r="D118" s="3060">
        <f>C118+0.5</f>
        <v>100.5</v>
      </c>
      <c r="E118" s="3060">
        <f t="shared" ref="E118:H118" si="29">D118+0.5</f>
        <v>101</v>
      </c>
      <c r="F118" s="3060">
        <f t="shared" si="29"/>
        <v>101.5</v>
      </c>
      <c r="G118" s="3060">
        <f t="shared" si="29"/>
        <v>102</v>
      </c>
      <c r="H118" s="3060">
        <f t="shared" si="29"/>
        <v>102.5</v>
      </c>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2572</v>
      </c>
      <c r="C119" s="3057" t="s">
        <v>3139</v>
      </c>
      <c r="D119" s="3057" t="s">
        <v>3140</v>
      </c>
      <c r="E119" s="3057" t="s">
        <v>3141</v>
      </c>
      <c r="F119" s="3057" t="s">
        <v>3142</v>
      </c>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30">C120-$K39</f>
        <v>98</v>
      </c>
      <c r="E120" s="501">
        <f t="shared" si="30"/>
        <v>96</v>
      </c>
      <c r="F120" s="501">
        <f t="shared" si="30"/>
        <v>94</v>
      </c>
      <c r="G120" s="501">
        <f t="shared" si="30"/>
        <v>92</v>
      </c>
      <c r="H120" s="501">
        <f t="shared" si="30"/>
        <v>90</v>
      </c>
      <c r="I120" s="501">
        <f t="shared" si="30"/>
        <v>88</v>
      </c>
      <c r="J120" s="501">
        <f t="shared" si="30"/>
        <v>86</v>
      </c>
      <c r="K120" s="501">
        <f t="shared" si="30"/>
        <v>84</v>
      </c>
      <c r="L120" s="501">
        <f t="shared" si="30"/>
        <v>82</v>
      </c>
      <c r="M120" s="502">
        <f t="shared" si="30"/>
        <v>80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2573</v>
      </c>
      <c r="C121" s="3057" t="s">
        <v>3143</v>
      </c>
      <c r="D121" s="3057" t="s">
        <v>3144</v>
      </c>
      <c r="E121" s="3057" t="s">
        <v>3145</v>
      </c>
      <c r="F121" s="3057" t="s">
        <v>3146</v>
      </c>
      <c r="G121" s="3057" t="s">
        <v>3147</v>
      </c>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31">C122-$K40</f>
        <v>98</v>
      </c>
      <c r="E122" s="501">
        <f t="shared" si="31"/>
        <v>96</v>
      </c>
      <c r="F122" s="501">
        <f t="shared" si="31"/>
        <v>94</v>
      </c>
      <c r="G122" s="501">
        <f t="shared" si="31"/>
        <v>92</v>
      </c>
      <c r="H122" s="501">
        <f t="shared" si="31"/>
        <v>90</v>
      </c>
      <c r="I122" s="501">
        <f t="shared" si="31"/>
        <v>88</v>
      </c>
      <c r="J122" s="501">
        <f t="shared" si="31"/>
        <v>86</v>
      </c>
      <c r="K122" s="501">
        <f t="shared" si="31"/>
        <v>84</v>
      </c>
      <c r="L122" s="501">
        <f t="shared" si="31"/>
        <v>82</v>
      </c>
      <c r="M122" s="502">
        <f t="shared" si="31"/>
        <v>80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2574</v>
      </c>
      <c r="C123" s="3061" t="s">
        <v>3148</v>
      </c>
      <c r="D123" s="3061" t="s">
        <v>3149</v>
      </c>
      <c r="E123" s="3061" t="s">
        <v>3150</v>
      </c>
      <c r="F123" s="3061" t="s">
        <v>3151</v>
      </c>
      <c r="G123" s="3061" t="s">
        <v>3152</v>
      </c>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99</v>
      </c>
      <c r="E124" s="501">
        <f t="shared" ref="E124:M124" si="32">D124-$K41</f>
        <v>98</v>
      </c>
      <c r="F124" s="501">
        <f t="shared" si="32"/>
        <v>97</v>
      </c>
      <c r="G124" s="501">
        <f t="shared" si="32"/>
        <v>96</v>
      </c>
      <c r="H124" s="501">
        <f t="shared" si="32"/>
        <v>95</v>
      </c>
      <c r="I124" s="501">
        <f t="shared" si="32"/>
        <v>94</v>
      </c>
      <c r="J124" s="501">
        <f t="shared" si="32"/>
        <v>93</v>
      </c>
      <c r="K124" s="501">
        <f t="shared" si="32"/>
        <v>92</v>
      </c>
      <c r="L124" s="501">
        <f t="shared" si="32"/>
        <v>91</v>
      </c>
      <c r="M124" s="502">
        <f t="shared" si="32"/>
        <v>90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2575</v>
      </c>
      <c r="C125" s="3057" t="s">
        <v>3153</v>
      </c>
      <c r="D125" s="3057" t="s">
        <v>3154</v>
      </c>
      <c r="E125" s="3057" t="s">
        <v>3155</v>
      </c>
      <c r="F125" s="3057" t="s">
        <v>3156</v>
      </c>
      <c r="G125" s="3057" t="s">
        <v>3157</v>
      </c>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33">C126-$K42</f>
        <v>98</v>
      </c>
      <c r="E126" s="501">
        <f t="shared" si="33"/>
        <v>96</v>
      </c>
      <c r="F126" s="501">
        <f t="shared" si="33"/>
        <v>94</v>
      </c>
      <c r="G126" s="501">
        <f t="shared" si="33"/>
        <v>92</v>
      </c>
      <c r="H126" s="501">
        <f t="shared" si="33"/>
        <v>90</v>
      </c>
      <c r="I126" s="501">
        <f t="shared" si="33"/>
        <v>88</v>
      </c>
      <c r="J126" s="501">
        <f t="shared" si="33"/>
        <v>86</v>
      </c>
      <c r="K126" s="501">
        <f t="shared" si="33"/>
        <v>84</v>
      </c>
      <c r="L126" s="501">
        <f t="shared" si="33"/>
        <v>82</v>
      </c>
      <c r="M126" s="502">
        <f t="shared" si="33"/>
        <v>80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52" sqref="C52"/>
    </sheetView>
  </sheetViews>
  <sheetFormatPr defaultColWidth="8.375" defaultRowHeight="12.75"/>
  <cols>
    <col min="1" max="1" width="10.375" style="3165" customWidth="1"/>
    <col min="2" max="2" width="29.25" style="3149" customWidth="1"/>
    <col min="3" max="3" width="12.125" style="3149" customWidth="1"/>
    <col min="4" max="5" width="11.25" style="3168" customWidth="1"/>
    <col min="6" max="6" width="9.5" style="3149" customWidth="1"/>
    <col min="7" max="7" width="31.875" style="3149" customWidth="1"/>
    <col min="8" max="254" width="9" style="3149" customWidth="1"/>
    <col min="255" max="16384" width="8.375" style="3149"/>
  </cols>
  <sheetData>
    <row r="1" spans="1:9" s="3081" customFormat="1" ht="20.25">
      <c r="A1" s="3077" t="s">
        <v>3253</v>
      </c>
      <c r="B1" s="3078"/>
      <c r="C1" s="3079"/>
      <c r="D1" s="3079"/>
      <c r="E1" s="3079"/>
      <c r="F1" s="3079"/>
      <c r="G1" s="3080">
        <f>MATCH(B1,'数据-取费表'!A6:A16,0)+5</f>
        <v>9</v>
      </c>
    </row>
    <row r="2" spans="1:9" s="3081" customFormat="1" ht="18" customHeight="1">
      <c r="A2" s="3082" t="s">
        <v>3254</v>
      </c>
      <c r="B2" s="3083">
        <f ca="1">IF(D2="——",C52,C52-E2)</f>
        <v>577695</v>
      </c>
      <c r="C2" s="3084" t="s">
        <v>3255</v>
      </c>
      <c r="D2" s="3085" t="s">
        <v>70</v>
      </c>
      <c r="E2" s="3086" t="e">
        <f ca="1">SUMIF(INDIRECT("'"&amp;G2&amp;"'"&amp;"!A:A"),"承租人权益价值",INDIRECT("'"&amp;G2&amp;"'"&amp;"!c:c"))</f>
        <v>#REF!</v>
      </c>
      <c r="F2" s="3087" t="s">
        <v>3255</v>
      </c>
      <c r="G2" s="3088"/>
    </row>
    <row r="3" spans="1:9" s="3081" customFormat="1" ht="18" customHeight="1" thickBot="1">
      <c r="A3" s="3089" t="s">
        <v>3256</v>
      </c>
      <c r="B3" s="3090">
        <f ca="1">ROUND(B2*10000/(IF(B1="",'数据-汇总表'!E3,INDIRECT("'数据-取费表'!k"&amp;$G$1))),0)</f>
        <v>44437</v>
      </c>
      <c r="C3" s="3084" t="s">
        <v>3257</v>
      </c>
      <c r="D3" s="3084"/>
      <c r="E3" s="3084"/>
      <c r="F3" s="3084"/>
      <c r="G3" s="3084"/>
    </row>
    <row r="4" spans="1:9" s="3094" customFormat="1" ht="15.75">
      <c r="A4" s="3091" t="s">
        <v>3258</v>
      </c>
      <c r="B4" s="3092"/>
      <c r="C4" s="3092"/>
      <c r="D4" s="3092"/>
      <c r="E4" s="3092"/>
      <c r="F4" s="3092"/>
      <c r="G4" s="3093"/>
    </row>
    <row r="5" spans="1:9" s="3100" customFormat="1" ht="13.5" customHeight="1">
      <c r="A5" s="3095" t="s">
        <v>3259</v>
      </c>
      <c r="B5" s="3096" t="s">
        <v>3260</v>
      </c>
      <c r="C5" s="3097">
        <f ca="1">C6+C7+C8</f>
        <v>335749</v>
      </c>
      <c r="D5" s="3097" t="s">
        <v>3261</v>
      </c>
      <c r="E5" s="3098" t="s">
        <v>3262</v>
      </c>
      <c r="F5" s="3098" t="s">
        <v>3263</v>
      </c>
      <c r="G5" s="3099"/>
    </row>
    <row r="6" spans="1:9" s="3100" customFormat="1" ht="13.5" customHeight="1">
      <c r="A6" s="3101" t="s">
        <v>3264</v>
      </c>
      <c r="B6" s="3102" t="s">
        <v>3265</v>
      </c>
      <c r="C6" s="3103">
        <f>'土地比较法-住宅、综合'!F66</f>
        <v>323682</v>
      </c>
      <c r="D6" s="3104"/>
      <c r="E6" s="3105"/>
      <c r="F6" s="3105"/>
      <c r="G6" s="3106"/>
    </row>
    <row r="7" spans="1:9" s="3100" customFormat="1" ht="13.5" customHeight="1">
      <c r="A7" s="3101" t="s">
        <v>3266</v>
      </c>
      <c r="B7" s="3102" t="s">
        <v>3236</v>
      </c>
      <c r="C7" s="3107">
        <f>ROUND(C6*F7,0)</f>
        <v>9872</v>
      </c>
      <c r="D7" s="3107"/>
      <c r="E7" s="3105"/>
      <c r="F7" s="3108">
        <f>IF(项目基本情况!B8="出让",0,'数据-取费表'!B48+'数据-取费表'!B49)</f>
        <v>3.0499999999999999E-2</v>
      </c>
      <c r="G7" s="3106"/>
    </row>
    <row r="8" spans="1:9" s="3100" customFormat="1">
      <c r="A8" s="3101" t="s">
        <v>3267</v>
      </c>
      <c r="B8" s="3102" t="s">
        <v>3268</v>
      </c>
      <c r="C8" s="3107">
        <f ca="1">IF(G8="已包含在土地购买价格中","0",IF(B1="",'数据-取费表'!B29,IF(G9="全部缴纳",C9+C10,H9)))</f>
        <v>2195</v>
      </c>
      <c r="D8" s="3109"/>
      <c r="E8" s="3107"/>
      <c r="F8" s="3108"/>
      <c r="G8" s="3110" t="s">
        <v>3186</v>
      </c>
    </row>
    <row r="9" spans="1:9" s="3100" customFormat="1" ht="13.5" customHeight="1">
      <c r="A9" s="3111" t="s">
        <v>800</v>
      </c>
      <c r="B9" s="3112" t="s">
        <v>3269</v>
      </c>
      <c r="C9" s="3113">
        <f ca="1">ROUND(D9*E9/10000,0)</f>
        <v>1620</v>
      </c>
      <c r="D9" s="3114">
        <f ca="1">IF(B1="",'数据-汇总表'!E5,IF(INDIRECT("'数据-取费表'!c"&amp;$G$1)="住宅",INDIRECT("'数据-取费表'!k"&amp;$G$1),0))</f>
        <v>101252.65000000002</v>
      </c>
      <c r="E9" s="3113">
        <f>'数据-取费表'!B27</f>
        <v>160</v>
      </c>
      <c r="F9" s="3108"/>
      <c r="G9" s="3115" t="s">
        <v>3187</v>
      </c>
      <c r="H9" s="3116"/>
      <c r="I9" s="3100" t="s">
        <v>3270</v>
      </c>
    </row>
    <row r="10" spans="1:9" s="3100" customFormat="1" ht="13.5" customHeight="1">
      <c r="A10" s="3111" t="s">
        <v>801</v>
      </c>
      <c r="B10" s="3112" t="s">
        <v>3271</v>
      </c>
      <c r="C10" s="3113">
        <f ca="1">ROUND(D10*E10/10000,0)</f>
        <v>575</v>
      </c>
      <c r="D10" s="3114">
        <f ca="1">IF(B1="",'数据-汇总表'!E6,IF(INDIRECT("'数据-取费表'!c"&amp;$G$1)="住宅",INDIRECT("'数据-取费表'!s"&amp;$G$1),INDIRECT("'数据-取费表'!k"&amp;$G$1)+INDIRECT("'数据-取费表'!s"&amp;$G$1)))</f>
        <v>28750.119999999995</v>
      </c>
      <c r="E10" s="3113">
        <f>'数据-取费表'!B28</f>
        <v>200</v>
      </c>
      <c r="F10" s="3108"/>
      <c r="G10" s="3117"/>
    </row>
    <row r="11" spans="1:9" s="3100" customFormat="1" ht="13.5" hidden="1" customHeight="1">
      <c r="A11" s="3118" t="s">
        <v>7</v>
      </c>
      <c r="B11" s="3102" t="s">
        <v>3272</v>
      </c>
      <c r="C11" s="3097"/>
      <c r="D11" s="3119"/>
      <c r="E11" s="3105"/>
      <c r="F11" s="3105"/>
      <c r="G11" s="3106"/>
    </row>
    <row r="12" spans="1:9" s="3100" customFormat="1" ht="13.5" hidden="1" customHeight="1">
      <c r="A12" s="3118" t="s">
        <v>8</v>
      </c>
      <c r="B12" s="3102" t="s">
        <v>3273</v>
      </c>
      <c r="C12" s="3097">
        <v>0</v>
      </c>
      <c r="D12" s="3119"/>
      <c r="E12" s="3120"/>
      <c r="F12" s="3108">
        <v>3.0499999999999999E-2</v>
      </c>
      <c r="G12" s="3106"/>
    </row>
    <row r="13" spans="1:9" s="3100" customFormat="1" ht="13.5" hidden="1" customHeight="1">
      <c r="A13" s="3118" t="s">
        <v>9</v>
      </c>
      <c r="B13" s="3102" t="s">
        <v>3274</v>
      </c>
      <c r="C13" s="3097"/>
      <c r="D13" s="3119"/>
      <c r="E13" s="3105"/>
      <c r="F13" s="3105"/>
      <c r="G13" s="3106"/>
    </row>
    <row r="14" spans="1:9" s="3100" customFormat="1" ht="13.5" hidden="1" customHeight="1">
      <c r="A14" s="3118" t="s">
        <v>10</v>
      </c>
      <c r="B14" s="3102" t="s">
        <v>3268</v>
      </c>
      <c r="C14" s="3097"/>
      <c r="D14" s="3119"/>
      <c r="E14" s="3105"/>
      <c r="F14" s="3105"/>
      <c r="G14" s="3106" t="s">
        <v>3275</v>
      </c>
    </row>
    <row r="15" spans="1:9" s="3100" customFormat="1" ht="13.5" hidden="1" customHeight="1">
      <c r="A15" s="3118" t="s">
        <v>11</v>
      </c>
      <c r="B15" s="3102" t="s">
        <v>3276</v>
      </c>
      <c r="C15" s="3107"/>
      <c r="D15" s="3119"/>
      <c r="E15" s="3105"/>
      <c r="F15" s="3105"/>
      <c r="G15" s="3106" t="s">
        <v>3277</v>
      </c>
    </row>
    <row r="16" spans="1:9" s="3100" customFormat="1" ht="13.5" hidden="1" customHeight="1">
      <c r="A16" s="3118" t="s">
        <v>12</v>
      </c>
      <c r="B16" s="3102" t="s">
        <v>3268</v>
      </c>
      <c r="C16" s="3107"/>
      <c r="D16" s="3119"/>
      <c r="E16" s="3105"/>
      <c r="F16" s="3105"/>
      <c r="G16" s="3106"/>
    </row>
    <row r="17" spans="1:9" s="3100" customFormat="1" ht="13.5" hidden="1" customHeight="1">
      <c r="A17" s="3118" t="s">
        <v>13</v>
      </c>
      <c r="B17" s="3102" t="s">
        <v>3278</v>
      </c>
      <c r="C17" s="3121"/>
      <c r="D17" s="3122"/>
      <c r="E17" s="3121"/>
      <c r="F17" s="3121"/>
      <c r="G17" s="3106" t="s">
        <v>3277</v>
      </c>
    </row>
    <row r="18" spans="1:9" s="3100" customFormat="1" ht="13.5" hidden="1" customHeight="1">
      <c r="A18" s="3118" t="s">
        <v>14</v>
      </c>
      <c r="B18" s="3102" t="s">
        <v>3279</v>
      </c>
      <c r="C18" s="3107">
        <v>0</v>
      </c>
      <c r="D18" s="3119"/>
      <c r="E18" s="3105"/>
      <c r="F18" s="3108">
        <v>3.0499999999999999E-2</v>
      </c>
      <c r="G18" s="3106" t="s">
        <v>3280</v>
      </c>
    </row>
    <row r="19" spans="1:9" s="3100" customFormat="1" ht="13.5" customHeight="1">
      <c r="A19" s="3095" t="s">
        <v>3281</v>
      </c>
      <c r="B19" s="3096" t="s">
        <v>3282</v>
      </c>
      <c r="C19" s="3097" t="str">
        <f>IF(G19="已包含在土地取得成本中","0",ROUND(D19*E19/10000,0))</f>
        <v>0</v>
      </c>
      <c r="D19" s="3123">
        <f ca="1">D9+D10</f>
        <v>130002.77000000002</v>
      </c>
      <c r="E19" s="3097">
        <f>'数据-取费表'!B31</f>
        <v>200</v>
      </c>
      <c r="F19" s="3124"/>
      <c r="G19" s="3110" t="s">
        <v>3188</v>
      </c>
    </row>
    <row r="20" spans="1:9" s="3100" customFormat="1" ht="13.5" customHeight="1">
      <c r="A20" s="3095" t="s">
        <v>3283</v>
      </c>
      <c r="B20" s="3096" t="s">
        <v>3284</v>
      </c>
      <c r="C20" s="3125">
        <f ca="1">ROUND((C5+C19)*F20,0)</f>
        <v>8394</v>
      </c>
      <c r="D20" s="3125"/>
      <c r="E20" s="3125"/>
      <c r="F20" s="3126">
        <f>'数据-取费表'!B37</f>
        <v>2.5000000000000001E-2</v>
      </c>
      <c r="G20" s="3127" t="s">
        <v>3285</v>
      </c>
    </row>
    <row r="21" spans="1:9" s="3100" customFormat="1" ht="13.5" customHeight="1">
      <c r="A21" s="3095" t="s">
        <v>3286</v>
      </c>
      <c r="B21" s="3096" t="s">
        <v>3287</v>
      </c>
      <c r="C21" s="3128">
        <f>F21</f>
        <v>2.5000000000000001E-2</v>
      </c>
      <c r="D21" s="3129" t="s">
        <v>3288</v>
      </c>
      <c r="E21" s="3125"/>
      <c r="F21" s="3126">
        <f>'数据-取费表'!B38</f>
        <v>2.5000000000000001E-2</v>
      </c>
      <c r="G21" s="3127" t="s">
        <v>3289</v>
      </c>
    </row>
    <row r="22" spans="1:9" s="3100" customFormat="1" ht="13.5" customHeight="1">
      <c r="A22" s="3095" t="s">
        <v>3290</v>
      </c>
      <c r="B22" s="3096" t="s">
        <v>3291</v>
      </c>
      <c r="C22" s="3130">
        <f ca="1">ROUND(SUM(C23:C25),0)</f>
        <v>46303</v>
      </c>
      <c r="D22" s="3128">
        <f ca="1">C26</f>
        <v>1.6000000000000001E-3</v>
      </c>
      <c r="E22" s="3129" t="s">
        <v>3288</v>
      </c>
      <c r="F22" s="3131">
        <f ca="1">'数据-取费表'!B40</f>
        <v>4.3499999999999997E-2</v>
      </c>
      <c r="G22" s="3127" t="str">
        <f>IF('数据-取费表'!B22&lt;=1,"单利计息","复利计息")</f>
        <v>复利计息</v>
      </c>
    </row>
    <row r="23" spans="1:9" s="3100" customFormat="1" ht="13.5" customHeight="1">
      <c r="A23" s="3132" t="s">
        <v>3264</v>
      </c>
      <c r="B23" s="3102" t="s">
        <v>3292</v>
      </c>
      <c r="C23" s="3133">
        <f ca="1">ROUND(IF('数据-取费表'!B22&lt;=1,C5*F22*'数据-取费表'!B23,C5*(POWER((1+F22),'数据-取费表'!B23)-1)),0)</f>
        <v>45749</v>
      </c>
      <c r="D23" s="3134"/>
      <c r="E23" s="3134"/>
      <c r="F23" s="3135"/>
      <c r="G23" s="3136" t="s">
        <v>3293</v>
      </c>
    </row>
    <row r="24" spans="1:9" s="3100" customFormat="1" ht="13.5" customHeight="1">
      <c r="A24" s="3132" t="s">
        <v>3266</v>
      </c>
      <c r="B24" s="3102" t="s">
        <v>3294</v>
      </c>
      <c r="C24" s="3133">
        <f ca="1">ROUND(IF('数据-取费表'!B22&lt;=1,C19*F22*('数据-取费表'!B19/2+'数据-取费表'!B21),C19*(POWER((1+F22),('数据-取费表'!B19/2+'数据-取费表'!B21))-1)),0)</f>
        <v>0</v>
      </c>
      <c r="D24" s="3134"/>
      <c r="E24" s="3134"/>
      <c r="F24" s="3135"/>
      <c r="G24" s="3136" t="s">
        <v>3295</v>
      </c>
    </row>
    <row r="25" spans="1:9" s="3100" customFormat="1" ht="24">
      <c r="A25" s="3132" t="s">
        <v>3267</v>
      </c>
      <c r="B25" s="3102" t="s">
        <v>3296</v>
      </c>
      <c r="C25" s="3133">
        <f ca="1">ROUND(IF('数据-取费表'!B22&lt;=1,C20*F22*'数据-取费表'!B23/2,C20*(POWER((1+F22),'数据-取费表'!B23/2)-1)),0)</f>
        <v>554</v>
      </c>
      <c r="D25" s="3134"/>
      <c r="E25" s="3137"/>
      <c r="F25" s="3135"/>
      <c r="G25" s="3138" t="s">
        <v>3297</v>
      </c>
    </row>
    <row r="26" spans="1:9" s="3100" customFormat="1">
      <c r="A26" s="3132" t="s">
        <v>3237</v>
      </c>
      <c r="B26" s="3102" t="s">
        <v>3238</v>
      </c>
      <c r="C26" s="3134">
        <f ca="1">ROUND(IF('数据-取费表'!B22&lt;=1,F21*F22*'数据-取费表'!B23/2,F21*(POWER((1+F22),'数据-取费表'!B23/2)-1)),4)</f>
        <v>1.6000000000000001E-3</v>
      </c>
      <c r="D26" s="3134"/>
      <c r="E26" s="3137"/>
      <c r="F26" s="3135"/>
      <c r="G26" s="3139"/>
    </row>
    <row r="27" spans="1:9" s="3100" customFormat="1" ht="24.75">
      <c r="A27" s="3095" t="s">
        <v>3239</v>
      </c>
      <c r="B27" s="3140" t="s">
        <v>3240</v>
      </c>
      <c r="C27" s="3141">
        <f ca="1">C28</f>
        <v>30973</v>
      </c>
      <c r="D27" s="3128">
        <f ca="1">C29</f>
        <v>2.3E-3</v>
      </c>
      <c r="E27" s="3129" t="s">
        <v>3241</v>
      </c>
      <c r="F27" s="3142">
        <f ca="1">IF(B1="",'数据-取费表'!Q16,INDIRECT("'数据-取费表'!q"&amp;$G$1))</f>
        <v>0.09</v>
      </c>
      <c r="G27" s="3143" t="s">
        <v>3242</v>
      </c>
    </row>
    <row r="28" spans="1:9" s="3100" customFormat="1" ht="13.5" customHeight="1">
      <c r="A28" s="3132" t="s">
        <v>3298</v>
      </c>
      <c r="B28" s="3144" t="s">
        <v>3299</v>
      </c>
      <c r="C28" s="3145">
        <f ca="1">ROUND((C5+C19+C20)*F27*'数据-取费表'!B21/'数据-取费表'!B20,0)</f>
        <v>30973</v>
      </c>
      <c r="D28" s="3128"/>
      <c r="E28" s="3129"/>
      <c r="F28" s="3142"/>
      <c r="G28" s="3143"/>
      <c r="I28" s="3100" t="s">
        <v>3347</v>
      </c>
    </row>
    <row r="29" spans="1:9" s="3100" customFormat="1" ht="13.5" customHeight="1">
      <c r="A29" s="3132" t="s">
        <v>3300</v>
      </c>
      <c r="B29" s="3144" t="s">
        <v>3301</v>
      </c>
      <c r="C29" s="3134">
        <f ca="1">ROUND(C21*F27*'数据-取费表'!B21/'数据-取费表'!B20,4)</f>
        <v>2.3E-3</v>
      </c>
      <c r="D29" s="3128"/>
      <c r="E29" s="3129"/>
      <c r="F29" s="3142"/>
      <c r="G29" s="3143"/>
    </row>
    <row r="30" spans="1:9" s="3100" customFormat="1" ht="13.5" customHeight="1">
      <c r="A30" s="3095" t="s">
        <v>3302</v>
      </c>
      <c r="B30" s="3096" t="s">
        <v>3243</v>
      </c>
      <c r="C30" s="3128">
        <f>ROUND(F30/(1+'数据-取费表'!C42),4)</f>
        <v>5.2400000000000002E-2</v>
      </c>
      <c r="D30" s="3129" t="s">
        <v>3241</v>
      </c>
      <c r="E30" s="3137"/>
      <c r="F30" s="3131">
        <f>'数据-取费表'!B41</f>
        <v>5.5000000000000007E-2</v>
      </c>
      <c r="G30" s="3127" t="s">
        <v>3303</v>
      </c>
    </row>
    <row r="31" spans="1:9" ht="16.5" customHeight="1">
      <c r="A31" s="3146">
        <v>1</v>
      </c>
      <c r="B31" s="3096" t="s">
        <v>3304</v>
      </c>
      <c r="C31" s="3097">
        <f ca="1">ROUND((C5+C19+C20+C22+C27)/(1-C21-D22-D27-C30),0)</f>
        <v>458712</v>
      </c>
      <c r="D31" s="3147"/>
      <c r="E31" s="3097"/>
      <c r="F31" s="3148"/>
      <c r="G31" s="3127" t="s">
        <v>3305</v>
      </c>
    </row>
    <row r="32" spans="1:9" s="3094" customFormat="1" ht="15.75">
      <c r="A32" s="3150" t="s">
        <v>3306</v>
      </c>
      <c r="B32" s="3151"/>
      <c r="C32" s="3151"/>
      <c r="D32" s="3151"/>
      <c r="E32" s="3151"/>
      <c r="F32" s="3151"/>
      <c r="G32" s="3152"/>
    </row>
    <row r="33" spans="1:7" s="3100" customFormat="1" ht="13.5" customHeight="1">
      <c r="A33" s="3095" t="s">
        <v>3307</v>
      </c>
      <c r="B33" s="3096" t="s">
        <v>3308</v>
      </c>
      <c r="C33" s="3153">
        <f ca="1">SUM(C34:C38)</f>
        <v>94139</v>
      </c>
      <c r="D33" s="3125"/>
      <c r="E33" s="3098"/>
      <c r="F33" s="3137"/>
      <c r="G33" s="3127"/>
    </row>
    <row r="34" spans="1:7" ht="13.5" customHeight="1">
      <c r="A34" s="3132" t="s">
        <v>3298</v>
      </c>
      <c r="B34" s="3102" t="s">
        <v>3244</v>
      </c>
      <c r="C34" s="3107">
        <f ca="1">IF(B1="",IF(F34=100%,'数据-取费表'!M16,'数据-取费表'!O16),IF(F34=100%,INDIRECT("'数据-取费表'!m"&amp;$G$1)+INDIRECT("'数据-取费表'!t"&amp;$G$1),INDIRECT("'数据-取费表'!o"&amp;$G$1)+INDIRECT("'数据-取费表'!aq"&amp;$G$1)))</f>
        <v>81627</v>
      </c>
      <c r="D34" s="3104"/>
      <c r="E34" s="3107"/>
      <c r="F34" s="3154">
        <f ca="1">IF('数据-取费表'!B24=0,1,IF(B1="",'数据-取费表'!N16,INDIRECT("'数据-取费表'!n"&amp;$G$1)))</f>
        <v>1</v>
      </c>
      <c r="G34" s="3106" t="s">
        <v>3309</v>
      </c>
    </row>
    <row r="35" spans="1:7" ht="13.5" customHeight="1">
      <c r="A35" s="3132" t="s">
        <v>3310</v>
      </c>
      <c r="B35" s="3102" t="s">
        <v>3245</v>
      </c>
      <c r="C35" s="3107">
        <f ca="1">ROUND(C34*F35,0)</f>
        <v>4081</v>
      </c>
      <c r="D35" s="3107"/>
      <c r="E35" s="3107"/>
      <c r="F35" s="3155">
        <f>'数据-取费表'!B33</f>
        <v>0.05</v>
      </c>
      <c r="G35" s="3106" t="s">
        <v>3311</v>
      </c>
    </row>
    <row r="36" spans="1:7" ht="24">
      <c r="A36" s="3132" t="s">
        <v>3312</v>
      </c>
      <c r="B36" s="3102" t="s">
        <v>3246</v>
      </c>
      <c r="C36" s="3107">
        <f ca="1">ROUND(IF(B1="",SUMIF('数据-取费表'!C:C,"住宅",IF(F34=100%,'数据-取费表'!M:M,'数据-取费表'!O:O))*F36,IF(INDIRECT("'数据-取费表'!c"&amp;$G$1)="住宅",IF(F34=100%,INDIRECT("'数据-取费表'!m"&amp;$G$1)*F36,INDIRECT("'数据-取费表'!o"&amp;$G$1)*F36),0)),0)</f>
        <v>4607</v>
      </c>
      <c r="D36" s="3107"/>
      <c r="E36" s="3107"/>
      <c r="F36" s="3155">
        <f>'数据-取费表'!B34</f>
        <v>7.0000000000000007E-2</v>
      </c>
      <c r="G36" s="3156" t="s">
        <v>3247</v>
      </c>
    </row>
    <row r="37" spans="1:7" ht="13.5" customHeight="1">
      <c r="A37" s="3132" t="s">
        <v>3248</v>
      </c>
      <c r="B37" s="3102" t="s">
        <v>3249</v>
      </c>
      <c r="C37" s="3145">
        <f ca="1">ROUND(E37*D37*F34/10000,0)</f>
        <v>2600</v>
      </c>
      <c r="D37" s="3104">
        <f ca="1">D19</f>
        <v>130002.77000000002</v>
      </c>
      <c r="E37" s="3145">
        <f>'数据-取费表'!B35</f>
        <v>200</v>
      </c>
      <c r="F37" s="3155"/>
      <c r="G37" s="3157" t="s">
        <v>3313</v>
      </c>
    </row>
    <row r="38" spans="1:7" ht="13.5" customHeight="1">
      <c r="A38" s="3132" t="s">
        <v>3314</v>
      </c>
      <c r="B38" s="3102" t="s">
        <v>3250</v>
      </c>
      <c r="C38" s="3107">
        <f ca="1">ROUND(C34*F38,0)</f>
        <v>1224</v>
      </c>
      <c r="D38" s="3107"/>
      <c r="E38" s="3107"/>
      <c r="F38" s="3155">
        <f>'数据-取费表'!B36</f>
        <v>1.4999999999999999E-2</v>
      </c>
      <c r="G38" s="3106" t="s">
        <v>3311</v>
      </c>
    </row>
    <row r="39" spans="1:7" s="3100" customFormat="1" ht="13.5" customHeight="1">
      <c r="A39" s="3095" t="s">
        <v>3315</v>
      </c>
      <c r="B39" s="3096" t="s">
        <v>3316</v>
      </c>
      <c r="C39" s="3125">
        <f ca="1">ROUND(C33*F20,0)</f>
        <v>2353</v>
      </c>
      <c r="D39" s="3125"/>
      <c r="E39" s="3125"/>
      <c r="F39" s="3126">
        <f>F20</f>
        <v>2.5000000000000001E-2</v>
      </c>
      <c r="G39" s="3127" t="s">
        <v>3317</v>
      </c>
    </row>
    <row r="40" spans="1:7" s="3100" customFormat="1" ht="13.5" customHeight="1">
      <c r="A40" s="3095" t="s">
        <v>3318</v>
      </c>
      <c r="B40" s="3096" t="s">
        <v>3319</v>
      </c>
      <c r="C40" s="3158">
        <f>F21</f>
        <v>2.5000000000000001E-2</v>
      </c>
      <c r="D40" s="3129" t="s">
        <v>3320</v>
      </c>
      <c r="E40" s="3125"/>
      <c r="F40" s="3126">
        <f>F21</f>
        <v>2.5000000000000001E-2</v>
      </c>
      <c r="G40" s="3127" t="s">
        <v>3321</v>
      </c>
    </row>
    <row r="41" spans="1:7" s="3100" customFormat="1" ht="13.5" customHeight="1">
      <c r="A41" s="3095" t="s">
        <v>3322</v>
      </c>
      <c r="B41" s="3096" t="s">
        <v>3323</v>
      </c>
      <c r="C41" s="3125">
        <f ca="1">ROUND(SUM(C42:C43),0)</f>
        <v>6364</v>
      </c>
      <c r="D41" s="3128">
        <f ca="1">C44</f>
        <v>1.6000000000000001E-3</v>
      </c>
      <c r="E41" s="3129" t="s">
        <v>3320</v>
      </c>
      <c r="F41" s="3131">
        <f ca="1">F22</f>
        <v>4.3499999999999997E-2</v>
      </c>
      <c r="G41" s="3127" t="str">
        <f>IF('数据-取费表'!B22&lt;=1,"单利计息","复利计息")</f>
        <v>复利计息</v>
      </c>
    </row>
    <row r="42" spans="1:7" ht="13.5" customHeight="1">
      <c r="A42" s="3132" t="s">
        <v>3298</v>
      </c>
      <c r="B42" s="3102" t="s">
        <v>3324</v>
      </c>
      <c r="C42" s="3134">
        <f ca="1">ROUND(IF('数据-取费表'!B22&lt;=1,C33*F22*'数据-取费表'!B21/2,C33*(POWER((1+F22),'数据-取费表'!B21/2)-1)),0)</f>
        <v>6209</v>
      </c>
      <c r="D42" s="3134"/>
      <c r="E42" s="3134"/>
      <c r="F42" s="3135"/>
      <c r="G42" s="3427" t="s">
        <v>3325</v>
      </c>
    </row>
    <row r="43" spans="1:7" ht="13.5" customHeight="1">
      <c r="A43" s="3132" t="s">
        <v>3300</v>
      </c>
      <c r="B43" s="3102" t="s">
        <v>3326</v>
      </c>
      <c r="C43" s="3134">
        <f ca="1">ROUND(IF('数据-取费表'!B22&lt;=1,C39*F22*'数据-取费表'!B21/2,C39*(POWER((1+F22),'数据-取费表'!B21/2)-1)),0)</f>
        <v>155</v>
      </c>
      <c r="D43" s="3134"/>
      <c r="E43" s="3134"/>
      <c r="F43" s="3135"/>
      <c r="G43" s="3428"/>
    </row>
    <row r="44" spans="1:7" ht="13.5" customHeight="1">
      <c r="A44" s="3132" t="s">
        <v>3327</v>
      </c>
      <c r="B44" s="3102" t="s">
        <v>3328</v>
      </c>
      <c r="C44" s="3134">
        <f ca="1">ROUND(IF('数据-取费表'!B22&lt;=1,C40*F22*'数据-取费表'!B21/2,C40*(POWER((1+F22),'数据-取费表'!B21/2)-1)),4)</f>
        <v>1.6000000000000001E-3</v>
      </c>
      <c r="D44" s="3134"/>
      <c r="E44" s="3134"/>
      <c r="F44" s="3135"/>
      <c r="G44" s="3429"/>
    </row>
    <row r="45" spans="1:7" s="3100" customFormat="1" ht="13.5" customHeight="1">
      <c r="A45" s="3095" t="s">
        <v>3329</v>
      </c>
      <c r="B45" s="3140" t="s">
        <v>3240</v>
      </c>
      <c r="C45" s="3141">
        <f ca="1">C46</f>
        <v>8684</v>
      </c>
      <c r="D45" s="3128">
        <f ca="1">C47</f>
        <v>2.3E-3</v>
      </c>
      <c r="E45" s="3129" t="s">
        <v>3320</v>
      </c>
      <c r="F45" s="3142">
        <f ca="1">F27</f>
        <v>0.09</v>
      </c>
      <c r="G45" s="3143" t="s">
        <v>3330</v>
      </c>
    </row>
    <row r="46" spans="1:7" s="3100" customFormat="1" ht="13.5" customHeight="1">
      <c r="A46" s="3132" t="s">
        <v>3298</v>
      </c>
      <c r="B46" s="3144" t="s">
        <v>3331</v>
      </c>
      <c r="C46" s="3145">
        <f ca="1">ROUND((C33+C39)*F27,0)</f>
        <v>8684</v>
      </c>
      <c r="D46" s="3159"/>
      <c r="E46" s="3129"/>
      <c r="F46" s="3142"/>
      <c r="G46" s="3143"/>
    </row>
    <row r="47" spans="1:7" s="3100" customFormat="1" ht="13.5" customHeight="1">
      <c r="A47" s="3132" t="s">
        <v>3300</v>
      </c>
      <c r="B47" s="3144" t="s">
        <v>3332</v>
      </c>
      <c r="C47" s="3134">
        <f ca="1">ROUND(C40*F27,4)</f>
        <v>2.3E-3</v>
      </c>
      <c r="D47" s="3159"/>
      <c r="E47" s="3129"/>
      <c r="F47" s="3142"/>
      <c r="G47" s="3143"/>
    </row>
    <row r="48" spans="1:7" s="3100" customFormat="1" ht="13.5" customHeight="1">
      <c r="A48" s="3095" t="s">
        <v>3239</v>
      </c>
      <c r="B48" s="3096" t="s">
        <v>3333</v>
      </c>
      <c r="C48" s="3158">
        <f>ROUND(F30/(1+'数据-取费表'!C42),4)</f>
        <v>5.2400000000000002E-2</v>
      </c>
      <c r="D48" s="3129" t="s">
        <v>3320</v>
      </c>
      <c r="E48" s="3125"/>
      <c r="F48" s="3131">
        <f>F30</f>
        <v>5.5000000000000007E-2</v>
      </c>
      <c r="G48" s="3127" t="s">
        <v>3334</v>
      </c>
    </row>
    <row r="49" spans="1:7" ht="16.5" customHeight="1">
      <c r="A49" s="3095" t="s">
        <v>3302</v>
      </c>
      <c r="B49" s="3096" t="s">
        <v>3335</v>
      </c>
      <c r="C49" s="3125">
        <f ca="1">ROUND((C33+C39+C41+C45)/(1-C40-D41-D45-C48),0)</f>
        <v>121411</v>
      </c>
      <c r="D49" s="3125"/>
      <c r="E49" s="3125"/>
      <c r="F49" s="3160"/>
      <c r="G49" s="3127" t="s">
        <v>3336</v>
      </c>
    </row>
    <row r="50" spans="1:7" ht="24">
      <c r="A50" s="3095" t="s">
        <v>3337</v>
      </c>
      <c r="B50" s="3096" t="s">
        <v>3338</v>
      </c>
      <c r="C50" s="3125"/>
      <c r="D50" s="3125"/>
      <c r="E50" s="3125"/>
      <c r="F50" s="3160">
        <f>IF('数据-取费表'!B24=0,'数据-取费表'!N16,1)</f>
        <v>0.98</v>
      </c>
      <c r="G50" s="3143" t="s">
        <v>3339</v>
      </c>
    </row>
    <row r="51" spans="1:7" ht="16.5" customHeight="1">
      <c r="A51" s="3095" t="s">
        <v>3251</v>
      </c>
      <c r="B51" s="3096" t="s">
        <v>3252</v>
      </c>
      <c r="C51" s="3125">
        <f ca="1">ROUND(C49*F50,0)</f>
        <v>118983</v>
      </c>
      <c r="D51" s="3125"/>
      <c r="E51" s="3125"/>
      <c r="F51" s="3160"/>
      <c r="G51" s="3127" t="s">
        <v>3340</v>
      </c>
    </row>
    <row r="52" spans="1:7" s="3094" customFormat="1" ht="16.5" thickBot="1">
      <c r="A52" s="3161" t="s">
        <v>3341</v>
      </c>
      <c r="B52" s="3162"/>
      <c r="C52" s="3163">
        <f ca="1">C31+C51</f>
        <v>577695</v>
      </c>
      <c r="D52" s="3162"/>
      <c r="E52" s="3162"/>
      <c r="F52" s="3162"/>
      <c r="G52" s="3164"/>
    </row>
    <row r="55" spans="1:7" ht="15">
      <c r="B55" s="3166" t="s">
        <v>3342</v>
      </c>
      <c r="C55" s="3167"/>
    </row>
    <row r="56" spans="1:7">
      <c r="B56" s="3169" t="s">
        <v>3343</v>
      </c>
      <c r="C56" s="3170">
        <f ca="1">1-C57</f>
        <v>0.79400000000000004</v>
      </c>
    </row>
    <row r="57" spans="1:7">
      <c r="B57" s="3169" t="s">
        <v>3344</v>
      </c>
      <c r="C57" s="3170">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3"/>
      <c r="C1" s="2041" t="s">
        <v>2209</v>
      </c>
      <c r="D1" s="204"/>
      <c r="E1" s="204"/>
      <c r="F1" s="204"/>
      <c r="G1" s="1288">
        <f>MATCH(B1,'数据-取费表'!A6:A16,0)+5</f>
        <v>9</v>
      </c>
      <c r="H1" s="1192" t="str">
        <f>IF(ISERROR(FIND("住宅",B1)),"非住宅","住宅")</f>
        <v>非住宅</v>
      </c>
    </row>
    <row r="2" spans="1:8" s="206" customFormat="1" ht="18" customHeight="1">
      <c r="A2" s="207" t="s">
        <v>2146</v>
      </c>
      <c r="B2" s="208">
        <f ca="1">ROUND(IF(D2="——",C52/10000,C52/10000-E2),0)</f>
        <v>125535</v>
      </c>
      <c r="C2" s="205" t="s">
        <v>2147</v>
      </c>
      <c r="D2" s="2037" t="s">
        <v>70</v>
      </c>
      <c r="E2" s="1330" t="e">
        <f ca="1">SUMIF(INDIRECT("'"&amp;G2&amp;"'"&amp;"!A:A"),"承租人权益价值",INDIRECT("'"&amp;G2&amp;"'"&amp;"!c:c"))</f>
        <v>#REF!</v>
      </c>
      <c r="F2" s="2038" t="s">
        <v>2147</v>
      </c>
      <c r="G2" s="2039"/>
    </row>
    <row r="3" spans="1:8" s="206" customFormat="1" ht="18" customHeight="1" thickBot="1">
      <c r="A3" s="209" t="s">
        <v>2148</v>
      </c>
      <c r="B3" s="210">
        <f ca="1">ROUND(B2*10000/(IF(B1="",'数据-汇总表'!E3,INDIRECT("'数据-取费表'!k"&amp;$G$1))),0)</f>
        <v>9656</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21950448</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21950448</v>
      </c>
      <c r="D8" s="228"/>
      <c r="E8" s="226"/>
      <c r="F8" s="227"/>
      <c r="G8" s="2040"/>
    </row>
    <row r="9" spans="1:8" s="220" customFormat="1" ht="13.5" customHeight="1">
      <c r="A9" s="887" t="s">
        <v>800</v>
      </c>
      <c r="B9" s="230" t="s">
        <v>2162</v>
      </c>
      <c r="C9" s="231">
        <f ca="1">ROUND(D9*E9,0)</f>
        <v>16200424</v>
      </c>
      <c r="D9" s="954">
        <f ca="1">IF(B1="",'数据-汇总表'!E5,IF(INDIRECT("'数据-取费表'!c"&amp;$G$1)="住宅",INDIRECT("'数据-取费表'!k"&amp;$G$1),0))</f>
        <v>101252.65000000002</v>
      </c>
      <c r="E9" s="231">
        <f>'数据-取费表'!B27</f>
        <v>160</v>
      </c>
      <c r="F9" s="227"/>
      <c r="G9" s="232"/>
    </row>
    <row r="10" spans="1:8" s="220" customFormat="1" ht="13.5" customHeight="1">
      <c r="A10" s="887" t="s">
        <v>801</v>
      </c>
      <c r="B10" s="230" t="s">
        <v>2163</v>
      </c>
      <c r="C10" s="231">
        <f ca="1">ROUND(D10*E10,0)</f>
        <v>5750024</v>
      </c>
      <c r="D10" s="954">
        <f ca="1">IF(B1="",'数据-汇总表'!E6,IF(INDIRECT("'数据-取费表'!c"&amp;$G$1)="住宅",INDIRECT("'数据-取费表'!s"&amp;$G$1),INDIRECT("'数据-取费表'!k"&amp;$G$1)+INDIRECT("'数据-取费表'!s"&amp;$G$1)))</f>
        <v>28750.119999999995</v>
      </c>
      <c r="E10" s="231">
        <f>'数据-取费表'!B28</f>
        <v>200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2210</v>
      </c>
      <c r="C12" s="217">
        <v>0</v>
      </c>
      <c r="D12" s="956"/>
      <c r="E12" s="234"/>
      <c r="F12" s="227">
        <v>3.0499999999999999E-2</v>
      </c>
      <c r="G12" s="225"/>
    </row>
    <row r="13" spans="1:8" s="220" customFormat="1" ht="13.5" hidden="1" customHeight="1">
      <c r="A13" s="233" t="s">
        <v>9</v>
      </c>
      <c r="B13" s="221" t="s">
        <v>2211</v>
      </c>
      <c r="C13" s="217"/>
      <c r="D13" s="956"/>
      <c r="E13" s="224"/>
      <c r="F13" s="224"/>
      <c r="G13" s="225"/>
    </row>
    <row r="14" spans="1:8" s="220" customFormat="1" ht="13.5" hidden="1" customHeight="1">
      <c r="A14" s="233" t="s">
        <v>10</v>
      </c>
      <c r="B14" s="221" t="s">
        <v>2161</v>
      </c>
      <c r="C14" s="217"/>
      <c r="D14" s="956"/>
      <c r="E14" s="224"/>
      <c r="F14" s="224"/>
      <c r="G14" s="225" t="s">
        <v>2212</v>
      </c>
    </row>
    <row r="15" spans="1:8" s="220" customFormat="1" ht="13.5" hidden="1" customHeight="1">
      <c r="A15" s="233" t="s">
        <v>11</v>
      </c>
      <c r="B15" s="221" t="s">
        <v>2213</v>
      </c>
      <c r="C15" s="226"/>
      <c r="D15" s="956"/>
      <c r="E15" s="224"/>
      <c r="F15" s="224"/>
      <c r="G15" s="225" t="s">
        <v>2214</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2215</v>
      </c>
      <c r="C17" s="235"/>
      <c r="D17" s="957"/>
      <c r="E17" s="235"/>
      <c r="F17" s="235"/>
      <c r="G17" s="225" t="s">
        <v>2214</v>
      </c>
    </row>
    <row r="18" spans="1:7" s="220" customFormat="1" ht="13.5" hidden="1" customHeight="1">
      <c r="A18" s="233" t="s">
        <v>14</v>
      </c>
      <c r="B18" s="221" t="s">
        <v>2216</v>
      </c>
      <c r="C18" s="226">
        <v>0</v>
      </c>
      <c r="D18" s="956"/>
      <c r="E18" s="224"/>
      <c r="F18" s="227">
        <v>3.0499999999999999E-2</v>
      </c>
      <c r="G18" s="225" t="s">
        <v>2217</v>
      </c>
    </row>
    <row r="19" spans="1:7" s="229" customFormat="1" ht="13.5" customHeight="1">
      <c r="A19" s="261" t="s">
        <v>2218</v>
      </c>
      <c r="B19" s="216" t="s">
        <v>2219</v>
      </c>
      <c r="C19" s="217">
        <f ca="1">IF(G19="已包含在土地取得成本中","0",ROUND(D19*E19,0))</f>
        <v>26000554</v>
      </c>
      <c r="D19" s="958">
        <f ca="1">D9+D10</f>
        <v>130002.77000000002</v>
      </c>
      <c r="E19" s="217">
        <f>'数据-取费表'!B31</f>
        <v>200</v>
      </c>
      <c r="F19" s="237"/>
      <c r="G19" s="2040"/>
    </row>
    <row r="20" spans="1:7" s="220" customFormat="1" ht="13.5" customHeight="1">
      <c r="A20" s="261" t="s">
        <v>2220</v>
      </c>
      <c r="B20" s="216" t="s">
        <v>2221</v>
      </c>
      <c r="C20" s="238">
        <f ca="1">ROUND((C5+C19)*F20,0)</f>
        <v>1198775</v>
      </c>
      <c r="D20" s="238"/>
      <c r="E20" s="238"/>
      <c r="F20" s="239">
        <f>'数据-取费表'!B37</f>
        <v>2.5000000000000001E-2</v>
      </c>
      <c r="G20" s="240" t="s">
        <v>2222</v>
      </c>
    </row>
    <row r="21" spans="1:7" s="220" customFormat="1" ht="13.5" customHeight="1">
      <c r="A21" s="261" t="s">
        <v>2223</v>
      </c>
      <c r="B21" s="216" t="s">
        <v>2224</v>
      </c>
      <c r="C21" s="241">
        <f>F21</f>
        <v>2.5000000000000001E-2</v>
      </c>
      <c r="D21" s="242" t="s">
        <v>2225</v>
      </c>
      <c r="E21" s="238"/>
      <c r="F21" s="239">
        <f>'数据-取费表'!B38</f>
        <v>2.5000000000000001E-2</v>
      </c>
      <c r="G21" s="240" t="s">
        <v>2226</v>
      </c>
    </row>
    <row r="22" spans="1:7" s="220" customFormat="1" ht="13.5" customHeight="1">
      <c r="A22" s="261" t="s">
        <v>2227</v>
      </c>
      <c r="B22" s="216" t="s">
        <v>2228</v>
      </c>
      <c r="C22" s="1289">
        <f ca="1">ROUND(SUM(C23:C25),0)</f>
        <v>6612823</v>
      </c>
      <c r="D22" s="241">
        <f ca="1">C26</f>
        <v>1.6000000000000001E-3</v>
      </c>
      <c r="E22" s="242" t="s">
        <v>2225</v>
      </c>
      <c r="F22" s="243">
        <f ca="1">'数据-取费表'!B40</f>
        <v>4.3499999999999997E-2</v>
      </c>
      <c r="G22" s="240" t="str">
        <f>IF('数据-取费表'!B22&lt;=1,"单利计息","复利计息")</f>
        <v>复利计息</v>
      </c>
    </row>
    <row r="23" spans="1:7" s="220" customFormat="1" ht="13.5" customHeight="1">
      <c r="A23" s="888" t="s">
        <v>2156</v>
      </c>
      <c r="B23" s="221" t="s">
        <v>2229</v>
      </c>
      <c r="C23" s="1290">
        <f ca="1">ROUND(IF('数据-取费表'!B22&lt;=1,C5*F22*'数据-取费表'!B22,C5*(POWER((1+F22),'数据-取费表'!B22)-1)),0)</f>
        <v>2990947</v>
      </c>
      <c r="D23" s="244"/>
      <c r="E23" s="244"/>
      <c r="F23" s="245"/>
      <c r="G23" s="246" t="s">
        <v>2230</v>
      </c>
    </row>
    <row r="24" spans="1:7" s="220" customFormat="1" ht="13.5" customHeight="1">
      <c r="A24" s="888" t="s">
        <v>2158</v>
      </c>
      <c r="B24" s="221" t="s">
        <v>2231</v>
      </c>
      <c r="C24" s="1290">
        <f ca="1">ROUND(IF('数据-取费表'!B22&lt;=1,C19*F22*('数据-取费表'!B19/2+'数据-取费表'!B20),C19*(POWER((1+F22),('数据-取费表'!B19/2+'数据-取费表'!B20))-1)),0)</f>
        <v>3542811</v>
      </c>
      <c r="D24" s="244"/>
      <c r="E24" s="244"/>
      <c r="F24" s="245"/>
      <c r="G24" s="246" t="s">
        <v>2232</v>
      </c>
    </row>
    <row r="25" spans="1:7" s="220" customFormat="1" ht="24">
      <c r="A25" s="888" t="s">
        <v>2160</v>
      </c>
      <c r="B25" s="221" t="s">
        <v>2233</v>
      </c>
      <c r="C25" s="1290">
        <f ca="1">ROUND(IF('数据-取费表'!B22&lt;=1,C20*F22*'数据-取费表'!B22/2,C20*(POWER((1+F22),'数据-取费表'!B22/2)-1)),0)</f>
        <v>79065</v>
      </c>
      <c r="D25" s="244"/>
      <c r="E25" s="247"/>
      <c r="F25" s="245"/>
      <c r="G25" s="248" t="s">
        <v>2234</v>
      </c>
    </row>
    <row r="26" spans="1:7" s="220" customFormat="1">
      <c r="A26" s="888" t="s">
        <v>795</v>
      </c>
      <c r="B26" s="221" t="s">
        <v>2165</v>
      </c>
      <c r="C26" s="244">
        <f ca="1">ROUND(IF('数据-取费表'!B22&lt;=1,F21*F22*'数据-取费表'!B22/2,F21*(POWER((1+F22),'数据-取费表'!B22/2)-1)),4)</f>
        <v>1.6000000000000001E-3</v>
      </c>
      <c r="D26" s="244"/>
      <c r="E26" s="247"/>
      <c r="F26" s="245"/>
      <c r="G26" s="249"/>
    </row>
    <row r="27" spans="1:7" s="220" customFormat="1" ht="24.75">
      <c r="A27" s="261" t="s">
        <v>2166</v>
      </c>
      <c r="B27" s="250" t="s">
        <v>2167</v>
      </c>
      <c r="C27" s="251">
        <f ca="1">C28</f>
        <v>4423480</v>
      </c>
      <c r="D27" s="241">
        <f ca="1">C29</f>
        <v>2.3E-3</v>
      </c>
      <c r="E27" s="242" t="s">
        <v>2168</v>
      </c>
      <c r="F27" s="252">
        <f ca="1">IF(B1="",'数据-取费表'!Q16,INDIRECT("'数据-取费表'!q"&amp;$G$1))</f>
        <v>0.09</v>
      </c>
      <c r="G27" s="253" t="s">
        <v>2169</v>
      </c>
    </row>
    <row r="28" spans="1:7" s="220" customFormat="1" ht="13.5" customHeight="1">
      <c r="A28" s="888" t="s">
        <v>791</v>
      </c>
      <c r="B28" s="254" t="s">
        <v>2170</v>
      </c>
      <c r="C28" s="255">
        <f ca="1">ROUND((C5+C19+C20)*F27,0)</f>
        <v>4423480</v>
      </c>
      <c r="D28" s="241"/>
      <c r="E28" s="242"/>
      <c r="F28" s="252"/>
      <c r="G28" s="253"/>
    </row>
    <row r="29" spans="1:7" s="220" customFormat="1" ht="13.5" customHeight="1">
      <c r="A29" s="888" t="s">
        <v>792</v>
      </c>
      <c r="B29" s="254" t="s">
        <v>2171</v>
      </c>
      <c r="C29" s="244">
        <f ca="1">ROUND(C21*F27,4)</f>
        <v>2.3E-3</v>
      </c>
      <c r="D29" s="241"/>
      <c r="E29" s="242"/>
      <c r="F29" s="252"/>
      <c r="G29" s="253"/>
    </row>
    <row r="30" spans="1:7" s="220" customFormat="1" ht="13.5" customHeight="1">
      <c r="A30" s="261" t="s">
        <v>2172</v>
      </c>
      <c r="B30" s="216" t="s">
        <v>2173</v>
      </c>
      <c r="C30" s="241">
        <f>ROUND(F30/(1+'数据-取费表'!C42),4)</f>
        <v>5.2400000000000002E-2</v>
      </c>
      <c r="D30" s="242" t="s">
        <v>2168</v>
      </c>
      <c r="E30" s="247"/>
      <c r="F30" s="243">
        <f>'数据-取费表'!B41</f>
        <v>5.5000000000000007E-2</v>
      </c>
      <c r="G30" s="240" t="s">
        <v>2174</v>
      </c>
    </row>
    <row r="31" spans="1:7" ht="16.5" customHeight="1">
      <c r="A31" s="215">
        <v>1</v>
      </c>
      <c r="B31" s="216" t="s">
        <v>2175</v>
      </c>
      <c r="C31" s="217">
        <f ca="1">ROUND((C5+C19+C20+C22+C27)/(1-C21-D22-D27-C30),0)</f>
        <v>65512224</v>
      </c>
      <c r="D31" s="236"/>
      <c r="E31" s="217"/>
      <c r="F31" s="256"/>
      <c r="G31" s="240" t="s">
        <v>2176</v>
      </c>
    </row>
    <row r="32" spans="1:7" s="214" customFormat="1" ht="15.75">
      <c r="A32" s="258" t="s">
        <v>2235</v>
      </c>
      <c r="B32" s="259"/>
      <c r="C32" s="259"/>
      <c r="D32" s="259"/>
      <c r="E32" s="259"/>
      <c r="F32" s="259"/>
      <c r="G32" s="260"/>
    </row>
    <row r="33" spans="1:7" s="220" customFormat="1" ht="13.5" customHeight="1">
      <c r="A33" s="261" t="s">
        <v>782</v>
      </c>
      <c r="B33" s="216" t="s">
        <v>2236</v>
      </c>
      <c r="C33" s="262">
        <f ca="1">SUM(C34:C38)</f>
        <v>941395807</v>
      </c>
      <c r="D33" s="238"/>
      <c r="E33" s="218"/>
      <c r="F33" s="247"/>
      <c r="G33" s="240"/>
    </row>
    <row r="34" spans="1:7" s="264" customFormat="1" ht="13.5" customHeight="1">
      <c r="A34" s="888" t="s">
        <v>791</v>
      </c>
      <c r="B34" s="221" t="s">
        <v>2177</v>
      </c>
      <c r="C34" s="226">
        <f ca="1">ROUND(IF(B1="",SUMPRODUCT('数据-取费表'!K6:K14,'数据-取费表'!L6:L14),INDIRECT("'数据-取费表'!l"&amp;$G$1)*INDIRECT("'数据-取费表'!k"&amp;$G$1)+'数据-取费表'!L14*INDIRECT("'数据-取费表'!S"&amp;$G$1)),0)</f>
        <v>816267885</v>
      </c>
      <c r="D34" s="223"/>
      <c r="E34" s="226"/>
      <c r="F34" s="263"/>
      <c r="G34" s="225"/>
    </row>
    <row r="35" spans="1:7" ht="13.5" customHeight="1">
      <c r="A35" s="888" t="s">
        <v>796</v>
      </c>
      <c r="B35" s="221" t="s">
        <v>2178</v>
      </c>
      <c r="C35" s="226">
        <f ca="1">ROUND(C34*F35,0)</f>
        <v>40813394</v>
      </c>
      <c r="D35" s="226"/>
      <c r="E35" s="226"/>
      <c r="F35" s="265">
        <f>'数据-取费表'!B33</f>
        <v>0.05</v>
      </c>
      <c r="G35" s="225" t="s">
        <v>2179</v>
      </c>
    </row>
    <row r="36" spans="1:7" ht="24">
      <c r="A36" s="888" t="s">
        <v>797</v>
      </c>
      <c r="B36" s="221" t="s">
        <v>2180</v>
      </c>
      <c r="C36" s="226">
        <f ca="1">ROUND(IF(B1="",SUM('数据-取费表'!AP6:AP13)*F36,IF(INDIRECT("'数据-取费表'!c"&amp;$G$1)="住宅",INDIRECT("'数据-取费表'!k"&amp;$G$1)*INDIRECT("'数据-取费表'!l"&amp;$G$1)*F36,0)),0)</f>
        <v>46069956</v>
      </c>
      <c r="D36" s="226"/>
      <c r="E36" s="226"/>
      <c r="F36" s="265">
        <f>'数据-取费表'!B34</f>
        <v>7.0000000000000007E-2</v>
      </c>
      <c r="G36" s="266" t="s">
        <v>2181</v>
      </c>
    </row>
    <row r="37" spans="1:7" s="264" customFormat="1" ht="13.5" customHeight="1">
      <c r="A37" s="888" t="s">
        <v>798</v>
      </c>
      <c r="B37" s="221" t="s">
        <v>2182</v>
      </c>
      <c r="C37" s="255">
        <f ca="1">ROUND(E37*D37,0)</f>
        <v>26000554</v>
      </c>
      <c r="D37" s="223">
        <f ca="1">D19</f>
        <v>130002.77000000002</v>
      </c>
      <c r="E37" s="255">
        <f>'数据-取费表'!B35</f>
        <v>200</v>
      </c>
      <c r="F37" s="265"/>
      <c r="G37" s="267"/>
    </row>
    <row r="38" spans="1:7" ht="13.5" customHeight="1">
      <c r="A38" s="888" t="s">
        <v>799</v>
      </c>
      <c r="B38" s="221" t="s">
        <v>2183</v>
      </c>
      <c r="C38" s="226">
        <f ca="1">ROUND(C34*F38,0)</f>
        <v>12244018</v>
      </c>
      <c r="D38" s="226"/>
      <c r="E38" s="226"/>
      <c r="F38" s="265">
        <f>'数据-取费表'!B36</f>
        <v>1.4999999999999999E-2</v>
      </c>
      <c r="G38" s="225" t="s">
        <v>2179</v>
      </c>
    </row>
    <row r="39" spans="1:7" s="220" customFormat="1" ht="13.5" customHeight="1">
      <c r="A39" s="261" t="s">
        <v>2184</v>
      </c>
      <c r="B39" s="216" t="s">
        <v>2185</v>
      </c>
      <c r="C39" s="238">
        <f ca="1">ROUND(C33*F20,0)</f>
        <v>23534895</v>
      </c>
      <c r="D39" s="238"/>
      <c r="E39" s="238"/>
      <c r="F39" s="2531">
        <f>F20</f>
        <v>2.5000000000000001E-2</v>
      </c>
      <c r="G39" s="240" t="s">
        <v>2186</v>
      </c>
    </row>
    <row r="40" spans="1:7" s="220" customFormat="1" ht="13.5" customHeight="1">
      <c r="A40" s="261" t="s">
        <v>2187</v>
      </c>
      <c r="B40" s="216" t="s">
        <v>2188</v>
      </c>
      <c r="C40" s="1494">
        <f>F21</f>
        <v>2.5000000000000001E-2</v>
      </c>
      <c r="D40" s="242" t="s">
        <v>2189</v>
      </c>
      <c r="E40" s="238"/>
      <c r="F40" s="2531">
        <f>F21</f>
        <v>2.5000000000000001E-2</v>
      </c>
      <c r="G40" s="240" t="s">
        <v>2190</v>
      </c>
    </row>
    <row r="41" spans="1:7" s="220" customFormat="1" ht="13.5" customHeight="1">
      <c r="A41" s="261" t="s">
        <v>2191</v>
      </c>
      <c r="B41" s="216" t="s">
        <v>2192</v>
      </c>
      <c r="C41" s="238">
        <f ca="1">ROUND(SUM(C42:C43),0)</f>
        <v>63641552</v>
      </c>
      <c r="D41" s="241">
        <f ca="1">C44</f>
        <v>1.6000000000000001E-3</v>
      </c>
      <c r="E41" s="242" t="s">
        <v>2189</v>
      </c>
      <c r="F41" s="2532">
        <f ca="1">F22</f>
        <v>4.3499999999999997E-2</v>
      </c>
      <c r="G41" s="240" t="str">
        <f>IF('数据-取费表'!B22&lt;=1,"单利计息","复利计息")</f>
        <v>复利计息</v>
      </c>
    </row>
    <row r="42" spans="1:7" ht="13.5" customHeight="1">
      <c r="A42" s="888" t="s">
        <v>791</v>
      </c>
      <c r="B42" s="221" t="s">
        <v>2193</v>
      </c>
      <c r="C42" s="244">
        <f ca="1">ROUND(IF('数据-取费表'!B22&lt;=1,C33*F22*'数据-取费表'!B20/2,C33*(POWER((1+F22),'数据-取费表'!B20/2)-1)),0)</f>
        <v>62089319</v>
      </c>
      <c r="D42" s="244"/>
      <c r="E42" s="244"/>
      <c r="F42" s="245"/>
      <c r="G42" s="3430" t="s">
        <v>2237</v>
      </c>
    </row>
    <row r="43" spans="1:7" ht="13.5" customHeight="1">
      <c r="A43" s="888" t="s">
        <v>792</v>
      </c>
      <c r="B43" s="221" t="s">
        <v>2194</v>
      </c>
      <c r="C43" s="244">
        <f ca="1">ROUND(IF('数据-取费表'!B22&lt;=1,C39*F22*'数据-取费表'!B20/2,C39*(POWER((1+F22),'数据-取费表'!B20/2)-1)),0)</f>
        <v>1552233</v>
      </c>
      <c r="D43" s="244"/>
      <c r="E43" s="244"/>
      <c r="F43" s="245"/>
      <c r="G43" s="3431"/>
    </row>
    <row r="44" spans="1:7" ht="13.5" customHeight="1">
      <c r="A44" s="888" t="s">
        <v>793</v>
      </c>
      <c r="B44" s="221" t="s">
        <v>2195</v>
      </c>
      <c r="C44" s="244">
        <f ca="1">ROUND(IF('数据-取费表'!B22&lt;=1,C40*F22*'数据-取费表'!B20/2,C40*(POWER((1+F22),'数据-取费表'!B20/2)-1)),4)</f>
        <v>1.6000000000000001E-3</v>
      </c>
      <c r="D44" s="244"/>
      <c r="E44" s="244"/>
      <c r="F44" s="245"/>
      <c r="G44" s="3432"/>
    </row>
    <row r="45" spans="1:7" s="220" customFormat="1" ht="13.5" customHeight="1">
      <c r="A45" s="261" t="s">
        <v>2196</v>
      </c>
      <c r="B45" s="250" t="s">
        <v>2167</v>
      </c>
      <c r="C45" s="251">
        <f ca="1">C46</f>
        <v>86843763</v>
      </c>
      <c r="D45" s="241">
        <f ca="1">C47</f>
        <v>2.3E-3</v>
      </c>
      <c r="E45" s="242" t="s">
        <v>2189</v>
      </c>
      <c r="F45" s="2533">
        <f ca="1">F27</f>
        <v>0.09</v>
      </c>
      <c r="G45" s="253" t="s">
        <v>2197</v>
      </c>
    </row>
    <row r="46" spans="1:7" s="220" customFormat="1" ht="13.5" customHeight="1">
      <c r="A46" s="888" t="s">
        <v>791</v>
      </c>
      <c r="B46" s="254" t="s">
        <v>2198</v>
      </c>
      <c r="C46" s="255">
        <f ca="1">ROUND((C33+C39)*F27,0)</f>
        <v>86843763</v>
      </c>
      <c r="D46" s="269"/>
      <c r="E46" s="242"/>
      <c r="F46" s="252"/>
      <c r="G46" s="253"/>
    </row>
    <row r="47" spans="1:7" s="220" customFormat="1" ht="13.5" customHeight="1">
      <c r="A47" s="888" t="s">
        <v>792</v>
      </c>
      <c r="B47" s="254" t="s">
        <v>2199</v>
      </c>
      <c r="C47" s="244">
        <f ca="1">ROUND(C40*F27,4)</f>
        <v>2.3E-3</v>
      </c>
      <c r="D47" s="269"/>
      <c r="E47" s="242"/>
      <c r="F47" s="252"/>
      <c r="G47" s="253"/>
    </row>
    <row r="48" spans="1:7" s="220" customFormat="1" ht="13.5" customHeight="1">
      <c r="A48" s="261" t="s">
        <v>2166</v>
      </c>
      <c r="B48" s="216" t="s">
        <v>2200</v>
      </c>
      <c r="C48" s="268">
        <f>ROUND(F30/(1+'数据-取费表'!C42),4)</f>
        <v>5.2400000000000002E-2</v>
      </c>
      <c r="D48" s="242" t="s">
        <v>2189</v>
      </c>
      <c r="E48" s="238"/>
      <c r="F48" s="2532">
        <f>F30</f>
        <v>5.5000000000000007E-2</v>
      </c>
      <c r="G48" s="240" t="s">
        <v>2201</v>
      </c>
    </row>
    <row r="49" spans="1:7" ht="16.5" customHeight="1">
      <c r="A49" s="261" t="s">
        <v>2172</v>
      </c>
      <c r="B49" s="216" t="s">
        <v>2238</v>
      </c>
      <c r="C49" s="238">
        <f ca="1">ROUND((C33+C39+C41+C45)/(1-C40-D41-D45-C48),0)</f>
        <v>1214124325</v>
      </c>
      <c r="D49" s="238"/>
      <c r="E49" s="238"/>
      <c r="F49" s="270"/>
      <c r="G49" s="240" t="s">
        <v>2202</v>
      </c>
    </row>
    <row r="50" spans="1:7" s="264" customFormat="1">
      <c r="A50" s="261" t="s">
        <v>2203</v>
      </c>
      <c r="B50" s="216" t="s">
        <v>2204</v>
      </c>
      <c r="C50" s="238"/>
      <c r="D50" s="238"/>
      <c r="E50" s="238"/>
      <c r="F50" s="270">
        <f>IF('数据-取费表'!B24=0,'数据-取费表'!N16,1)</f>
        <v>0.98</v>
      </c>
      <c r="G50" s="253"/>
    </row>
    <row r="51" spans="1:7" ht="16.5" customHeight="1">
      <c r="A51" s="261" t="s">
        <v>2205</v>
      </c>
      <c r="B51" s="216" t="s">
        <v>2239</v>
      </c>
      <c r="C51" s="238">
        <f ca="1">ROUND(C49*F50,0)</f>
        <v>1189841839</v>
      </c>
      <c r="D51" s="238"/>
      <c r="E51" s="238"/>
      <c r="F51" s="270"/>
      <c r="G51" s="240" t="s">
        <v>2206</v>
      </c>
    </row>
    <row r="52" spans="1:7" s="214" customFormat="1" ht="16.5" thickBot="1">
      <c r="A52" s="271" t="s">
        <v>2207</v>
      </c>
      <c r="B52" s="272"/>
      <c r="C52" s="273">
        <f ca="1">C31+C51</f>
        <v>1255354063</v>
      </c>
      <c r="D52" s="272"/>
      <c r="E52" s="272"/>
      <c r="F52" s="272"/>
      <c r="G52" s="274"/>
    </row>
    <row r="55" spans="1:7" ht="15">
      <c r="B55" s="276" t="s">
        <v>2208</v>
      </c>
      <c r="C55" s="277"/>
    </row>
    <row r="56" spans="1:7">
      <c r="B56" s="279" t="s">
        <v>1478</v>
      </c>
      <c r="C56" s="281">
        <f ca="1">1-C57</f>
        <v>5.2000000000000046E-2</v>
      </c>
    </row>
    <row r="57" spans="1:7">
      <c r="B57" s="279" t="s">
        <v>1479</v>
      </c>
      <c r="C57" s="280">
        <f ca="1">ROUND(C51/C52,3)</f>
        <v>0.94799999999999995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2240</v>
      </c>
      <c r="B1" s="1352"/>
      <c r="C1" s="1353"/>
      <c r="D1" s="1351"/>
      <c r="E1" s="3028"/>
      <c r="F1" s="3028"/>
      <c r="G1" s="2891"/>
      <c r="H1" s="3028"/>
      <c r="I1" s="3028"/>
      <c r="J1" s="3028"/>
      <c r="K1" s="3029">
        <f>MATCH(C1,'数据-取费表'!A6:A16,0)+5</f>
        <v>9</v>
      </c>
    </row>
    <row r="2" spans="1:33" ht="18" customHeight="1">
      <c r="A2" s="207" t="s">
        <v>2146</v>
      </c>
      <c r="B2" s="210">
        <f ca="1">C32</f>
        <v>0</v>
      </c>
      <c r="C2" s="282" t="s">
        <v>2241</v>
      </c>
      <c r="D2" s="282"/>
      <c r="E2" s="3028"/>
      <c r="F2" s="3028"/>
      <c r="G2" s="3028"/>
      <c r="H2" s="3028"/>
      <c r="I2" s="3028"/>
      <c r="J2" s="3028"/>
      <c r="K2" s="3028"/>
    </row>
    <row r="3" spans="1:33" ht="18" customHeight="1" thickBot="1">
      <c r="A3" s="209" t="s">
        <v>2148</v>
      </c>
      <c r="B3" s="210">
        <f ca="1">ROUND(B2*10000/IF(C1="",'数据-汇总表'!E3,INDIRECT("'数据-取费表'!K"&amp;$K$1)),0)</f>
        <v>0</v>
      </c>
      <c r="C3" s="282" t="s">
        <v>2242</v>
      </c>
      <c r="D3" s="282"/>
      <c r="E3" s="3028"/>
      <c r="F3" s="3028"/>
      <c r="G3" s="3028"/>
      <c r="H3" s="3028"/>
      <c r="I3" s="3028"/>
      <c r="J3" s="3028"/>
      <c r="K3" s="3028"/>
    </row>
    <row r="4" spans="1:33" s="893" customFormat="1" ht="16.5" customHeight="1">
      <c r="A4" s="890" t="s">
        <v>2243</v>
      </c>
      <c r="B4" s="891"/>
      <c r="C4" s="933">
        <f>SUM(C8:K8)</f>
        <v>0</v>
      </c>
      <c r="D4" s="891"/>
      <c r="E4" s="891"/>
      <c r="F4" s="891"/>
      <c r="G4" s="891"/>
      <c r="H4" s="891"/>
      <c r="I4" s="891"/>
      <c r="J4" s="891"/>
      <c r="K4" s="892"/>
    </row>
    <row r="5" spans="1:33" s="897" customFormat="1" ht="24.75">
      <c r="A5" s="894" t="s">
        <v>2244</v>
      </c>
      <c r="B5" s="895" t="s">
        <v>2245</v>
      </c>
      <c r="C5" s="2042" t="s">
        <v>2246</v>
      </c>
      <c r="D5" s="2042" t="s">
        <v>2247</v>
      </c>
      <c r="E5" s="2042" t="s">
        <v>2248</v>
      </c>
      <c r="F5" s="2042"/>
      <c r="G5" s="2042"/>
      <c r="H5" s="2042"/>
      <c r="I5" s="2042"/>
      <c r="J5" s="2042"/>
      <c r="K5" s="2042"/>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2249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2250</v>
      </c>
      <c r="B7" s="136" t="s">
        <v>2251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3" t="s">
        <v>2252</v>
      </c>
      <c r="B8" s="169" t="s">
        <v>2253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2254</v>
      </c>
      <c r="B9" s="891"/>
      <c r="C9" s="891"/>
      <c r="D9" s="891"/>
      <c r="E9" s="891"/>
      <c r="F9" s="891"/>
      <c r="G9" s="891"/>
      <c r="H9" s="891"/>
      <c r="I9" s="891"/>
      <c r="J9" s="891"/>
      <c r="K9" s="892"/>
    </row>
    <row r="10" spans="1:33" s="907" customFormat="1" ht="13.5" customHeight="1">
      <c r="A10" s="894" t="s">
        <v>2255</v>
      </c>
      <c r="B10" s="8" t="s">
        <v>2256</v>
      </c>
      <c r="C10" s="903" t="s">
        <v>2257</v>
      </c>
      <c r="D10" s="904" t="s">
        <v>2258</v>
      </c>
      <c r="E10" s="904" t="s">
        <v>2259</v>
      </c>
      <c r="F10" s="904" t="s">
        <v>2260</v>
      </c>
      <c r="G10" s="8"/>
      <c r="H10" s="905"/>
      <c r="I10" s="905"/>
      <c r="J10" s="905"/>
      <c r="K10" s="906"/>
    </row>
    <row r="11" spans="1:33" s="912" customFormat="1" ht="13.5" customHeight="1">
      <c r="A11" s="908" t="s">
        <v>1300</v>
      </c>
      <c r="B11" s="909" t="s">
        <v>2261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2262</v>
      </c>
      <c r="C12" s="24">
        <f ca="1">ROUND(C11*F12,0)</f>
        <v>0</v>
      </c>
      <c r="D12" s="910"/>
      <c r="E12" s="335"/>
      <c r="F12" s="913">
        <f>'数据-取费表'!B33</f>
        <v>0.05</v>
      </c>
      <c r="G12" s="8" t="s">
        <v>2263</v>
      </c>
      <c r="H12" s="905"/>
      <c r="I12" s="905"/>
      <c r="J12" s="905"/>
      <c r="K12" s="906"/>
    </row>
    <row r="13" spans="1:33" s="912" customFormat="1" ht="13.5" customHeight="1">
      <c r="A13" s="908" t="s">
        <v>1302</v>
      </c>
      <c r="B13" s="909" t="s">
        <v>2264</v>
      </c>
      <c r="C13" s="24">
        <f ca="1">ROUND(IF(C1="",SUMIF('数据-取费表'!C:C,"住宅",'数据-取费表'!P:P)*F13,IF(INDIRECT("'数据-取费表'!c"&amp;$K$1)="住宅",INDIRECT("'数据-取费表'!P"&amp;$K$1)*F13,0)),0)</f>
        <v>0</v>
      </c>
      <c r="D13" s="955"/>
      <c r="E13" s="335"/>
      <c r="F13" s="913">
        <f>'数据-取费表'!B34</f>
        <v>7.0000000000000007E-2</v>
      </c>
      <c r="G13" s="8" t="s">
        <v>2265</v>
      </c>
      <c r="H13" s="905"/>
      <c r="I13" s="905"/>
      <c r="J13" s="905"/>
      <c r="K13" s="906"/>
    </row>
    <row r="14" spans="1:33" s="914" customFormat="1" ht="13.5" customHeight="1">
      <c r="A14" s="908" t="s">
        <v>1303</v>
      </c>
      <c r="B14" s="909" t="s">
        <v>2266</v>
      </c>
      <c r="C14" s="24">
        <f ca="1">ROUND(D14*E14*F11/10000,0)</f>
        <v>0</v>
      </c>
      <c r="D14" s="955">
        <f ca="1">IF(C1="",'数据-汇总表'!E3,INDIRECT("'数据-取费表'!K"&amp;$K$1)+INDIRECT("'数据-取费表'!S"&amp;$K$1))</f>
        <v>130002.77000000002</v>
      </c>
      <c r="E14" s="24">
        <f>'数据-取费表'!B35</f>
        <v>200</v>
      </c>
      <c r="F14" s="913"/>
      <c r="G14" s="8" t="s">
        <v>2267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2268</v>
      </c>
      <c r="C15" s="920">
        <f ca="1">ROUND(C11*F15,0)</f>
        <v>0</v>
      </c>
      <c r="D15" s="915"/>
      <c r="E15" s="920"/>
      <c r="F15" s="921">
        <f>'数据-取费表'!B36</f>
        <v>1.4999999999999999E-2</v>
      </c>
      <c r="G15" s="136" t="s">
        <v>2269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2270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2271</v>
      </c>
      <c r="C17" s="24">
        <f ca="1">ROUND(D17*E17/10000,0)</f>
        <v>0</v>
      </c>
      <c r="D17" s="955">
        <f ca="1">D14</f>
        <v>130002.77000000002</v>
      </c>
      <c r="E17" s="24">
        <f>'数据-取费表'!B32</f>
        <v>0</v>
      </c>
      <c r="F17" s="915"/>
      <c r="G17" s="136" t="s">
        <v>2272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2273</v>
      </c>
      <c r="C18" s="24">
        <f ca="1">C19+C20-IF(C1="",'数据-取费表'!B29,IF(G18="已全部缴纳",C19+C20,H18))</f>
        <v>0</v>
      </c>
      <c r="D18" s="955"/>
      <c r="E18" s="24"/>
      <c r="F18" s="913"/>
      <c r="G18" s="2044"/>
      <c r="H18" s="1348"/>
      <c r="I18" s="2045" t="s">
        <v>2274</v>
      </c>
      <c r="J18" s="916"/>
      <c r="K18" s="917"/>
    </row>
    <row r="19" spans="1:33" s="912" customFormat="1" ht="13.5" customHeight="1">
      <c r="A19" s="908" t="s">
        <v>805</v>
      </c>
      <c r="B19" s="909" t="s">
        <v>2275</v>
      </c>
      <c r="C19" s="24">
        <f ca="1">ROUND(D19*E19/10000,0)</f>
        <v>1620</v>
      </c>
      <c r="D19" s="955">
        <f ca="1">IF(C1="",'数据-汇总表'!E5,IF(INDIRECT("'数据-取费表'!c"&amp;$K$1)="住宅",INDIRECT("'数据-取费表'!k"&amp;$K$1),0))</f>
        <v>101252.65000000002</v>
      </c>
      <c r="E19" s="24">
        <f>'数据-取费表'!B27</f>
        <v>160</v>
      </c>
      <c r="F19" s="913"/>
      <c r="G19" s="15"/>
      <c r="H19" s="1350"/>
      <c r="I19" s="918"/>
      <c r="J19" s="918"/>
      <c r="K19" s="919"/>
    </row>
    <row r="20" spans="1:33" s="912" customFormat="1" ht="13.5" customHeight="1">
      <c r="A20" s="908" t="s">
        <v>806</v>
      </c>
      <c r="B20" s="909" t="s">
        <v>2276</v>
      </c>
      <c r="C20" s="24">
        <f ca="1">ROUND(D20*E20/10000,0)</f>
        <v>575</v>
      </c>
      <c r="D20" s="955">
        <f ca="1">IF(C1="",'数据-汇总表'!E6,IF(INDIRECT("'数据-取费表'!c"&amp;$K$1)="住宅",INDIRECT("'数据-取费表'!s"&amp;$K$1),INDIRECT("'数据-取费表'!k"&amp;$K$1)+INDIRECT("'数据-取费表'!s"&amp;$K$1)))</f>
        <v>28750.119999999995</v>
      </c>
      <c r="E20" s="24">
        <f>'数据-取费表'!B28</f>
        <v>200</v>
      </c>
      <c r="F20" s="913"/>
      <c r="G20" s="15"/>
      <c r="H20" s="918"/>
      <c r="I20" s="918"/>
      <c r="J20" s="918"/>
      <c r="K20" s="919"/>
    </row>
    <row r="21" spans="1:33" s="912" customFormat="1" ht="13.5" customHeight="1">
      <c r="A21" s="898" t="s">
        <v>802</v>
      </c>
      <c r="B21" s="922" t="s">
        <v>2277</v>
      </c>
      <c r="C21" s="923">
        <f ca="1">C16+C17+C18</f>
        <v>0</v>
      </c>
      <c r="D21" s="924"/>
      <c r="E21" s="287"/>
      <c r="F21" s="287"/>
      <c r="G21" s="136" t="s">
        <v>2278</v>
      </c>
      <c r="H21" s="916"/>
      <c r="I21" s="916"/>
      <c r="J21" s="916"/>
      <c r="K21" s="917"/>
    </row>
    <row r="22" spans="1:33" s="912" customFormat="1" ht="13.5" customHeight="1">
      <c r="A22" s="898" t="s">
        <v>2250</v>
      </c>
      <c r="B22" s="922" t="s">
        <v>2279</v>
      </c>
      <c r="C22" s="923">
        <f ca="1">ROUND(C21*F22,0)</f>
        <v>0</v>
      </c>
      <c r="D22" s="287"/>
      <c r="E22" s="287"/>
      <c r="F22" s="925">
        <f>'数据-取费表'!B37</f>
        <v>2.5000000000000001E-2</v>
      </c>
      <c r="G22" s="8" t="s">
        <v>2280</v>
      </c>
      <c r="H22" s="905"/>
      <c r="I22" s="905"/>
      <c r="J22" s="905"/>
      <c r="K22" s="906"/>
    </row>
    <row r="23" spans="1:33" s="912" customFormat="1" ht="13.5" customHeight="1">
      <c r="A23" s="898" t="s">
        <v>2252</v>
      </c>
      <c r="B23" s="922" t="s">
        <v>2281</v>
      </c>
      <c r="C23" s="923">
        <f ca="1">ROUND(C4*F23*F11,0)</f>
        <v>0</v>
      </c>
      <c r="D23" s="287"/>
      <c r="E23" s="287"/>
      <c r="F23" s="925">
        <f>'数据-取费表'!B38</f>
        <v>2.5000000000000001E-2</v>
      </c>
      <c r="G23" s="8" t="s">
        <v>2282</v>
      </c>
      <c r="H23" s="905"/>
      <c r="I23" s="905"/>
      <c r="J23" s="905"/>
      <c r="K23" s="906"/>
    </row>
    <row r="24" spans="1:33" s="912" customFormat="1" ht="13.5" customHeight="1">
      <c r="A24" s="898" t="s">
        <v>2283</v>
      </c>
      <c r="B24" s="922" t="s">
        <v>2284</v>
      </c>
      <c r="C24" s="286">
        <f>ROUND(F24/(1+'数据-取费表'!C42),4)</f>
        <v>2.9000000000000001E-2</v>
      </c>
      <c r="D24" s="287" t="s">
        <v>15</v>
      </c>
      <c r="E24" s="287"/>
      <c r="F24" s="925">
        <f>IF(项目基本情况!B8="出让",0,'数据-取费表'!B48+'数据-取费表'!B49)</f>
        <v>3.0499999999999999E-2</v>
      </c>
      <c r="G24" s="8" t="s">
        <v>2285</v>
      </c>
      <c r="H24" s="927"/>
      <c r="I24" s="927"/>
      <c r="J24" s="927"/>
      <c r="K24" s="928"/>
    </row>
    <row r="25" spans="1:33" s="912" customFormat="1" ht="13.5" customHeight="1">
      <c r="A25" s="898" t="s">
        <v>2286</v>
      </c>
      <c r="B25" s="924" t="s">
        <v>2287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2288</v>
      </c>
      <c r="C26" s="1267">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2289</v>
      </c>
      <c r="C27" s="1268">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6"/>
      <c r="I27" s="916"/>
      <c r="J27" s="916"/>
      <c r="K27" s="917"/>
    </row>
    <row r="28" spans="1:33" s="295" customFormat="1" ht="13.5" customHeight="1">
      <c r="A28" s="898" t="s">
        <v>2290</v>
      </c>
      <c r="B28" s="2047" t="s">
        <v>2291</v>
      </c>
      <c r="C28" s="293">
        <f ca="1">C30</f>
        <v>0</v>
      </c>
      <c r="D28" s="286">
        <f ca="1">C29</f>
        <v>0</v>
      </c>
      <c r="E28" s="288" t="s">
        <v>15</v>
      </c>
      <c r="F28" s="294">
        <f ca="1">IF(C1="",'数据-取费表'!Q16,INDIRECT("'数据-取费表'!q"&amp;$K$1))</f>
        <v>0.09</v>
      </c>
      <c r="G28" s="926"/>
      <c r="H28" s="927"/>
      <c r="I28" s="927"/>
      <c r="J28" s="927"/>
      <c r="K28" s="928"/>
    </row>
    <row r="29" spans="1:33" s="297" customFormat="1" ht="13.5" customHeight="1">
      <c r="A29" s="908" t="s">
        <v>803</v>
      </c>
      <c r="B29" s="931" t="s">
        <v>2292</v>
      </c>
      <c r="C29" s="290">
        <f ca="1">ROUND((1+C24)*F28*'数据-取费表'!B24/'数据-取费表'!B20,4)</f>
        <v>0</v>
      </c>
      <c r="D29" s="290"/>
      <c r="E29" s="291"/>
      <c r="F29" s="296"/>
      <c r="G29" s="136" t="s">
        <v>2293</v>
      </c>
      <c r="H29" s="916"/>
      <c r="I29" s="916"/>
      <c r="J29" s="916"/>
      <c r="K29" s="917"/>
    </row>
    <row r="30" spans="1:33" s="297" customFormat="1" ht="13.5" customHeight="1">
      <c r="A30" s="908" t="s">
        <v>804</v>
      </c>
      <c r="B30" s="931" t="s">
        <v>2294</v>
      </c>
      <c r="C30" s="298">
        <f ca="1">ROUND((C21+C22+C23)*F28,0)</f>
        <v>0</v>
      </c>
      <c r="D30" s="290"/>
      <c r="E30" s="291"/>
      <c r="F30" s="296"/>
      <c r="G30" s="136"/>
      <c r="H30" s="916"/>
      <c r="I30" s="916"/>
      <c r="J30" s="916"/>
      <c r="K30" s="917"/>
    </row>
    <row r="31" spans="1:33" s="912" customFormat="1" ht="13.5" customHeight="1" thickBot="1">
      <c r="A31" s="2048" t="s">
        <v>2295</v>
      </c>
      <c r="B31" s="942" t="s">
        <v>2296</v>
      </c>
      <c r="C31" s="943">
        <f>ROUND(C4*F31/(1+'数据-取费表'!C42),0)</f>
        <v>0</v>
      </c>
      <c r="D31" s="944"/>
      <c r="E31" s="945"/>
      <c r="F31" s="946">
        <f>'数据-取费表'!B41</f>
        <v>5.5000000000000007E-2</v>
      </c>
      <c r="G31" s="947" t="s">
        <v>2297</v>
      </c>
      <c r="H31" s="948"/>
      <c r="I31" s="948"/>
      <c r="J31" s="948"/>
      <c r="K31" s="949"/>
    </row>
    <row r="32" spans="1:33" s="907" customFormat="1" ht="13.5" customHeight="1" thickBot="1">
      <c r="A32" s="937" t="s">
        <v>2298</v>
      </c>
      <c r="B32" s="938"/>
      <c r="C32" s="939">
        <f ca="1">ROUND((C4-C21-C22-C23-C25-C28-C31)/(1+C24+D25+D28),0)</f>
        <v>0</v>
      </c>
      <c r="D32" s="938"/>
      <c r="E32" s="938"/>
      <c r="F32" s="938"/>
      <c r="G32" s="940" t="s">
        <v>2299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70" workbookViewId="0">
      <selection activeCell="C37" sqref="C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26"/>
      <c r="H2" s="2915"/>
      <c r="I2" s="2915"/>
      <c r="J2" s="2915"/>
      <c r="K2" s="2916"/>
      <c r="L2" s="2915"/>
      <c r="M2" s="2915"/>
    </row>
    <row r="3" spans="1:37" ht="18" customHeight="1" thickBot="1">
      <c r="A3" s="1573" t="s">
        <v>1482</v>
      </c>
      <c r="B3" s="1574">
        <f ca="1">IF(ISERROR(B2*10000/F43),0,ROUND(B2*10000/F43,0))</f>
        <v>0</v>
      </c>
      <c r="C3" s="1570" t="s">
        <v>1483</v>
      </c>
      <c r="D3" s="1570"/>
      <c r="E3" s="1571"/>
      <c r="F3" s="1572"/>
      <c r="G3" s="2926"/>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0</v>
      </c>
      <c r="D5" s="1547" t="s">
        <v>1367</v>
      </c>
      <c r="E5" s="1203"/>
      <c r="F5" s="1204"/>
      <c r="G5" s="1567"/>
      <c r="H5" s="305">
        <v>1</v>
      </c>
      <c r="I5" s="306" t="s">
        <v>1366</v>
      </c>
      <c r="J5" s="1202">
        <f ca="1">J6+J10+J12</f>
        <v>0</v>
      </c>
      <c r="K5" s="1547" t="s">
        <v>1367</v>
      </c>
      <c r="L5" s="1203"/>
      <c r="M5" s="1204"/>
    </row>
    <row r="6" spans="1:37" ht="18" customHeight="1">
      <c r="A6" s="1201" t="s">
        <v>1003</v>
      </c>
      <c r="B6" s="3435" t="s">
        <v>1368</v>
      </c>
      <c r="C6" s="1206">
        <f ca="1">ROUND(F6*F8*F7*(1-F9)/10000,0)</f>
        <v>0</v>
      </c>
      <c r="D6" s="160" t="s">
        <v>2810</v>
      </c>
      <c r="E6" s="308" t="s">
        <v>1370</v>
      </c>
      <c r="F6" s="309">
        <f ca="1">INDIRECT("'数据-取费表'!u"&amp;$G$1)</f>
        <v>0</v>
      </c>
      <c r="G6" s="1567"/>
      <c r="H6" s="1201" t="s">
        <v>1003</v>
      </c>
      <c r="I6" s="3435" t="s">
        <v>1368</v>
      </c>
      <c r="J6" s="307">
        <f ca="1">ROUND(M6*M8*M7*(1-M9)/10000,0)</f>
        <v>0</v>
      </c>
      <c r="K6" s="160" t="s">
        <v>2809</v>
      </c>
      <c r="L6" s="308" t="s">
        <v>1370</v>
      </c>
      <c r="M6" s="309">
        <f ca="1">INDIRECT("'数据-取费表'!z"&amp;$G$1)</f>
        <v>0</v>
      </c>
    </row>
    <row r="7" spans="1:37" ht="18" customHeight="1">
      <c r="A7" s="1205"/>
      <c r="B7" s="3436"/>
      <c r="C7" s="1207"/>
      <c r="D7" s="313"/>
      <c r="E7" s="1208" t="s">
        <v>1371</v>
      </c>
      <c r="F7" s="309">
        <f ca="1">IF(INDIRECT("'数据-取费表'!ah"&amp;$G$1)="",INDIRECT("'数据-取费表'!k"&amp;$G$1),INDIRECT("'数据-取费表'!ah"&amp;$G$1))</f>
        <v>0</v>
      </c>
      <c r="G7" s="1567"/>
      <c r="H7" s="310"/>
      <c r="I7" s="3436"/>
      <c r="J7" s="312"/>
      <c r="K7" s="313"/>
      <c r="L7" s="308" t="s">
        <v>1371</v>
      </c>
      <c r="M7" s="309">
        <f ca="1">F7</f>
        <v>0</v>
      </c>
    </row>
    <row r="8" spans="1:37" ht="18" customHeight="1">
      <c r="A8" s="310"/>
      <c r="B8" s="3436"/>
      <c r="C8" s="312"/>
      <c r="D8" s="313"/>
      <c r="E8" s="308" t="s">
        <v>1372</v>
      </c>
      <c r="F8" s="309">
        <f ca="1">INDIRECT("'数据-取费表'!ai"&amp;$G$1)</f>
        <v>0</v>
      </c>
      <c r="G8" s="1567"/>
      <c r="H8" s="310"/>
      <c r="I8" s="3436"/>
      <c r="J8" s="312"/>
      <c r="K8" s="313"/>
      <c r="L8" s="308" t="s">
        <v>1372</v>
      </c>
      <c r="M8" s="309">
        <f ca="1">INDIRECT("'数据-取费表'!ai"&amp;$G$1)</f>
        <v>0</v>
      </c>
    </row>
    <row r="9" spans="1:37" ht="18" customHeight="1">
      <c r="A9" s="310"/>
      <c r="B9" s="3437"/>
      <c r="C9" s="312"/>
      <c r="D9" s="313"/>
      <c r="E9" s="308" t="s">
        <v>1373</v>
      </c>
      <c r="F9" s="318">
        <f ca="1">INDIRECT("'数据-取费表'!w"&amp;$G$1)</f>
        <v>0</v>
      </c>
      <c r="G9" s="1567"/>
      <c r="H9" s="310"/>
      <c r="I9" s="343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2818</v>
      </c>
      <c r="E10" s="319" t="s">
        <v>1375</v>
      </c>
      <c r="F10" s="1276"/>
      <c r="G10" s="1567"/>
      <c r="H10" s="1201" t="s">
        <v>1007</v>
      </c>
      <c r="I10" s="1548" t="s">
        <v>1374</v>
      </c>
      <c r="J10" s="307">
        <f ca="1">ROUND(IF(M10="押一",J6/12*M11,IF(M10="押二",J6/12*2*M11,IF(M10="押三",J6/12*3*M11,J11*M11))),0)</f>
        <v>0</v>
      </c>
      <c r="K10" s="1549" t="s">
        <v>2817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ROUND(F17*(F43+INDIRECT("'数据-取费表'!S"&amp;$G$1))/10000,0)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2.5000000000000001E-2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IF(项目基本情况!B11="自然人","——",ROUND(F34*F35/10000,2))</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ROUND(C29*F36,1)</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ROUND(C13*F37,1)</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5"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ROUND(F49*F51*F50*(1-F52)/10000,0)</f>
        <v>0</v>
      </c>
      <c r="D49" s="1186" t="s">
        <v>2811</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8"/>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2817</v>
      </c>
      <c r="E53" s="319" t="s">
        <v>1375</v>
      </c>
      <c r="F53" s="1276"/>
      <c r="I53" s="1622" t="s">
        <v>1512</v>
      </c>
      <c r="J53" s="2382">
        <f ca="1">IF(M47="住宅",IF(D1="——",MAX(J51,L48),MAX(J51,L48-'数据-取费表'!B24)),IF(D1="——",MIN(J51,L48),MIN(J51,L48-'数据-取费表'!B24)))</f>
        <v>0</v>
      </c>
      <c r="K53" s="3433" t="s">
        <v>1513</v>
      </c>
      <c r="L53" s="3434"/>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9</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26"/>
      <c r="H2" s="2915"/>
      <c r="I2" s="2915"/>
      <c r="J2" s="2915"/>
      <c r="K2" s="2916"/>
      <c r="L2" s="2915"/>
      <c r="M2" s="2915"/>
    </row>
    <row r="3" spans="1:37" ht="18" customHeight="1" thickBot="1">
      <c r="A3" s="1573" t="s">
        <v>1558</v>
      </c>
      <c r="B3" s="1574">
        <f ca="1">IF(ISERROR(D2/F43),0,ROUND(D2/F43,0))</f>
        <v>0</v>
      </c>
      <c r="C3" s="1570" t="s">
        <v>1559</v>
      </c>
      <c r="D3" s="1570"/>
      <c r="E3" s="1571"/>
      <c r="F3" s="1572"/>
      <c r="G3" s="2926"/>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435" t="s">
        <v>1368</v>
      </c>
      <c r="C6" s="1206">
        <f ca="1">ROUND(F6*F8*F7*(1-F9),0)</f>
        <v>0</v>
      </c>
      <c r="D6" s="160" t="s">
        <v>2807</v>
      </c>
      <c r="E6" s="308" t="s">
        <v>1370</v>
      </c>
      <c r="F6" s="309">
        <f ca="1">INDIRECT("'数据-取费表'!u"&amp;$G$1)</f>
        <v>0</v>
      </c>
      <c r="G6" s="1567"/>
      <c r="H6" s="1201" t="s">
        <v>1003</v>
      </c>
      <c r="I6" s="3435" t="s">
        <v>1368</v>
      </c>
      <c r="J6" s="307">
        <f ca="1">ROUND(M6*M8*M7*(1-M9),0)</f>
        <v>0</v>
      </c>
      <c r="K6" s="1559" t="s">
        <v>2808</v>
      </c>
      <c r="L6" s="308" t="s">
        <v>1370</v>
      </c>
      <c r="M6" s="309">
        <f ca="1">INDIRECT("'数据-取费表'!z"&amp;$G$1)</f>
        <v>0</v>
      </c>
    </row>
    <row r="7" spans="1:37" ht="18" customHeight="1">
      <c r="A7" s="1205"/>
      <c r="B7" s="3436"/>
      <c r="C7" s="1207"/>
      <c r="D7" s="313"/>
      <c r="E7" s="1208" t="s">
        <v>1371</v>
      </c>
      <c r="F7" s="309">
        <f ca="1">IF(INDIRECT("'数据-取费表'!ah"&amp;$G$1)="",INDIRECT("'数据-取费表'!k"&amp;$G$1),INDIRECT("'数据-取费表'!ah"&amp;$G$1))</f>
        <v>0</v>
      </c>
      <c r="G7" s="1567"/>
      <c r="H7" s="310"/>
      <c r="I7" s="3436"/>
      <c r="J7" s="312"/>
      <c r="K7" s="313"/>
      <c r="L7" s="308" t="s">
        <v>1371</v>
      </c>
      <c r="M7" s="309">
        <f ca="1">F7</f>
        <v>0</v>
      </c>
    </row>
    <row r="8" spans="1:37" ht="18" customHeight="1">
      <c r="A8" s="310"/>
      <c r="B8" s="3436"/>
      <c r="C8" s="312"/>
      <c r="D8" s="313"/>
      <c r="E8" s="308" t="s">
        <v>1372</v>
      </c>
      <c r="F8" s="309">
        <f ca="1">INDIRECT("'数据-取费表'!ai"&amp;$G$1)</f>
        <v>0</v>
      </c>
      <c r="G8" s="1567"/>
      <c r="H8" s="310"/>
      <c r="I8" s="3436"/>
      <c r="J8" s="312"/>
      <c r="K8" s="313"/>
      <c r="L8" s="308" t="s">
        <v>1372</v>
      </c>
      <c r="M8" s="309">
        <f ca="1">INDIRECT("'数据-取费表'!ai"&amp;$G$1)</f>
        <v>0</v>
      </c>
    </row>
    <row r="9" spans="1:37" ht="18" customHeight="1">
      <c r="A9" s="310"/>
      <c r="B9" s="3437"/>
      <c r="C9" s="312"/>
      <c r="D9" s="313"/>
      <c r="E9" s="308" t="s">
        <v>1373</v>
      </c>
      <c r="F9" s="318">
        <f ca="1">INDIRECT("'数据-取费表'!w"&amp;$G$1)</f>
        <v>0</v>
      </c>
      <c r="G9" s="1567"/>
      <c r="H9" s="310"/>
      <c r="I9" s="343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2817</v>
      </c>
      <c r="E10" s="319" t="s">
        <v>1375</v>
      </c>
      <c r="F10" s="1276"/>
      <c r="G10" s="1567"/>
      <c r="H10" s="1201" t="s">
        <v>1007</v>
      </c>
      <c r="I10" s="1548" t="s">
        <v>1374</v>
      </c>
      <c r="J10" s="307">
        <f ca="1">ROUND(IF(M10="押一",J6/12*M11,IF(M10="押二",J6/12*2*M11,IF(M10="押三",J6/12*3*M11,J11*M11))),0)</f>
        <v>0</v>
      </c>
      <c r="K10" s="1560" t="s">
        <v>2819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0">
        <f ca="1">ROUND(IF(AND(项目基本情况!B11="自然人",项目基本情况!B10="北京市"),J6*M17/(1+'数据-取费表'!C42),J18+J19+J20),0)</f>
        <v>0</v>
      </c>
      <c r="K17" s="1528" t="s">
        <v>1395</v>
      </c>
      <c r="L17" s="1527" t="s">
        <v>1396</v>
      </c>
      <c r="M17" s="2529">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2.5000000000000001E-2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17"/>
      <c r="I30" s="1581"/>
      <c r="J30" s="1582"/>
      <c r="K30" s="2693"/>
      <c r="L30" s="2918"/>
      <c r="M30" s="2919"/>
    </row>
    <row r="31" spans="1:37" ht="18" customHeight="1">
      <c r="A31" s="1113" t="s">
        <v>1003</v>
      </c>
      <c r="B31" s="308" t="s">
        <v>1394</v>
      </c>
      <c r="C31" s="2530">
        <f ca="1">ROUND(IF(AND(项目基本情况!B11="自然人",项目基本情况!B10="北京市"),C6*F31/(1+'数据-取费表'!C42),C32+C33+C34),0)</f>
        <v>0</v>
      </c>
      <c r="D31" s="1528" t="s">
        <v>1395</v>
      </c>
      <c r="E31" s="1527" t="s">
        <v>1446</v>
      </c>
      <c r="F31" s="2529">
        <f ca="1">IF(项目基本情况!B11="企业","——",IF('数据-取费表'!B10="住宅",IF(F6*F7*F8/12/(1+'数据-取费表'!F30)&gt;100000,4%,2.5%),IF(F6*F7*F8/12/(1+'数据-取费表'!F30)&gt;100000,12%,7%)))</f>
        <v>7.0000000000000007E-2</v>
      </c>
      <c r="G31" s="1567"/>
      <c r="H31" s="3030" t="s">
        <v>3013</v>
      </c>
      <c r="I31" s="1581"/>
      <c r="J31" s="1582"/>
      <c r="K31" s="2693"/>
      <c r="L31" s="2918"/>
      <c r="M31" s="2919"/>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17"/>
      <c r="I32" s="1581"/>
      <c r="J32" s="1582"/>
      <c r="K32" s="2693"/>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0"/>
      <c r="I33" s="1581"/>
      <c r="J33" s="1582"/>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7"/>
      <c r="H34" s="2917"/>
      <c r="I34" s="1581"/>
      <c r="J34" s="1582"/>
      <c r="K34" s="2922"/>
      <c r="L34" s="2923"/>
      <c r="M34" s="2923"/>
    </row>
    <row r="35" spans="1:18" ht="18" customHeight="1">
      <c r="A35" s="1263"/>
      <c r="B35" s="1261"/>
      <c r="C35" s="29"/>
      <c r="D35" s="333"/>
      <c r="E35" s="308" t="s">
        <v>1412</v>
      </c>
      <c r="F35" s="309">
        <f ca="1">INDIRECT("'数据-取费表'!r"&amp;$G$1)</f>
        <v>0</v>
      </c>
      <c r="G35" s="1567"/>
      <c r="H35" s="2917"/>
      <c r="I35" s="1581"/>
      <c r="J35" s="1582"/>
      <c r="K35" s="2921"/>
      <c r="L35" s="2920"/>
      <c r="M35" s="2920"/>
    </row>
    <row r="36" spans="1:18" ht="18" customHeight="1">
      <c r="A36" s="1262" t="s">
        <v>1007</v>
      </c>
      <c r="B36" s="308" t="s">
        <v>1414</v>
      </c>
      <c r="C36" s="24">
        <f ca="1">ROUND(C29*F36,0)</f>
        <v>0</v>
      </c>
      <c r="D36" s="1527" t="s">
        <v>1447</v>
      </c>
      <c r="E36" s="308" t="s">
        <v>1387</v>
      </c>
      <c r="F36" s="334">
        <f ca="1">INDIRECT("'数据-取费表'!Ak"&amp;$G$1)</f>
        <v>0</v>
      </c>
      <c r="G36" s="1567"/>
      <c r="H36" s="2920"/>
      <c r="I36" s="1581"/>
      <c r="J36" s="1582"/>
      <c r="K36" s="2762"/>
      <c r="L36" s="2920"/>
      <c r="M36" s="2920"/>
    </row>
    <row r="37" spans="1:18" ht="18" customHeight="1">
      <c r="A37" s="1113" t="s">
        <v>1043</v>
      </c>
      <c r="B37" s="308" t="s">
        <v>1418</v>
      </c>
      <c r="C37" s="24">
        <f ca="1">ROUND(C13*F37,0)</f>
        <v>0</v>
      </c>
      <c r="D37" s="1527" t="s">
        <v>1419</v>
      </c>
      <c r="E37" s="308" t="s">
        <v>1420</v>
      </c>
      <c r="F37" s="336">
        <f ca="1">INDIRECT("'数据-取费表'!Al"&amp;$G$1)</f>
        <v>0</v>
      </c>
      <c r="G37" s="1567"/>
      <c r="H37" s="2920"/>
      <c r="I37" s="1581"/>
      <c r="J37" s="1582"/>
      <c r="K37" s="2762"/>
      <c r="L37" s="2920"/>
      <c r="M37" s="2920"/>
    </row>
    <row r="38" spans="1:18" ht="18" customHeight="1" thickBot="1">
      <c r="A38" s="1249" t="s">
        <v>1358</v>
      </c>
      <c r="B38" s="1250" t="s">
        <v>1404</v>
      </c>
      <c r="C38" s="1251">
        <f ca="1">ROUND(C5*F38,1)</f>
        <v>0</v>
      </c>
      <c r="D38" s="1252" t="s">
        <v>1424</v>
      </c>
      <c r="E38" s="1250" t="s">
        <v>1420</v>
      </c>
      <c r="F38" s="1246">
        <f ca="1">INDIRECT("'数据-取费表'!Am"&amp;$G$1)</f>
        <v>0</v>
      </c>
      <c r="G38" s="1567"/>
      <c r="H38" s="2920"/>
      <c r="I38" s="1581"/>
      <c r="J38" s="1582"/>
      <c r="K38" s="2924"/>
      <c r="L38" s="2920"/>
      <c r="M38" s="2920"/>
    </row>
    <row r="39" spans="1:18" ht="24.6" customHeight="1" thickTop="1">
      <c r="A39" s="1239" t="s">
        <v>999</v>
      </c>
      <c r="B39" s="1254" t="s">
        <v>1448</v>
      </c>
      <c r="C39" s="316">
        <f ca="1">C5-C30</f>
        <v>0</v>
      </c>
      <c r="D39" s="1255" t="s">
        <v>1449</v>
      </c>
      <c r="E39" s="1256"/>
      <c r="F39" s="1257"/>
      <c r="G39" s="1567"/>
      <c r="H39" s="2920"/>
      <c r="I39" s="1581"/>
      <c r="J39" s="1582"/>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4"/>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2"/>
      <c r="L41" s="1352"/>
      <c r="M41" s="1352"/>
    </row>
    <row r="42" spans="1:18" ht="18" customHeight="1">
      <c r="A42" s="314"/>
      <c r="B42" s="315"/>
      <c r="C42" s="316"/>
      <c r="D42" s="333"/>
      <c r="E42" s="308" t="s">
        <v>1442</v>
      </c>
      <c r="F42" s="318">
        <f ca="1">INDIRECT("'数据-取费表'!v"&amp;$G$1)</f>
        <v>0</v>
      </c>
      <c r="G42" s="1567"/>
      <c r="H42" s="1352"/>
      <c r="I42" s="1581"/>
      <c r="J42" s="1582"/>
      <c r="K42" s="2762"/>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2"/>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2820</v>
      </c>
      <c r="E53" s="319" t="s">
        <v>1375</v>
      </c>
      <c r="F53" s="1276"/>
      <c r="I53" s="1622" t="s">
        <v>1512</v>
      </c>
      <c r="J53" s="2382">
        <f ca="1">IF(M47="住宅",IF(D1="——",MAX(J51,L48),MAX(J51,L48-'数据-取费表'!B24)),IF(D1="——",MIN(J51,L48),MIN(J51,L48-'数据-取费表'!B24)))</f>
        <v>0</v>
      </c>
      <c r="K53" s="3433" t="s">
        <v>1513</v>
      </c>
      <c r="L53" s="343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0">
        <f ca="1">ROUND(IF(AND(项目基本情况!B11="自然人",项目基本情况!B10="北京市"),C49*F59/(1+'数据-取费表'!C42),C60+C61+C62),0)</f>
        <v>0</v>
      </c>
      <c r="D59" s="1094" t="s">
        <v>1395</v>
      </c>
      <c r="E59" s="1095" t="s">
        <v>1396</v>
      </c>
      <c r="F59" s="2529">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49" t="s">
        <v>2307</v>
      </c>
      <c r="B1" s="2050"/>
      <c r="C1" s="2050"/>
      <c r="D1" s="2050"/>
      <c r="E1" s="2051"/>
      <c r="F1" s="2927"/>
      <c r="G1" s="1673"/>
      <c r="H1" s="1673"/>
      <c r="I1" s="1673"/>
      <c r="J1" s="1673"/>
      <c r="K1" s="1673"/>
      <c r="L1" s="1673"/>
      <c r="M1" s="1673"/>
      <c r="N1" s="1673"/>
      <c r="O1" s="1673"/>
      <c r="P1" s="1673"/>
      <c r="Q1" s="1673"/>
      <c r="R1" s="1673"/>
      <c r="S1" s="1673"/>
    </row>
    <row r="2" spans="1:22" ht="15.75">
      <c r="A2" s="2052" t="s">
        <v>2146</v>
      </c>
      <c r="B2" s="2053">
        <f ca="1">SUMIF(B6:B13,"&lt;&gt;#ref!",B6:B13)</f>
        <v>0</v>
      </c>
      <c r="C2" s="2054" t="s">
        <v>2300</v>
      </c>
      <c r="D2" s="2055" t="s">
        <v>2301</v>
      </c>
      <c r="E2" s="2825">
        <f>SUM(E6:E13)</f>
        <v>0</v>
      </c>
      <c r="F2" s="2927"/>
      <c r="G2" s="1673"/>
      <c r="H2" s="1673"/>
      <c r="I2" s="1673"/>
      <c r="J2" s="1673"/>
      <c r="K2" s="1673"/>
      <c r="L2" s="1673"/>
      <c r="M2" s="1673"/>
      <c r="N2" s="1673"/>
      <c r="O2" s="1673"/>
      <c r="P2" s="1673"/>
      <c r="Q2" s="1673"/>
      <c r="R2" s="1673"/>
      <c r="S2" s="1673"/>
    </row>
    <row r="3" spans="1:22" ht="15.75">
      <c r="A3" s="2052" t="s">
        <v>1360</v>
      </c>
      <c r="B3" s="2819" t="e">
        <f ca="1">ROUND(B2*10000/E2,0)</f>
        <v>#DIV/0!</v>
      </c>
      <c r="C3" s="2054" t="s">
        <v>2308</v>
      </c>
      <c r="D3" s="2929"/>
      <c r="E3" s="2931"/>
      <c r="F3" s="2927"/>
      <c r="G3" s="1673"/>
      <c r="H3" s="1673"/>
      <c r="I3" s="1673"/>
      <c r="J3" s="1673"/>
      <c r="K3" s="1673"/>
      <c r="L3" s="1673"/>
      <c r="M3" s="1673"/>
      <c r="N3" s="1673"/>
      <c r="O3" s="1673"/>
      <c r="P3" s="1673"/>
      <c r="Q3" s="1673"/>
      <c r="R3" s="1673"/>
      <c r="S3" s="1673"/>
    </row>
    <row r="4" spans="1:22" ht="15.75">
      <c r="A4" s="2932"/>
      <c r="B4" s="2929"/>
      <c r="C4" s="2929"/>
      <c r="D4" s="2929"/>
      <c r="E4" s="2931"/>
      <c r="F4" s="2927"/>
      <c r="G4" s="1673"/>
      <c r="H4" s="1673"/>
      <c r="I4" s="1673"/>
      <c r="J4" s="1673"/>
      <c r="K4" s="1673"/>
      <c r="L4" s="1673"/>
      <c r="M4" s="1673"/>
      <c r="N4" s="1673"/>
      <c r="O4" s="1673"/>
      <c r="P4" s="1673"/>
      <c r="Q4" s="1673"/>
      <c r="R4" s="1673"/>
      <c r="S4" s="1673"/>
    </row>
    <row r="5" spans="1:22" ht="15">
      <c r="A5" s="2821" t="s">
        <v>2302</v>
      </c>
      <c r="B5" s="3438" t="s">
        <v>2303</v>
      </c>
      <c r="C5" s="3439"/>
      <c r="D5" s="2928"/>
      <c r="E5" s="2056" t="s">
        <v>2304</v>
      </c>
      <c r="F5" s="2057" t="s">
        <v>2305</v>
      </c>
      <c r="G5" s="1673"/>
      <c r="H5" s="1673"/>
      <c r="I5" s="1673"/>
      <c r="J5" s="1673"/>
      <c r="K5" s="1673"/>
      <c r="L5" s="1673"/>
      <c r="M5" s="1673"/>
      <c r="N5" s="1673"/>
      <c r="O5" s="1673"/>
      <c r="P5" s="1673"/>
      <c r="Q5" s="1673"/>
      <c r="R5" s="1673"/>
      <c r="S5" s="1673"/>
    </row>
    <row r="6" spans="1:22">
      <c r="A6" s="2822">
        <f>'数据-取费表'!AN6</f>
        <v>0</v>
      </c>
      <c r="B6" s="2820" t="e">
        <f ca="1">IF(F6="是",'数据-取费表'!AO6,0)</f>
        <v>#REF!</v>
      </c>
      <c r="C6" s="2054" t="s">
        <v>2300</v>
      </c>
      <c r="D6" s="2929"/>
      <c r="E6" s="2824">
        <f>IF(OR(A6=0,F6="否"),0,'数据-取费表'!K6+'数据-取费表'!S6)</f>
        <v>0</v>
      </c>
      <c r="F6" s="2058" t="s">
        <v>2306</v>
      </c>
      <c r="G6" s="1673"/>
      <c r="H6" s="1673"/>
      <c r="I6" s="1673"/>
      <c r="J6" s="1673"/>
      <c r="K6" s="1673"/>
      <c r="L6" s="1673"/>
      <c r="M6" s="1673"/>
      <c r="N6" s="1673"/>
      <c r="O6" s="1673"/>
      <c r="P6" s="1673"/>
      <c r="Q6" s="1673"/>
      <c r="R6" s="1673"/>
      <c r="S6" s="1673"/>
    </row>
    <row r="7" spans="1:22">
      <c r="A7" s="2822">
        <f>'数据-取费表'!AN7</f>
        <v>0</v>
      </c>
      <c r="B7" s="2820" t="e">
        <f ca="1">IF(F7="是",'数据-取费表'!AO7,0)</f>
        <v>#REF!</v>
      </c>
      <c r="C7" s="2054" t="s">
        <v>2300</v>
      </c>
      <c r="D7" s="2929"/>
      <c r="E7" s="2824">
        <f>IF(OR(A7=0,F7="否"),0,'数据-取费表'!K7+'数据-取费表'!S7)</f>
        <v>0</v>
      </c>
      <c r="F7" s="2058" t="s">
        <v>2306</v>
      </c>
      <c r="G7" s="1673"/>
      <c r="H7" s="1673"/>
      <c r="I7" s="1673"/>
      <c r="J7" s="1673"/>
      <c r="K7" s="1673"/>
      <c r="L7" s="1673"/>
      <c r="M7" s="1673"/>
      <c r="N7" s="1673"/>
      <c r="O7" s="1673"/>
      <c r="P7" s="1673"/>
      <c r="Q7" s="1673"/>
      <c r="R7" s="1673"/>
      <c r="S7" s="1673"/>
    </row>
    <row r="8" spans="1:22">
      <c r="A8" s="2822">
        <f>'数据-取费表'!AN8</f>
        <v>0</v>
      </c>
      <c r="B8" s="2820" t="e">
        <f ca="1">IF(F8="是",'数据-取费表'!AO8,0)</f>
        <v>#REF!</v>
      </c>
      <c r="C8" s="2054" t="s">
        <v>2300</v>
      </c>
      <c r="D8" s="2929"/>
      <c r="E8" s="2824">
        <f>IF(OR(A8=0,F8="否"),0,'数据-取费表'!K8+'数据-取费表'!S8)</f>
        <v>0</v>
      </c>
      <c r="F8" s="2058" t="s">
        <v>2306</v>
      </c>
      <c r="G8" s="1673"/>
      <c r="H8" s="1673"/>
      <c r="I8" s="1673"/>
      <c r="J8" s="1673"/>
      <c r="K8" s="1673"/>
      <c r="L8" s="1673"/>
      <c r="M8" s="1673"/>
      <c r="N8" s="1673"/>
      <c r="O8" s="1673"/>
      <c r="P8" s="1673"/>
      <c r="Q8" s="1673"/>
      <c r="R8" s="1673"/>
      <c r="S8" s="1673"/>
    </row>
    <row r="9" spans="1:22">
      <c r="A9" s="2822">
        <f>'数据-取费表'!AN9</f>
        <v>0</v>
      </c>
      <c r="B9" s="2820" t="e">
        <f ca="1">IF(F9="是",'数据-取费表'!AO9,0)</f>
        <v>#REF!</v>
      </c>
      <c r="C9" s="2054" t="s">
        <v>2300</v>
      </c>
      <c r="D9" s="2929"/>
      <c r="E9" s="2824">
        <f>IF(OR(A9=0,F9="否"),0,'数据-取费表'!K9+'数据-取费表'!S9)</f>
        <v>0</v>
      </c>
      <c r="F9" s="2058" t="s">
        <v>2306</v>
      </c>
      <c r="G9" s="1673"/>
      <c r="H9" s="1673"/>
      <c r="I9" s="1673"/>
      <c r="J9" s="1673"/>
      <c r="K9" s="1673"/>
      <c r="L9" s="1673"/>
      <c r="M9" s="1673"/>
      <c r="N9" s="1673"/>
      <c r="O9" s="1673"/>
      <c r="P9" s="1673"/>
      <c r="Q9" s="1673"/>
      <c r="R9" s="1673"/>
      <c r="S9" s="1673"/>
    </row>
    <row r="10" spans="1:22">
      <c r="A10" s="2822">
        <f>'数据-取费表'!AN10</f>
        <v>0</v>
      </c>
      <c r="B10" s="2820" t="e">
        <f ca="1">IF(F10="是",'数据-取费表'!AO10,0)</f>
        <v>#REF!</v>
      </c>
      <c r="C10" s="2054" t="s">
        <v>2300</v>
      </c>
      <c r="D10" s="2929"/>
      <c r="E10" s="2824">
        <f>IF(OR(A10=0,F10="否"),0,'数据-取费表'!K10+'数据-取费表'!S10)</f>
        <v>0</v>
      </c>
      <c r="F10" s="2058" t="s">
        <v>2306</v>
      </c>
      <c r="G10" s="1673"/>
      <c r="H10" s="1673"/>
      <c r="I10" s="1673"/>
      <c r="J10" s="1673"/>
      <c r="K10" s="1673"/>
      <c r="L10" s="1673"/>
      <c r="M10" s="1673"/>
      <c r="N10" s="1673"/>
      <c r="O10" s="1673"/>
      <c r="P10" s="1673"/>
      <c r="Q10" s="1673"/>
      <c r="R10" s="1673"/>
      <c r="S10" s="1673"/>
    </row>
    <row r="11" spans="1:22">
      <c r="A11" s="2822">
        <f>'数据-取费表'!AN11</f>
        <v>0</v>
      </c>
      <c r="B11" s="2820" t="e">
        <f ca="1">IF(F11="是",'数据-取费表'!AO11,0)</f>
        <v>#REF!</v>
      </c>
      <c r="C11" s="2054" t="s">
        <v>2300</v>
      </c>
      <c r="D11" s="2929"/>
      <c r="E11" s="2824">
        <f>IF(OR(A11=0,F11="否"),0,'数据-取费表'!K11+'数据-取费表'!S11)</f>
        <v>0</v>
      </c>
      <c r="F11" s="2058" t="s">
        <v>2306</v>
      </c>
      <c r="G11" s="1673"/>
      <c r="H11" s="1673"/>
      <c r="I11" s="1673"/>
      <c r="J11" s="1673"/>
      <c r="K11" s="1673"/>
      <c r="L11" s="1673"/>
      <c r="M11" s="1673"/>
      <c r="N11" s="1673"/>
      <c r="O11" s="1673"/>
      <c r="P11" s="1673"/>
      <c r="Q11" s="1673"/>
      <c r="R11" s="1673"/>
      <c r="S11" s="1673"/>
    </row>
    <row r="12" spans="1:22">
      <c r="A12" s="2822">
        <f>'数据-取费表'!AN12</f>
        <v>0</v>
      </c>
      <c r="B12" s="2820" t="e">
        <f ca="1">IF(F12="是",'数据-取费表'!AO12,0)</f>
        <v>#REF!</v>
      </c>
      <c r="C12" s="2054" t="s">
        <v>2300</v>
      </c>
      <c r="D12" s="2929"/>
      <c r="E12" s="2824">
        <f>IF(OR(A12=0,F12="否"),0,'数据-取费表'!K12+'数据-取费表'!S12)</f>
        <v>0</v>
      </c>
      <c r="F12" s="2058" t="s">
        <v>2306</v>
      </c>
      <c r="G12" s="1673"/>
      <c r="H12" s="1673"/>
      <c r="I12" s="1673"/>
      <c r="J12" s="1673"/>
      <c r="K12" s="1673"/>
      <c r="L12" s="1673"/>
      <c r="M12" s="1673"/>
      <c r="N12" s="1673"/>
      <c r="O12" s="1673"/>
      <c r="P12" s="1673"/>
      <c r="Q12" s="1673"/>
      <c r="R12" s="1673"/>
      <c r="S12" s="1673"/>
    </row>
    <row r="13" spans="1:22" ht="15" thickBot="1">
      <c r="A13" s="2823">
        <f>'数据-取费表'!AN13</f>
        <v>0</v>
      </c>
      <c r="B13" s="2820" t="e">
        <f ca="1">IF(F13="是",'数据-取费表'!AO13,0)</f>
        <v>#REF!</v>
      </c>
      <c r="C13" s="2059" t="s">
        <v>2300</v>
      </c>
      <c r="D13" s="2930"/>
      <c r="E13" s="2824">
        <f>IF(OR(A13=0,F13="否"),0,'数据-取费表'!K13+'数据-取费表'!S13)</f>
        <v>0</v>
      </c>
      <c r="F13" s="2058" t="s">
        <v>2306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0" t="s">
        <v>1044</v>
      </c>
      <c r="B1" s="3441"/>
      <c r="C1" s="3442"/>
      <c r="D1" s="3443">
        <f>SUM(I10,I15,I20,I21,I23)</f>
        <v>0</v>
      </c>
      <c r="E1" s="3443"/>
      <c r="F1" s="3443"/>
      <c r="G1" s="3443"/>
      <c r="H1" s="3443"/>
      <c r="I1" s="3444"/>
    </row>
    <row r="2" spans="1:9">
      <c r="A2" s="3445" t="s">
        <v>1045</v>
      </c>
      <c r="B2" s="3446" t="s">
        <v>1046</v>
      </c>
      <c r="C2" s="3446"/>
      <c r="D2" s="1211" t="s">
        <v>1047</v>
      </c>
      <c r="E2" s="1211" t="s">
        <v>1048</v>
      </c>
      <c r="F2" s="1211" t="s">
        <v>1049</v>
      </c>
      <c r="G2" s="1211" t="s">
        <v>1050</v>
      </c>
      <c r="H2" s="1211" t="s">
        <v>1051</v>
      </c>
      <c r="I2" s="1212" t="s">
        <v>1052</v>
      </c>
    </row>
    <row r="3" spans="1:9">
      <c r="A3" s="3445"/>
      <c r="B3" s="3446" t="s">
        <v>1053</v>
      </c>
      <c r="C3" s="3446"/>
      <c r="D3" s="1213"/>
      <c r="E3" s="1211"/>
      <c r="F3" s="1214"/>
      <c r="G3" s="1214"/>
      <c r="H3" s="1215"/>
      <c r="I3" s="1216">
        <f>ROUND(D3*E3*F3*G3*H3/10000,0)</f>
        <v>0</v>
      </c>
    </row>
    <row r="4" spans="1:9">
      <c r="A4" s="3445"/>
      <c r="B4" s="3446" t="s">
        <v>1054</v>
      </c>
      <c r="C4" s="3446"/>
      <c r="D4" s="1213"/>
      <c r="E4" s="1211"/>
      <c r="F4" s="1214"/>
      <c r="G4" s="1214"/>
      <c r="H4" s="1215"/>
      <c r="I4" s="1216">
        <f t="shared" ref="I4:I9" si="0">ROUND(D4*E4*F4*G4*H4/10000,0)</f>
        <v>0</v>
      </c>
    </row>
    <row r="5" spans="1:9">
      <c r="A5" s="3445"/>
      <c r="B5" s="3446" t="s">
        <v>1055</v>
      </c>
      <c r="C5" s="3446"/>
      <c r="D5" s="1213"/>
      <c r="E5" s="1211"/>
      <c r="F5" s="1214"/>
      <c r="G5" s="1214"/>
      <c r="H5" s="1215"/>
      <c r="I5" s="1216">
        <f t="shared" si="0"/>
        <v>0</v>
      </c>
    </row>
    <row r="6" spans="1:9">
      <c r="A6" s="3445"/>
      <c r="B6" s="3446" t="s">
        <v>1056</v>
      </c>
      <c r="C6" s="3446"/>
      <c r="D6" s="1213"/>
      <c r="E6" s="1211"/>
      <c r="F6" s="1214"/>
      <c r="G6" s="1214"/>
      <c r="H6" s="1215"/>
      <c r="I6" s="1216">
        <f t="shared" si="0"/>
        <v>0</v>
      </c>
    </row>
    <row r="7" spans="1:9">
      <c r="A7" s="3445"/>
      <c r="B7" s="3446" t="s">
        <v>1057</v>
      </c>
      <c r="C7" s="3446"/>
      <c r="D7" s="1213"/>
      <c r="E7" s="1211"/>
      <c r="F7" s="1214"/>
      <c r="G7" s="1214"/>
      <c r="H7" s="1215"/>
      <c r="I7" s="1216">
        <f t="shared" si="0"/>
        <v>0</v>
      </c>
    </row>
    <row r="8" spans="1:9">
      <c r="A8" s="3445"/>
      <c r="B8" s="3446" t="s">
        <v>1058</v>
      </c>
      <c r="C8" s="3446"/>
      <c r="D8" s="1213"/>
      <c r="E8" s="1211"/>
      <c r="F8" s="1214"/>
      <c r="G8" s="1214"/>
      <c r="H8" s="1215"/>
      <c r="I8" s="1216">
        <f t="shared" si="0"/>
        <v>0</v>
      </c>
    </row>
    <row r="9" spans="1:9">
      <c r="A9" s="3445"/>
      <c r="B9" s="3446" t="s">
        <v>1059</v>
      </c>
      <c r="C9" s="3446"/>
      <c r="D9" s="1213"/>
      <c r="E9" s="1211"/>
      <c r="F9" s="1214"/>
      <c r="G9" s="1214"/>
      <c r="H9" s="1215"/>
      <c r="I9" s="1216">
        <f t="shared" si="0"/>
        <v>0</v>
      </c>
    </row>
    <row r="10" spans="1:9">
      <c r="A10" s="3445"/>
      <c r="B10" s="3447" t="s">
        <v>1060</v>
      </c>
      <c r="C10" s="3447"/>
      <c r="D10" s="1217"/>
      <c r="E10" s="1217" t="e">
        <f>ROUND(D1*10000/D10/H9,0)</f>
        <v>#DIV/0!</v>
      </c>
      <c r="F10" s="1218"/>
      <c r="G10" s="1218"/>
      <c r="H10" s="1219"/>
      <c r="I10" s="1220">
        <f>SUM(I3:I9)</f>
        <v>0</v>
      </c>
    </row>
    <row r="11" spans="1:9" ht="14.25">
      <c r="A11" s="3445" t="s">
        <v>1061</v>
      </c>
      <c r="B11" s="3446" t="s">
        <v>1062</v>
      </c>
      <c r="C11" s="3446"/>
      <c r="D11" s="1213" t="s">
        <v>1063</v>
      </c>
      <c r="E11" s="1213" t="s">
        <v>1064</v>
      </c>
      <c r="F11" s="1214" t="s">
        <v>1065</v>
      </c>
      <c r="G11" s="1214" t="s">
        <v>1051</v>
      </c>
      <c r="H11" s="1221" t="s">
        <v>1066</v>
      </c>
      <c r="I11" s="1212" t="s">
        <v>1052</v>
      </c>
    </row>
    <row r="12" spans="1:9">
      <c r="A12" s="3445"/>
      <c r="B12" s="3446" t="s">
        <v>1067</v>
      </c>
      <c r="C12" s="3446"/>
      <c r="D12" s="1213"/>
      <c r="E12" s="1213"/>
      <c r="F12" s="1214"/>
      <c r="G12" s="1215"/>
      <c r="H12" s="1222"/>
      <c r="I12" s="1212">
        <f>ROUND(D12*E12*F12*G12/10000,0)</f>
        <v>0</v>
      </c>
    </row>
    <row r="13" spans="1:9">
      <c r="A13" s="3445"/>
      <c r="B13" s="3446" t="s">
        <v>1068</v>
      </c>
      <c r="C13" s="3446"/>
      <c r="D13" s="1213"/>
      <c r="E13" s="1213"/>
      <c r="F13" s="1214"/>
      <c r="G13" s="1215"/>
      <c r="H13" s="1222"/>
      <c r="I13" s="1212">
        <f>ROUND(D13*E13*F13*G13/10000,0)</f>
        <v>0</v>
      </c>
    </row>
    <row r="14" spans="1:9">
      <c r="A14" s="3445"/>
      <c r="B14" s="3446" t="s">
        <v>1069</v>
      </c>
      <c r="C14" s="3446"/>
      <c r="D14" s="1213"/>
      <c r="E14" s="1213"/>
      <c r="F14" s="1214"/>
      <c r="G14" s="1215"/>
      <c r="H14" s="1222"/>
      <c r="I14" s="1212">
        <f>ROUND(D14*E14*F14*G14/10000,0)</f>
        <v>0</v>
      </c>
    </row>
    <row r="15" spans="1:9">
      <c r="A15" s="3445"/>
      <c r="B15" s="3447" t="s">
        <v>1060</v>
      </c>
      <c r="C15" s="3447"/>
      <c r="D15" s="1217"/>
      <c r="E15" s="1217">
        <f>SUM(E12:E14)</f>
        <v>0</v>
      </c>
      <c r="F15" s="1218"/>
      <c r="G15" s="1215"/>
      <c r="H15" s="1222"/>
      <c r="I15" s="1223">
        <f>SUM(I12:I14)</f>
        <v>0</v>
      </c>
    </row>
    <row r="16" spans="1:9" ht="24">
      <c r="A16" s="3445" t="s">
        <v>1070</v>
      </c>
      <c r="B16" s="3446" t="s">
        <v>1071</v>
      </c>
      <c r="C16" s="3446"/>
      <c r="D16" s="1213" t="s">
        <v>1047</v>
      </c>
      <c r="E16" s="1224" t="s">
        <v>1072</v>
      </c>
      <c r="F16" s="1214" t="s">
        <v>1073</v>
      </c>
      <c r="G16" s="1215" t="s">
        <v>1051</v>
      </c>
      <c r="H16" s="1221" t="s">
        <v>1066</v>
      </c>
      <c r="I16" s="1212" t="s">
        <v>1052</v>
      </c>
    </row>
    <row r="17" spans="1:9" ht="14.25">
      <c r="A17" s="3445"/>
      <c r="B17" s="3446" t="s">
        <v>1074</v>
      </c>
      <c r="C17" s="3446"/>
      <c r="D17" s="1213"/>
      <c r="E17" s="1213"/>
      <c r="F17" s="1214"/>
      <c r="G17" s="1215"/>
      <c r="H17" s="1225"/>
      <c r="I17" s="1226">
        <f>ROUND(D17*E17*F17*G17/10000,0)</f>
        <v>0</v>
      </c>
    </row>
    <row r="18" spans="1:9" ht="14.25">
      <c r="A18" s="3445"/>
      <c r="B18" s="3446" t="s">
        <v>1075</v>
      </c>
      <c r="C18" s="3446"/>
      <c r="D18" s="1213"/>
      <c r="E18" s="1213"/>
      <c r="F18" s="1214"/>
      <c r="G18" s="1215"/>
      <c r="H18" s="1225"/>
      <c r="I18" s="1226">
        <f>ROUND(D18*E18*F18*G18/10000,0)</f>
        <v>0</v>
      </c>
    </row>
    <row r="19" spans="1:9" ht="14.25">
      <c r="A19" s="3445"/>
      <c r="B19" s="3446" t="s">
        <v>1076</v>
      </c>
      <c r="C19" s="3446"/>
      <c r="D19" s="1213"/>
      <c r="E19" s="1213"/>
      <c r="F19" s="1214"/>
      <c r="G19" s="1215"/>
      <c r="H19" s="1225"/>
      <c r="I19" s="1226">
        <f>ROUND(D19*E19*F19*G19/10000,0)</f>
        <v>0</v>
      </c>
    </row>
    <row r="20" spans="1:9">
      <c r="A20" s="3445"/>
      <c r="B20" s="3447" t="s">
        <v>1060</v>
      </c>
      <c r="C20" s="3447"/>
      <c r="D20" s="1217">
        <f>SUM(D17:D19)</f>
        <v>0</v>
      </c>
      <c r="E20" s="1217"/>
      <c r="F20" s="1218"/>
      <c r="G20" s="1215"/>
      <c r="H20" s="1222"/>
      <c r="I20" s="1223">
        <f>SUM(I17:I19)</f>
        <v>0</v>
      </c>
    </row>
    <row r="21" spans="1:9">
      <c r="A21" s="3445" t="s">
        <v>1077</v>
      </c>
      <c r="B21" s="3449"/>
      <c r="C21" s="3449"/>
      <c r="D21" s="3449"/>
      <c r="E21" s="3449"/>
      <c r="F21" s="3449"/>
      <c r="G21" s="3449"/>
      <c r="H21" s="1501">
        <v>0.1</v>
      </c>
      <c r="I21" s="1220">
        <f>ROUND(I10*H21,0)</f>
        <v>0</v>
      </c>
    </row>
    <row r="22" spans="1:9" ht="14.25">
      <c r="A22" s="3450" t="s">
        <v>1078</v>
      </c>
      <c r="B22" s="3451"/>
      <c r="C22" s="3452"/>
      <c r="D22" s="1227" t="s">
        <v>1079</v>
      </c>
      <c r="E22" s="1227" t="s">
        <v>1080</v>
      </c>
      <c r="F22" s="1228" t="s">
        <v>1081</v>
      </c>
      <c r="G22" s="1228" t="s">
        <v>1082</v>
      </c>
      <c r="H22" s="1221" t="s">
        <v>1083</v>
      </c>
      <c r="I22" s="1212" t="s">
        <v>1084</v>
      </c>
    </row>
    <row r="23" spans="1:9" ht="14.25" thickBot="1">
      <c r="A23" s="3453"/>
      <c r="B23" s="3454"/>
      <c r="C23" s="3455"/>
      <c r="D23" s="1229"/>
      <c r="E23" s="1229"/>
      <c r="F23" s="1229"/>
      <c r="G23" s="1230"/>
      <c r="H23" s="1231"/>
      <c r="I23" s="1232">
        <f>ROUND(E23*D23*F23*(1-G23)/10000,0)</f>
        <v>0</v>
      </c>
    </row>
    <row r="26" spans="1:9">
      <c r="A26" s="1233" t="s">
        <v>1085</v>
      </c>
      <c r="B26" s="1233"/>
      <c r="C26" s="1233"/>
      <c r="D26" s="1233"/>
      <c r="E26" s="3456">
        <f>C27-C30-C31-C32</f>
        <v>0</v>
      </c>
      <c r="F26" s="3456"/>
      <c r="G26" s="3456"/>
      <c r="H26" s="1498" t="s">
        <v>1306</v>
      </c>
    </row>
    <row r="27" spans="1:9">
      <c r="A27" s="1234">
        <v>1</v>
      </c>
      <c r="B27" s="1235" t="s">
        <v>1086</v>
      </c>
      <c r="C27" s="1235">
        <f>C28+C29</f>
        <v>0</v>
      </c>
      <c r="D27" s="1235"/>
      <c r="E27" s="3457"/>
      <c r="F27" s="3457"/>
      <c r="G27" s="3457"/>
    </row>
    <row r="28" spans="1:9">
      <c r="A28" s="1236" t="s">
        <v>1087</v>
      </c>
      <c r="B28" s="1235" t="s">
        <v>1088</v>
      </c>
      <c r="C28" s="1235"/>
      <c r="D28" s="1235"/>
      <c r="E28" s="3457"/>
      <c r="F28" s="3457"/>
      <c r="G28" s="345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48"/>
      <c r="F32" s="3448"/>
      <c r="G32" s="3448"/>
    </row>
    <row r="33" spans="1:7" hidden="1">
      <c r="A33" s="3458" t="s">
        <v>1097</v>
      </c>
      <c r="B33" s="3459"/>
      <c r="C33" s="3459"/>
      <c r="D33" s="3460"/>
      <c r="E33" s="3456"/>
      <c r="F33" s="3456"/>
      <c r="G33" s="3456"/>
    </row>
    <row r="34" spans="1:7" hidden="1">
      <c r="A34" s="1238">
        <v>1</v>
      </c>
      <c r="B34" s="1235" t="s">
        <v>1098</v>
      </c>
      <c r="C34" s="1235"/>
      <c r="D34" s="1235"/>
      <c r="E34" s="3457"/>
      <c r="F34" s="3457"/>
      <c r="G34" s="3457"/>
    </row>
    <row r="35" spans="1:7" hidden="1">
      <c r="A35" s="1238">
        <v>2</v>
      </c>
      <c r="B35" s="1235" t="s">
        <v>1099</v>
      </c>
      <c r="C35" s="1235"/>
      <c r="D35" s="1235"/>
      <c r="E35" s="3457"/>
      <c r="F35" s="3457"/>
      <c r="G35" s="3457"/>
    </row>
    <row r="36" spans="1:7" hidden="1">
      <c r="A36" s="1238">
        <v>3</v>
      </c>
      <c r="B36" s="1235" t="s">
        <v>1100</v>
      </c>
      <c r="C36" s="1235"/>
      <c r="D36" s="1235"/>
      <c r="E36" s="3457"/>
      <c r="F36" s="3457"/>
      <c r="G36" s="3457"/>
    </row>
    <row r="37" spans="1:7" hidden="1">
      <c r="A37" s="1238">
        <v>4</v>
      </c>
      <c r="B37" s="1235" t="s">
        <v>1101</v>
      </c>
      <c r="C37" s="1235"/>
      <c r="D37" s="1235"/>
      <c r="E37" s="3457"/>
      <c r="F37" s="3457"/>
      <c r="G37" s="3457"/>
    </row>
    <row r="38" spans="1:7" hidden="1">
      <c r="A38" s="3458" t="s">
        <v>1102</v>
      </c>
      <c r="B38" s="3459"/>
      <c r="C38" s="3459"/>
      <c r="D38" s="3460"/>
      <c r="E38" s="3456"/>
      <c r="F38" s="3456"/>
      <c r="G38" s="34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2310</v>
      </c>
      <c r="C1" s="1405" t="s">
        <v>2311</v>
      </c>
      <c r="D1" s="1392"/>
      <c r="E1" s="2540"/>
      <c r="F1" s="2061" t="s">
        <v>2312</v>
      </c>
      <c r="G1" s="1402" t="s">
        <v>2313</v>
      </c>
      <c r="H1" s="1401"/>
      <c r="I1" s="1401"/>
      <c r="J1" s="1401"/>
      <c r="K1" s="1403"/>
      <c r="L1" s="1404"/>
      <c r="M1" s="1405"/>
      <c r="N1" s="1405"/>
      <c r="O1" s="1405"/>
      <c r="P1" s="2062"/>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3"/>
      <c r="D2" s="1275" t="e">
        <f ca="1">SUMIF(INDIRECT("'"&amp;F2&amp;"'"&amp;"!A:A"),"承租人权益价值",INDIRECT("'"&amp;F2&amp;"'"&amp;"!c:c"))</f>
        <v>#REF!</v>
      </c>
      <c r="E2" s="2064" t="s">
        <v>2314</v>
      </c>
      <c r="F2" s="2065"/>
      <c r="G2" s="1038"/>
      <c r="H2" s="1038"/>
      <c r="I2" s="1038"/>
      <c r="J2" s="1038"/>
      <c r="K2" s="2066"/>
      <c r="L2" s="2933"/>
      <c r="M2" s="2934"/>
      <c r="N2" s="2934"/>
      <c r="O2" s="2934"/>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2315</v>
      </c>
      <c r="D3" s="359">
        <f>IF(D1="",'数据-汇总表'!E3,SUMIF('数据-汇总表'!$C19:$C33,D1,'数据-汇总表'!$E19:$E33))</f>
        <v>130002.77000000002</v>
      </c>
      <c r="E3" s="1038"/>
      <c r="F3" s="2070"/>
      <c r="G3" s="1038"/>
      <c r="H3" s="1038"/>
      <c r="I3" s="1038"/>
      <c r="J3" s="1038"/>
      <c r="K3" s="2066"/>
      <c r="L3" s="2933"/>
      <c r="M3" s="2934"/>
      <c r="N3" s="2934"/>
      <c r="O3" s="2934"/>
      <c r="P3" s="2067"/>
      <c r="Q3" s="2068"/>
      <c r="R3" s="2068"/>
      <c r="S3" s="2068"/>
      <c r="T3" s="2068"/>
      <c r="U3" s="2068"/>
      <c r="V3" s="2068"/>
      <c r="W3" s="2068"/>
      <c r="X3" s="2068"/>
      <c r="Y3" s="2068"/>
      <c r="Z3" s="2068"/>
      <c r="AA3" s="2068"/>
      <c r="AB3" s="2068"/>
      <c r="AC3" s="1192"/>
    </row>
    <row r="4" spans="1:29" ht="15">
      <c r="A4" s="361" t="s">
        <v>2316</v>
      </c>
      <c r="B4" s="362"/>
      <c r="C4" s="3402" t="s">
        <v>2317</v>
      </c>
      <c r="D4" s="3403"/>
      <c r="E4" s="3404" t="s">
        <v>2318</v>
      </c>
      <c r="F4" s="3405"/>
      <c r="G4" s="3402" t="s">
        <v>2319</v>
      </c>
      <c r="H4" s="3403"/>
      <c r="I4" s="3402" t="s">
        <v>2320</v>
      </c>
      <c r="J4" s="3403"/>
      <c r="K4" s="2071" t="s">
        <v>2321</v>
      </c>
      <c r="L4" s="2935"/>
      <c r="M4" s="2936"/>
      <c r="N4" s="2936"/>
      <c r="O4" s="2936"/>
      <c r="P4" s="3406" t="s">
        <v>2322</v>
      </c>
      <c r="Q4" s="3407"/>
      <c r="R4" s="3389" t="s">
        <v>2318</v>
      </c>
      <c r="S4" s="3390"/>
      <c r="T4" s="3389" t="s">
        <v>2319</v>
      </c>
      <c r="U4" s="3390"/>
      <c r="V4" s="3414" t="s">
        <v>2320</v>
      </c>
      <c r="W4" s="3414"/>
      <c r="X4" s="1538"/>
      <c r="Y4" s="3389" t="s">
        <v>2322</v>
      </c>
      <c r="Z4" s="3390"/>
      <c r="AA4" s="3384" t="s">
        <v>2318</v>
      </c>
      <c r="AB4" s="3384" t="s">
        <v>2319</v>
      </c>
      <c r="AC4" s="3384" t="s">
        <v>2320</v>
      </c>
    </row>
    <row r="5" spans="1:29" ht="15">
      <c r="A5" s="364"/>
      <c r="B5" s="365"/>
      <c r="C5" s="3395" t="s">
        <v>2323</v>
      </c>
      <c r="D5" s="3396"/>
      <c r="E5" s="3393" t="s">
        <v>2324</v>
      </c>
      <c r="F5" s="3394"/>
      <c r="G5" s="3395" t="s">
        <v>2325</v>
      </c>
      <c r="H5" s="3396"/>
      <c r="I5" s="3395" t="s">
        <v>2326</v>
      </c>
      <c r="J5" s="3396"/>
      <c r="K5" s="2072"/>
      <c r="L5" s="2935"/>
      <c r="M5" s="2936"/>
      <c r="N5" s="2936"/>
      <c r="O5" s="2936"/>
      <c r="P5" s="3408"/>
      <c r="Q5" s="3409"/>
      <c r="R5" s="3391"/>
      <c r="S5" s="3392"/>
      <c r="T5" s="3391"/>
      <c r="U5" s="3392"/>
      <c r="V5" s="3414"/>
      <c r="W5" s="3414"/>
      <c r="X5" s="1538"/>
      <c r="Y5" s="3391"/>
      <c r="Z5" s="3392"/>
      <c r="AA5" s="3385"/>
      <c r="AB5" s="3385"/>
      <c r="AC5" s="3385"/>
    </row>
    <row r="6" spans="1:29" ht="15.75" thickBot="1">
      <c r="A6" s="366"/>
      <c r="B6" s="367"/>
      <c r="C6" s="3397" t="s">
        <v>2327</v>
      </c>
      <c r="D6" s="3398"/>
      <c r="E6" s="3399" t="s">
        <v>2327</v>
      </c>
      <c r="F6" s="3400"/>
      <c r="G6" s="3397" t="s">
        <v>2327</v>
      </c>
      <c r="H6" s="3398"/>
      <c r="I6" s="3397" t="s">
        <v>2327</v>
      </c>
      <c r="J6" s="3398"/>
      <c r="K6" s="2072" t="s">
        <v>2328</v>
      </c>
      <c r="L6" s="2935"/>
      <c r="M6" s="2936"/>
      <c r="N6" s="2936"/>
      <c r="O6" s="2936"/>
      <c r="P6" s="3410"/>
      <c r="Q6" s="3411"/>
      <c r="R6" s="3391"/>
      <c r="S6" s="3392"/>
      <c r="T6" s="3412"/>
      <c r="U6" s="3413"/>
      <c r="V6" s="3414"/>
      <c r="W6" s="3414"/>
      <c r="X6" s="1538"/>
      <c r="Y6" s="3412"/>
      <c r="Z6" s="3413"/>
      <c r="AA6" s="3386"/>
      <c r="AB6" s="3386"/>
      <c r="AC6" s="3386"/>
    </row>
    <row r="7" spans="1:29" s="113" customFormat="1" ht="15.75" thickBot="1">
      <c r="A7" s="368" t="s">
        <v>2329</v>
      </c>
      <c r="B7" s="369"/>
      <c r="C7" s="370">
        <f>'数据-取费表'!B2</f>
        <v>44314</v>
      </c>
      <c r="D7" s="371">
        <v>100</v>
      </c>
      <c r="E7" s="372"/>
      <c r="F7" s="373">
        <f>SUMIF(58:58,YEAR(E7)&amp;"-"&amp;MONTH(E7),59:59)</f>
        <v>0</v>
      </c>
      <c r="G7" s="372"/>
      <c r="H7" s="371">
        <f>SUMIF(58:58,YEAR(G7)&amp;"-"&amp;MONTH(G7),59:59)</f>
        <v>0</v>
      </c>
      <c r="I7" s="372"/>
      <c r="J7" s="371">
        <f>SUMIF(58:58,YEAR(I7)&amp;"-"&amp;MONTH(I7),59:59)</f>
        <v>0</v>
      </c>
      <c r="K7" s="2073"/>
      <c r="L7" s="2937"/>
      <c r="M7" s="2938"/>
      <c r="N7" s="2938"/>
      <c r="O7" s="2938"/>
      <c r="P7" s="3387" t="s">
        <v>2330</v>
      </c>
      <c r="Q7" s="3415"/>
      <c r="R7" s="710" t="s">
        <v>23</v>
      </c>
      <c r="S7" s="711">
        <f t="shared" ref="S7:S15" si="0">F7</f>
        <v>0</v>
      </c>
      <c r="T7" s="710" t="s">
        <v>23</v>
      </c>
      <c r="U7" s="711">
        <f t="shared" ref="U7:U15" si="1">H7</f>
        <v>0</v>
      </c>
      <c r="V7" s="710" t="s">
        <v>23</v>
      </c>
      <c r="W7" s="711">
        <f t="shared" ref="W7:W15" si="2">J7</f>
        <v>0</v>
      </c>
      <c r="X7" s="712"/>
      <c r="Y7" s="3387" t="s">
        <v>2330</v>
      </c>
      <c r="Z7" s="3388"/>
      <c r="AA7" s="713" t="e">
        <f>D7/F7</f>
        <v>#DIV/0!</v>
      </c>
      <c r="AB7" s="713" t="e">
        <f>D7/H7</f>
        <v>#DIV/0!</v>
      </c>
      <c r="AC7" s="713" t="e">
        <f>D7/J7</f>
        <v>#DIV/0!</v>
      </c>
    </row>
    <row r="8" spans="1:29" s="113" customFormat="1" ht="15.75" thickBot="1">
      <c r="A8" s="368" t="s">
        <v>2331</v>
      </c>
      <c r="B8" s="369"/>
      <c r="C8" s="374" t="s">
        <v>2332</v>
      </c>
      <c r="D8" s="371">
        <v>100</v>
      </c>
      <c r="E8" s="2074"/>
      <c r="F8" s="373">
        <f>SUMIF(61:61,E8,62:62)-SUMIF(61:61,C8,62:62)+100</f>
        <v>0</v>
      </c>
      <c r="G8" s="374"/>
      <c r="H8" s="371">
        <f>SUMIF(61:61,G8,62:62)-SUMIF(61:61,C8,62:62)+100</f>
        <v>0</v>
      </c>
      <c r="I8" s="2074"/>
      <c r="J8" s="371">
        <f>SUMIF(61:61,I8,62:62)-SUMIF(61:61,C8,62:62)+100</f>
        <v>0</v>
      </c>
      <c r="K8" s="2073"/>
      <c r="L8" s="2937"/>
      <c r="M8" s="2938"/>
      <c r="N8" s="2938"/>
      <c r="O8" s="2938"/>
      <c r="P8" s="3387" t="s">
        <v>2333</v>
      </c>
      <c r="Q8" s="3388"/>
      <c r="R8" s="710" t="s">
        <v>23</v>
      </c>
      <c r="S8" s="711">
        <f t="shared" si="0"/>
        <v>0</v>
      </c>
      <c r="T8" s="710" t="s">
        <v>23</v>
      </c>
      <c r="U8" s="711">
        <f t="shared" si="1"/>
        <v>0</v>
      </c>
      <c r="V8" s="710" t="s">
        <v>23</v>
      </c>
      <c r="W8" s="711">
        <f t="shared" si="2"/>
        <v>0</v>
      </c>
      <c r="X8" s="712"/>
      <c r="Y8" s="3387" t="s">
        <v>2333</v>
      </c>
      <c r="Z8" s="3388"/>
      <c r="AA8" s="713" t="e">
        <f t="shared" ref="AA8:AA19" si="3">D8/F8</f>
        <v>#DIV/0!</v>
      </c>
      <c r="AB8" s="713" t="e">
        <f t="shared" ref="AB8:AB19" si="4">D8/H8</f>
        <v>#DIV/0!</v>
      </c>
      <c r="AC8" s="713" t="e">
        <f t="shared" ref="AC8:AC19" si="5">D8/J8</f>
        <v>#DIV/0!</v>
      </c>
    </row>
    <row r="9" spans="1:29" s="113" customFormat="1">
      <c r="A9" s="375" t="s">
        <v>2334</v>
      </c>
      <c r="B9" s="67" t="s">
        <v>2335</v>
      </c>
      <c r="C9" s="376"/>
      <c r="D9" s="131">
        <v>100</v>
      </c>
      <c r="E9" s="377"/>
      <c r="F9" s="378">
        <f>SUMIF(63:63,E9,64:64)-SUMIF(63:63,C9,64:64)+100</f>
        <v>100</v>
      </c>
      <c r="G9" s="379"/>
      <c r="H9" s="131">
        <f>SUMIF(63:63,G9,64:64)-SUMIF(63:63,C9,64:64)+100</f>
        <v>100</v>
      </c>
      <c r="I9" s="379"/>
      <c r="J9" s="131">
        <f>SUMIF(63:63,I9,64:64)-SUMIF(63:63,C9,64:64)+100</f>
        <v>100</v>
      </c>
      <c r="K9" s="2073"/>
      <c r="L9" s="2937"/>
      <c r="M9" s="2938"/>
      <c r="N9" s="2938"/>
      <c r="O9" s="2938"/>
      <c r="P9" s="3425"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25"/>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25"/>
      <c r="Q11" s="1526" t="str">
        <f t="shared" si="6"/>
        <v>容积率</v>
      </c>
      <c r="R11" s="710" t="s">
        <v>21</v>
      </c>
      <c r="S11" s="711" t="e">
        <f t="shared" si="0"/>
        <v>#N/A</v>
      </c>
      <c r="T11" s="710" t="s">
        <v>21</v>
      </c>
      <c r="U11" s="711" t="e">
        <f t="shared" si="1"/>
        <v>#N/A</v>
      </c>
      <c r="V11" s="710" t="s">
        <v>21</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37"/>
      <c r="M12" s="2938"/>
      <c r="N12" s="2938"/>
      <c r="O12" s="2938"/>
      <c r="P12" s="3425"/>
      <c r="Q12" s="1526">
        <f t="shared" si="6"/>
        <v>111</v>
      </c>
      <c r="R12" s="710" t="s">
        <v>21</v>
      </c>
      <c r="S12" s="711">
        <f t="shared" si="0"/>
        <v>100</v>
      </c>
      <c r="T12" s="710" t="s">
        <v>21</v>
      </c>
      <c r="U12" s="711">
        <f t="shared" si="1"/>
        <v>100</v>
      </c>
      <c r="V12" s="710" t="s">
        <v>21</v>
      </c>
      <c r="W12" s="711">
        <f t="shared" si="2"/>
        <v>100</v>
      </c>
      <c r="X12" s="712"/>
      <c r="Y12" s="3348"/>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2"/>
      <c r="M13" s="2936"/>
      <c r="N13" s="2936"/>
      <c r="O13" s="2936"/>
      <c r="P13" s="3425"/>
      <c r="Q13" s="1526">
        <f t="shared" si="6"/>
        <v>111</v>
      </c>
      <c r="R13" s="710" t="s">
        <v>21</v>
      </c>
      <c r="S13" s="711">
        <f t="shared" si="0"/>
        <v>100</v>
      </c>
      <c r="T13" s="710" t="s">
        <v>21</v>
      </c>
      <c r="U13" s="711">
        <f t="shared" si="1"/>
        <v>100</v>
      </c>
      <c r="V13" s="710" t="s">
        <v>21</v>
      </c>
      <c r="W13" s="711">
        <f t="shared" si="2"/>
        <v>100</v>
      </c>
      <c r="X13" s="712"/>
      <c r="Y13" s="3348"/>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2"/>
      <c r="M14" s="2936"/>
      <c r="N14" s="2936"/>
      <c r="O14" s="2936"/>
      <c r="P14" s="3425"/>
      <c r="Q14" s="1526">
        <f t="shared" si="6"/>
        <v>111</v>
      </c>
      <c r="R14" s="710" t="s">
        <v>21</v>
      </c>
      <c r="S14" s="711">
        <f t="shared" si="0"/>
        <v>100</v>
      </c>
      <c r="T14" s="710" t="s">
        <v>21</v>
      </c>
      <c r="U14" s="711">
        <f t="shared" si="1"/>
        <v>100</v>
      </c>
      <c r="V14" s="710" t="s">
        <v>21</v>
      </c>
      <c r="W14" s="711">
        <f t="shared" si="2"/>
        <v>100</v>
      </c>
      <c r="X14" s="712"/>
      <c r="Y14" s="3348"/>
      <c r="Z14" s="55">
        <f t="shared" si="7"/>
        <v>111</v>
      </c>
      <c r="AA14" s="713">
        <f t="shared" si="3"/>
        <v>1</v>
      </c>
      <c r="AB14" s="713">
        <f t="shared" si="4"/>
        <v>1</v>
      </c>
      <c r="AC14" s="713">
        <f t="shared" si="5"/>
        <v>1</v>
      </c>
    </row>
    <row r="15" spans="1:29" ht="142.5">
      <c r="A15" s="399" t="s">
        <v>2340</v>
      </c>
      <c r="B15" s="65" t="s">
        <v>1942</v>
      </c>
      <c r="C15" s="2078" t="str">
        <f>估价对象房地状况!C3</f>
        <v>估价对象周边居住用地比例较高、居住小区规模和社区发展完善程度，德茂小区、润枫锦尚、有德家苑等住宅项目，综合评价居住社区成熟度较好</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67" t="s">
        <v>2341</v>
      </c>
      <c r="Q15" s="1535" t="str">
        <f t="shared" si="6"/>
        <v>居住社区成熟度</v>
      </c>
      <c r="R15" s="714" t="s">
        <v>21</v>
      </c>
      <c r="S15" s="715">
        <f t="shared" si="0"/>
        <v>100</v>
      </c>
      <c r="T15" s="714" t="s">
        <v>21</v>
      </c>
      <c r="U15" s="715">
        <f t="shared" si="1"/>
        <v>100</v>
      </c>
      <c r="V15" s="714" t="s">
        <v>21</v>
      </c>
      <c r="W15" s="715">
        <f t="shared" si="2"/>
        <v>100</v>
      </c>
      <c r="X15" s="1538"/>
      <c r="Y15" s="3416" t="s">
        <v>2341</v>
      </c>
      <c r="Z15" s="1539" t="str">
        <f t="shared" si="7"/>
        <v>居住社区成熟度</v>
      </c>
      <c r="AA15" s="1536">
        <f t="shared" si="3"/>
        <v>1</v>
      </c>
      <c r="AB15" s="1536">
        <f t="shared" si="4"/>
        <v>1</v>
      </c>
      <c r="AC15" s="1536">
        <f t="shared" si="5"/>
        <v>1</v>
      </c>
    </row>
    <row r="16" spans="1:29" ht="15">
      <c r="A16" s="387"/>
      <c r="B16" s="405"/>
      <c r="C16" s="406"/>
      <c r="D16" s="407"/>
      <c r="E16" s="2079"/>
      <c r="F16" s="407"/>
      <c r="G16" s="2080"/>
      <c r="H16" s="409"/>
      <c r="I16" s="2080"/>
      <c r="J16" s="407"/>
      <c r="K16" s="2081"/>
      <c r="L16" s="2942"/>
      <c r="M16" s="2936"/>
      <c r="N16" s="2936"/>
      <c r="O16" s="2936"/>
      <c r="P16" s="3468"/>
      <c r="Q16" s="1535"/>
      <c r="R16" s="714"/>
      <c r="S16" s="715"/>
      <c r="T16" s="714"/>
      <c r="U16" s="715"/>
      <c r="V16" s="714"/>
      <c r="W16" s="715"/>
      <c r="X16" s="1538"/>
      <c r="Y16" s="3417"/>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68"/>
      <c r="Q17" s="1535" t="str">
        <f>B17</f>
        <v>交通便捷度</v>
      </c>
      <c r="R17" s="714" t="s">
        <v>21</v>
      </c>
      <c r="S17" s="715">
        <f>F17</f>
        <v>100</v>
      </c>
      <c r="T17" s="714" t="s">
        <v>21</v>
      </c>
      <c r="U17" s="715">
        <f>H17</f>
        <v>100</v>
      </c>
      <c r="V17" s="714" t="s">
        <v>21</v>
      </c>
      <c r="W17" s="715">
        <f>J17</f>
        <v>100</v>
      </c>
      <c r="X17" s="1538"/>
      <c r="Y17" s="3417"/>
      <c r="Z17" s="1539" t="str">
        <f>Q17</f>
        <v>交通便捷度</v>
      </c>
      <c r="AA17" s="1536">
        <f t="shared" si="3"/>
        <v>1</v>
      </c>
      <c r="AB17" s="1536">
        <f t="shared" si="4"/>
        <v>1</v>
      </c>
      <c r="AC17" s="1536">
        <f t="shared" si="5"/>
        <v>1</v>
      </c>
    </row>
    <row r="18" spans="1:29" ht="15">
      <c r="A18" s="387"/>
      <c r="B18" s="415"/>
      <c r="C18" s="2083"/>
      <c r="D18" s="409"/>
      <c r="E18" s="2084"/>
      <c r="F18" s="409"/>
      <c r="G18" s="2085"/>
      <c r="H18" s="407"/>
      <c r="I18" s="2085"/>
      <c r="J18" s="407"/>
      <c r="K18" s="2081"/>
      <c r="L18" s="2942"/>
      <c r="M18" s="2936"/>
      <c r="N18" s="2936"/>
      <c r="O18" s="2936"/>
      <c r="P18" s="3468"/>
      <c r="Q18" s="1535"/>
      <c r="R18" s="714"/>
      <c r="S18" s="715"/>
      <c r="T18" s="714"/>
      <c r="U18" s="715"/>
      <c r="V18" s="714"/>
      <c r="W18" s="715"/>
      <c r="X18" s="1538"/>
      <c r="Y18" s="3417"/>
      <c r="Z18" s="1539"/>
      <c r="AA18" s="1536">
        <v>1</v>
      </c>
      <c r="AB18" s="1536">
        <v>1</v>
      </c>
      <c r="AC18" s="1536">
        <v>1</v>
      </c>
    </row>
    <row r="19" spans="1:29" ht="42.75">
      <c r="A19" s="387"/>
      <c r="B19" s="410" t="s">
        <v>1943</v>
      </c>
      <c r="C19" s="2082"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68"/>
      <c r="Q19" s="1535" t="str">
        <f>B19</f>
        <v>公共配套设施</v>
      </c>
      <c r="R19" s="714" t="s">
        <v>21</v>
      </c>
      <c r="S19" s="715">
        <f>F19</f>
        <v>100</v>
      </c>
      <c r="T19" s="714" t="s">
        <v>21</v>
      </c>
      <c r="U19" s="715">
        <f>H19</f>
        <v>100</v>
      </c>
      <c r="V19" s="714" t="s">
        <v>21</v>
      </c>
      <c r="W19" s="715">
        <f>J19</f>
        <v>100</v>
      </c>
      <c r="X19" s="1538"/>
      <c r="Y19" s="3417"/>
      <c r="Z19" s="1539" t="str">
        <f>Q19</f>
        <v>公共配套设施</v>
      </c>
      <c r="AA19" s="1536">
        <f t="shared" si="3"/>
        <v>1</v>
      </c>
      <c r="AB19" s="1536">
        <f t="shared" si="4"/>
        <v>1</v>
      </c>
      <c r="AC19" s="1536">
        <f t="shared" si="5"/>
        <v>1</v>
      </c>
    </row>
    <row r="20" spans="1:29" ht="15">
      <c r="A20" s="387"/>
      <c r="B20" s="415"/>
      <c r="C20" s="406"/>
      <c r="D20" s="407"/>
      <c r="E20" s="2079"/>
      <c r="F20" s="407"/>
      <c r="G20" s="2080"/>
      <c r="H20" s="407"/>
      <c r="I20" s="2080"/>
      <c r="J20" s="407"/>
      <c r="K20" s="2081"/>
      <c r="L20" s="2942"/>
      <c r="M20" s="2936"/>
      <c r="N20" s="2936"/>
      <c r="O20" s="2936"/>
      <c r="P20" s="3468"/>
      <c r="Q20" s="1535"/>
      <c r="R20" s="714"/>
      <c r="S20" s="715"/>
      <c r="T20" s="714"/>
      <c r="U20" s="715"/>
      <c r="V20" s="714"/>
      <c r="W20" s="715"/>
      <c r="X20" s="1538"/>
      <c r="Y20" s="3417"/>
      <c r="Z20" s="1539"/>
      <c r="AA20" s="1536">
        <v>1</v>
      </c>
      <c r="AB20" s="1536">
        <v>1</v>
      </c>
      <c r="AC20" s="1536">
        <v>1</v>
      </c>
    </row>
    <row r="21" spans="1:29" ht="42.75">
      <c r="A21" s="387"/>
      <c r="B21" s="1293" t="s">
        <v>1945</v>
      </c>
      <c r="C21" s="2082" t="str">
        <f>估价对象房地状况!C8</f>
        <v>估价对象所在区域基础设施水平较高</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68"/>
      <c r="Q21" s="1535" t="str">
        <f>B21</f>
        <v>基础设施水平</v>
      </c>
      <c r="R21" s="714" t="s">
        <v>17</v>
      </c>
      <c r="S21" s="715">
        <f>F21</f>
        <v>100</v>
      </c>
      <c r="T21" s="714" t="s">
        <v>17</v>
      </c>
      <c r="U21" s="715">
        <f>H21</f>
        <v>100</v>
      </c>
      <c r="V21" s="714" t="s">
        <v>17</v>
      </c>
      <c r="W21" s="715">
        <f>J21</f>
        <v>100</v>
      </c>
      <c r="X21" s="1538"/>
      <c r="Y21" s="3417"/>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7"/>
      <c r="G22" s="2086"/>
      <c r="H22" s="407"/>
      <c r="I22" s="406"/>
      <c r="J22" s="407"/>
      <c r="K22" s="2087"/>
      <c r="L22" s="2942"/>
      <c r="M22" s="2936"/>
      <c r="N22" s="2936"/>
      <c r="O22" s="2936"/>
      <c r="P22" s="3468"/>
      <c r="Q22" s="1535"/>
      <c r="R22" s="714"/>
      <c r="S22" s="715"/>
      <c r="T22" s="714"/>
      <c r="U22" s="715"/>
      <c r="V22" s="714"/>
      <c r="W22" s="715"/>
      <c r="X22" s="1538"/>
      <c r="Y22" s="3417"/>
      <c r="Z22" s="1539"/>
      <c r="AA22" s="1536">
        <v>1</v>
      </c>
      <c r="AB22" s="1536">
        <v>1</v>
      </c>
      <c r="AC22" s="1536">
        <v>1</v>
      </c>
    </row>
    <row r="23" spans="1:29" ht="85.5">
      <c r="A23" s="387"/>
      <c r="B23" s="410" t="s">
        <v>1946</v>
      </c>
      <c r="C23" s="2082" t="str">
        <f>估价对象房地状况!C9</f>
        <v>区域自然环境：南海子公园、旧宫公园、市民公园；人文环境；综合评价环境状况一般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68"/>
      <c r="Q23" s="1535" t="str">
        <f>B23</f>
        <v>自然及人文环境</v>
      </c>
      <c r="R23" s="714" t="s">
        <v>21</v>
      </c>
      <c r="S23" s="715">
        <f>F23</f>
        <v>100</v>
      </c>
      <c r="T23" s="714" t="s">
        <v>21</v>
      </c>
      <c r="U23" s="715">
        <f>H23</f>
        <v>100</v>
      </c>
      <c r="V23" s="714" t="s">
        <v>21</v>
      </c>
      <c r="W23" s="715">
        <f>J23</f>
        <v>100</v>
      </c>
      <c r="X23" s="1538"/>
      <c r="Y23" s="3417"/>
      <c r="Z23" s="1539" t="str">
        <f>Q23</f>
        <v>自然及人文环境</v>
      </c>
      <c r="AA23" s="1536">
        <f>D23/F23</f>
        <v>1</v>
      </c>
      <c r="AB23" s="1536">
        <f>D23/H23</f>
        <v>1</v>
      </c>
      <c r="AC23" s="1536">
        <f>D23/J23</f>
        <v>1</v>
      </c>
    </row>
    <row r="24" spans="1:29" ht="15">
      <c r="A24" s="387"/>
      <c r="B24" s="415"/>
      <c r="C24" s="406"/>
      <c r="D24" s="407"/>
      <c r="E24" s="2079"/>
      <c r="F24" s="407"/>
      <c r="G24" s="2080"/>
      <c r="H24" s="407"/>
      <c r="I24" s="2080"/>
      <c r="J24" s="407"/>
      <c r="K24" s="2081"/>
      <c r="L24" s="2942"/>
      <c r="M24" s="2936"/>
      <c r="N24" s="2936"/>
      <c r="O24" s="2936"/>
      <c r="P24" s="3468"/>
      <c r="Q24" s="1535"/>
      <c r="R24" s="714"/>
      <c r="S24" s="715"/>
      <c r="T24" s="714"/>
      <c r="U24" s="715"/>
      <c r="V24" s="714"/>
      <c r="W24" s="715"/>
      <c r="X24" s="1538"/>
      <c r="Y24" s="3417"/>
      <c r="Z24" s="1539"/>
      <c r="AA24" s="1536">
        <v>1</v>
      </c>
      <c r="AB24" s="1536">
        <v>1</v>
      </c>
      <c r="AC24" s="1536">
        <v>1</v>
      </c>
    </row>
    <row r="25" spans="1:29" ht="15">
      <c r="A25" s="387"/>
      <c r="B25" s="381" t="s">
        <v>2342</v>
      </c>
      <c r="C25" s="419"/>
      <c r="D25" s="394">
        <v>100</v>
      </c>
      <c r="E25" s="2088"/>
      <c r="F25" s="394">
        <f>SUMIF(86:86,E25,87:87)-SUMIF(86:86,C25,87:87)+100</f>
        <v>100</v>
      </c>
      <c r="G25" s="2089"/>
      <c r="H25" s="394">
        <f>SUMIF(86:86,G25,87:87)-SUMIF(86:86,C25,87:87)+100</f>
        <v>100</v>
      </c>
      <c r="I25" s="2089"/>
      <c r="J25" s="394">
        <f>SUMIF(86:86,I25,87:87)-SUMIF(86:86,C25,87:87)+100</f>
        <v>100</v>
      </c>
      <c r="K25" s="385"/>
      <c r="L25" s="2942"/>
      <c r="M25" s="2936"/>
      <c r="N25" s="2936"/>
      <c r="O25" s="2936"/>
      <c r="P25" s="346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417"/>
      <c r="Z25" s="1539" t="str">
        <f>Q25</f>
        <v>楼层-1</v>
      </c>
      <c r="AA25" s="1536">
        <f t="shared" ref="AA25:AA46" si="15">D25/F25</f>
        <v>1</v>
      </c>
      <c r="AB25" s="1536">
        <f t="shared" ref="AB25:AB46" si="16">D25/H25</f>
        <v>1</v>
      </c>
      <c r="AC25" s="1536">
        <f t="shared" ref="AC25:AC46" si="17">D25/J25</f>
        <v>1</v>
      </c>
    </row>
    <row r="26" spans="1:29" ht="15">
      <c r="A26" s="387"/>
      <c r="B26" s="381" t="s">
        <v>2343</v>
      </c>
      <c r="C26" s="419"/>
      <c r="D26" s="394">
        <v>100</v>
      </c>
      <c r="E26" s="2088"/>
      <c r="F26" s="394">
        <f>SUMIF(88:88,E26,89:89)-SUMIF(88:88,C26,89:89)+100</f>
        <v>100</v>
      </c>
      <c r="G26" s="2089"/>
      <c r="H26" s="394">
        <f>SUMIF(88:88,G26,89:89)-SUMIF(88:88,C26,89:89)+100</f>
        <v>100</v>
      </c>
      <c r="I26" s="2089"/>
      <c r="J26" s="394">
        <f>SUMIF(88:88,I26,89:89)-SUMIF(88:88,C26,89:89)+100</f>
        <v>100</v>
      </c>
      <c r="K26" s="385"/>
      <c r="L26" s="2942"/>
      <c r="M26" s="2936"/>
      <c r="N26" s="2936"/>
      <c r="O26" s="2936"/>
      <c r="P26" s="3468"/>
      <c r="Q26" s="1535" t="str">
        <f t="shared" si="11"/>
        <v>朝向</v>
      </c>
      <c r="R26" s="714" t="s">
        <v>21</v>
      </c>
      <c r="S26" s="715">
        <f t="shared" si="12"/>
        <v>100</v>
      </c>
      <c r="T26" s="714" t="s">
        <v>21</v>
      </c>
      <c r="U26" s="715">
        <f t="shared" si="13"/>
        <v>100</v>
      </c>
      <c r="V26" s="714" t="s">
        <v>21</v>
      </c>
      <c r="W26" s="715">
        <f t="shared" si="14"/>
        <v>100</v>
      </c>
      <c r="X26" s="1538"/>
      <c r="Y26" s="3417"/>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6"/>
      <c r="L27" s="2937"/>
      <c r="M27" s="2938"/>
      <c r="N27" s="2938"/>
      <c r="O27" s="2938"/>
      <c r="P27" s="3468"/>
      <c r="Q27" s="1526">
        <f t="shared" si="11"/>
        <v>111</v>
      </c>
      <c r="R27" s="710" t="s">
        <v>21</v>
      </c>
      <c r="S27" s="711">
        <f t="shared" si="12"/>
        <v>100</v>
      </c>
      <c r="T27" s="710" t="s">
        <v>21</v>
      </c>
      <c r="U27" s="711">
        <f t="shared" si="13"/>
        <v>100</v>
      </c>
      <c r="V27" s="710" t="s">
        <v>21</v>
      </c>
      <c r="W27" s="711">
        <f t="shared" si="14"/>
        <v>100</v>
      </c>
      <c r="X27" s="712"/>
      <c r="Y27" s="3417"/>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0"/>
      <c r="H28" s="394">
        <f>SUMIF(92:92,G28,93:93)-SUMIF(92:92,C28,93:93)+100</f>
        <v>100</v>
      </c>
      <c r="I28" s="393"/>
      <c r="J28" s="394">
        <f>SUMIF(92:92,I28,93:93)-SUMIF(92:92,C28,93:93)+100</f>
        <v>100</v>
      </c>
      <c r="K28" s="2076"/>
      <c r="L28" s="2942"/>
      <c r="M28" s="2936"/>
      <c r="N28" s="2936"/>
      <c r="O28" s="2936"/>
      <c r="P28" s="3468"/>
      <c r="Q28" s="1535">
        <f t="shared" si="11"/>
        <v>111</v>
      </c>
      <c r="R28" s="714" t="s">
        <v>21</v>
      </c>
      <c r="S28" s="715">
        <f t="shared" si="12"/>
        <v>100</v>
      </c>
      <c r="T28" s="714" t="s">
        <v>21</v>
      </c>
      <c r="U28" s="715">
        <f t="shared" si="13"/>
        <v>100</v>
      </c>
      <c r="V28" s="714" t="s">
        <v>21</v>
      </c>
      <c r="W28" s="715">
        <f t="shared" si="14"/>
        <v>100</v>
      </c>
      <c r="X28" s="1538"/>
      <c r="Y28" s="3417"/>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0"/>
      <c r="H29" s="394">
        <f>SUMIF(94:94,G29,95:95)-SUMIF(94:94,C29,95:95)+100</f>
        <v>100</v>
      </c>
      <c r="I29" s="393"/>
      <c r="J29" s="394">
        <f>SUMIF(94:94,I29,95:95)-SUMIF(94:94,C29,95:95)+100</f>
        <v>100</v>
      </c>
      <c r="K29" s="2076"/>
      <c r="L29" s="2942"/>
      <c r="M29" s="2936"/>
      <c r="N29" s="2936"/>
      <c r="O29" s="2936"/>
      <c r="P29" s="3468"/>
      <c r="Q29" s="1535">
        <f t="shared" si="11"/>
        <v>111</v>
      </c>
      <c r="R29" s="714" t="s">
        <v>21</v>
      </c>
      <c r="S29" s="715">
        <f t="shared" si="12"/>
        <v>100</v>
      </c>
      <c r="T29" s="714" t="s">
        <v>21</v>
      </c>
      <c r="U29" s="715">
        <f t="shared" si="13"/>
        <v>100</v>
      </c>
      <c r="V29" s="714" t="s">
        <v>21</v>
      </c>
      <c r="W29" s="715">
        <f t="shared" si="14"/>
        <v>100</v>
      </c>
      <c r="X29" s="1538"/>
      <c r="Y29" s="3417"/>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0"/>
      <c r="H30" s="394">
        <f>SUMIF(96:96,G30,97:97)-SUMIF(96:96,C30,97:97)+100</f>
        <v>100</v>
      </c>
      <c r="I30" s="393"/>
      <c r="J30" s="394">
        <f>SUMIF(96:96,I30,97:97)-SUMIF(96:96,C30,97:97)+100</f>
        <v>100</v>
      </c>
      <c r="K30" s="2076"/>
      <c r="L30" s="2942"/>
      <c r="M30" s="2936"/>
      <c r="N30" s="2936"/>
      <c r="O30" s="2936"/>
      <c r="P30" s="3468"/>
      <c r="Q30" s="1535">
        <f t="shared" si="11"/>
        <v>111</v>
      </c>
      <c r="R30" s="714" t="s">
        <v>21</v>
      </c>
      <c r="S30" s="715">
        <f t="shared" si="12"/>
        <v>100</v>
      </c>
      <c r="T30" s="714" t="s">
        <v>21</v>
      </c>
      <c r="U30" s="715">
        <f t="shared" si="13"/>
        <v>100</v>
      </c>
      <c r="V30" s="714" t="s">
        <v>21</v>
      </c>
      <c r="W30" s="715">
        <f t="shared" si="14"/>
        <v>100</v>
      </c>
      <c r="X30" s="1538"/>
      <c r="Y30" s="3417"/>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1"/>
      <c r="H31" s="397">
        <f>SUMIF(98:98,G31,99:99)-SUMIF(98:98,C31,99:99)+100</f>
        <v>100</v>
      </c>
      <c r="I31" s="396"/>
      <c r="J31" s="397">
        <f>SUMIF(98:98,I31,99:99)-SUMIF(98:98,C31,99:99)+100</f>
        <v>100</v>
      </c>
      <c r="K31" s="2076"/>
      <c r="L31" s="2942"/>
      <c r="M31" s="2936"/>
      <c r="N31" s="2936"/>
      <c r="O31" s="2936"/>
      <c r="P31" s="3468"/>
      <c r="Q31" s="1535">
        <f t="shared" si="11"/>
        <v>111</v>
      </c>
      <c r="R31" s="714" t="s">
        <v>21</v>
      </c>
      <c r="S31" s="715">
        <f t="shared" si="12"/>
        <v>100</v>
      </c>
      <c r="T31" s="714" t="s">
        <v>21</v>
      </c>
      <c r="U31" s="715">
        <f t="shared" si="13"/>
        <v>100</v>
      </c>
      <c r="V31" s="714" t="s">
        <v>21</v>
      </c>
      <c r="W31" s="715">
        <f t="shared" si="14"/>
        <v>100</v>
      </c>
      <c r="X31" s="1538"/>
      <c r="Y31" s="3417"/>
      <c r="Z31" s="1539">
        <f t="shared" si="18"/>
        <v>111</v>
      </c>
      <c r="AA31" s="1536">
        <f t="shared" si="15"/>
        <v>1</v>
      </c>
      <c r="AB31" s="1536">
        <f t="shared" si="16"/>
        <v>1</v>
      </c>
      <c r="AC31" s="1536">
        <f t="shared" si="17"/>
        <v>1</v>
      </c>
    </row>
    <row r="32" spans="1:29" ht="15">
      <c r="A32" s="399" t="s">
        <v>2344</v>
      </c>
      <c r="B32" s="67" t="s">
        <v>2345</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2"/>
      <c r="M32" s="2936"/>
      <c r="N32" s="2936"/>
      <c r="O32" s="2936"/>
      <c r="P32" s="3463" t="s">
        <v>2346</v>
      </c>
      <c r="Q32" s="1535" t="str">
        <f t="shared" si="11"/>
        <v>建筑类型</v>
      </c>
      <c r="R32" s="714" t="s">
        <v>21</v>
      </c>
      <c r="S32" s="715">
        <f t="shared" si="12"/>
        <v>100</v>
      </c>
      <c r="T32" s="714" t="s">
        <v>21</v>
      </c>
      <c r="U32" s="715">
        <f t="shared" si="13"/>
        <v>100</v>
      </c>
      <c r="V32" s="714" t="s">
        <v>21</v>
      </c>
      <c r="W32" s="715">
        <f t="shared" si="14"/>
        <v>100</v>
      </c>
      <c r="X32" s="1538"/>
      <c r="Y32" s="3419" t="s">
        <v>2346</v>
      </c>
      <c r="Z32" s="1539" t="str">
        <f t="shared" si="18"/>
        <v>建筑类型</v>
      </c>
      <c r="AA32" s="1536">
        <f t="shared" si="15"/>
        <v>1</v>
      </c>
      <c r="AB32" s="1536">
        <f t="shared" si="16"/>
        <v>1</v>
      </c>
      <c r="AC32" s="1536">
        <f t="shared" si="17"/>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1"/>
      <c r="M33" s="2943"/>
      <c r="N33" s="2943"/>
      <c r="O33" s="2943"/>
      <c r="P33" s="3464"/>
      <c r="Q33" s="716" t="str">
        <f t="shared" si="11"/>
        <v>项目建筑规模</v>
      </c>
      <c r="R33" s="717" t="s">
        <v>21</v>
      </c>
      <c r="S33" s="718" t="e">
        <f t="shared" si="12"/>
        <v>#N/A</v>
      </c>
      <c r="T33" s="717" t="s">
        <v>21</v>
      </c>
      <c r="U33" s="718" t="e">
        <f t="shared" si="13"/>
        <v>#N/A</v>
      </c>
      <c r="V33" s="717" t="s">
        <v>21</v>
      </c>
      <c r="W33" s="718" t="e">
        <f t="shared" si="14"/>
        <v>#N/A</v>
      </c>
      <c r="X33" s="719"/>
      <c r="Y33" s="3419"/>
      <c r="Z33" s="720" t="str">
        <f t="shared" si="18"/>
        <v>项目建筑规模</v>
      </c>
      <c r="AA33" s="1536" t="e">
        <f t="shared" si="15"/>
        <v>#N/A</v>
      </c>
      <c r="AB33" s="1536" t="e">
        <f t="shared" si="16"/>
        <v>#N/A</v>
      </c>
      <c r="AC33" s="1536" t="e">
        <f t="shared" si="17"/>
        <v>#N/A</v>
      </c>
    </row>
    <row r="34" spans="1:29" ht="15">
      <c r="A34" s="431"/>
      <c r="B34" s="381" t="s">
        <v>2348</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2"/>
      <c r="M34" s="2936"/>
      <c r="N34" s="2936"/>
      <c r="O34" s="2936"/>
      <c r="P34" s="3464"/>
      <c r="Q34" s="1535" t="str">
        <f t="shared" si="11"/>
        <v>建筑结构</v>
      </c>
      <c r="R34" s="714" t="s">
        <v>21</v>
      </c>
      <c r="S34" s="715">
        <f t="shared" si="12"/>
        <v>100</v>
      </c>
      <c r="T34" s="714" t="s">
        <v>21</v>
      </c>
      <c r="U34" s="715">
        <f t="shared" si="13"/>
        <v>100</v>
      </c>
      <c r="V34" s="714" t="s">
        <v>21</v>
      </c>
      <c r="W34" s="715">
        <f t="shared" si="14"/>
        <v>100</v>
      </c>
      <c r="X34" s="1538"/>
      <c r="Y34" s="3419"/>
      <c r="Z34" s="1539" t="str">
        <f t="shared" si="18"/>
        <v>建筑结构</v>
      </c>
      <c r="AA34" s="1536">
        <f t="shared" si="15"/>
        <v>1</v>
      </c>
      <c r="AB34" s="1536">
        <f t="shared" si="16"/>
        <v>1</v>
      </c>
      <c r="AC34" s="1536">
        <f t="shared" si="17"/>
        <v>1</v>
      </c>
    </row>
    <row r="35" spans="1:29" ht="15">
      <c r="A35" s="431"/>
      <c r="B35" s="381" t="s">
        <v>2349</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2"/>
      <c r="M35" s="2936"/>
      <c r="N35" s="2936"/>
      <c r="O35" s="2936"/>
      <c r="P35" s="3464"/>
      <c r="Q35" s="1535" t="str">
        <f t="shared" si="11"/>
        <v>建筑品质</v>
      </c>
      <c r="R35" s="714" t="s">
        <v>21</v>
      </c>
      <c r="S35" s="715">
        <f t="shared" si="12"/>
        <v>100</v>
      </c>
      <c r="T35" s="714" t="s">
        <v>21</v>
      </c>
      <c r="U35" s="715">
        <f t="shared" si="13"/>
        <v>100</v>
      </c>
      <c r="V35" s="714" t="s">
        <v>21</v>
      </c>
      <c r="W35" s="715">
        <f t="shared" si="14"/>
        <v>100</v>
      </c>
      <c r="X35" s="1538"/>
      <c r="Y35" s="3419"/>
      <c r="Z35" s="1539" t="str">
        <f t="shared" si="18"/>
        <v>建筑品质</v>
      </c>
      <c r="AA35" s="1536">
        <f t="shared" si="15"/>
        <v>1</v>
      </c>
      <c r="AB35" s="1536">
        <f t="shared" si="16"/>
        <v>1</v>
      </c>
      <c r="AC35" s="1536">
        <f t="shared" si="17"/>
        <v>1</v>
      </c>
    </row>
    <row r="36" spans="1:29" ht="15">
      <c r="A36" s="431"/>
      <c r="B36" s="381" t="s">
        <v>2350</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2"/>
      <c r="M36" s="2936"/>
      <c r="N36" s="2936"/>
      <c r="O36" s="2936"/>
      <c r="P36" s="3464"/>
      <c r="Q36" s="1535" t="str">
        <f t="shared" si="11"/>
        <v>公共部分装修</v>
      </c>
      <c r="R36" s="714" t="s">
        <v>21</v>
      </c>
      <c r="S36" s="715">
        <f t="shared" si="12"/>
        <v>100</v>
      </c>
      <c r="T36" s="714" t="s">
        <v>21</v>
      </c>
      <c r="U36" s="715">
        <f t="shared" si="13"/>
        <v>100</v>
      </c>
      <c r="V36" s="714" t="s">
        <v>21</v>
      </c>
      <c r="W36" s="715">
        <f t="shared" si="14"/>
        <v>100</v>
      </c>
      <c r="X36" s="1538"/>
      <c r="Y36" s="3419"/>
      <c r="Z36" s="1539" t="str">
        <f t="shared" si="18"/>
        <v>公共部分装修</v>
      </c>
      <c r="AA36" s="1536">
        <f t="shared" si="15"/>
        <v>1</v>
      </c>
      <c r="AB36" s="1536">
        <f t="shared" si="16"/>
        <v>1</v>
      </c>
      <c r="AC36" s="1536">
        <f t="shared" si="17"/>
        <v>1</v>
      </c>
    </row>
    <row r="37" spans="1:29" s="113" customFormat="1" ht="15">
      <c r="A37" s="432"/>
      <c r="B37" s="381" t="s">
        <v>2351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64"/>
      <c r="Q37" s="1526" t="str">
        <f t="shared" si="11"/>
        <v>成新度</v>
      </c>
      <c r="R37" s="710" t="s">
        <v>21</v>
      </c>
      <c r="S37" s="711" t="e">
        <f t="shared" si="12"/>
        <v>#N/A</v>
      </c>
      <c r="T37" s="710" t="s">
        <v>21</v>
      </c>
      <c r="U37" s="711" t="e">
        <f t="shared" si="13"/>
        <v>#N/A</v>
      </c>
      <c r="V37" s="710" t="s">
        <v>21</v>
      </c>
      <c r="W37" s="711" t="e">
        <f t="shared" si="14"/>
        <v>#N/A</v>
      </c>
      <c r="X37" s="712"/>
      <c r="Y37" s="3419"/>
      <c r="Z37" s="55" t="str">
        <f t="shared" si="18"/>
        <v>成新度</v>
      </c>
      <c r="AA37" s="713" t="e">
        <f t="shared" si="15"/>
        <v>#N/A</v>
      </c>
      <c r="AB37" s="713" t="e">
        <f t="shared" si="16"/>
        <v>#N/A</v>
      </c>
      <c r="AC37" s="713" t="e">
        <f t="shared" si="17"/>
        <v>#N/A</v>
      </c>
    </row>
    <row r="38" spans="1:29" ht="15">
      <c r="A38" s="431"/>
      <c r="B38" s="381" t="s">
        <v>2352</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2"/>
      <c r="M38" s="2936"/>
      <c r="N38" s="2936"/>
      <c r="O38" s="2936"/>
      <c r="P38" s="3464" t="s">
        <v>2346</v>
      </c>
      <c r="Q38" s="1535" t="str">
        <f t="shared" si="11"/>
        <v>物业管理</v>
      </c>
      <c r="R38" s="714" t="s">
        <v>21</v>
      </c>
      <c r="S38" s="715">
        <f t="shared" si="12"/>
        <v>100</v>
      </c>
      <c r="T38" s="714" t="s">
        <v>21</v>
      </c>
      <c r="U38" s="715">
        <f t="shared" si="13"/>
        <v>100</v>
      </c>
      <c r="V38" s="714" t="s">
        <v>21</v>
      </c>
      <c r="W38" s="715">
        <f t="shared" si="14"/>
        <v>100</v>
      </c>
      <c r="X38" s="1538"/>
      <c r="Y38" s="3419" t="s">
        <v>2346</v>
      </c>
      <c r="Z38" s="1539" t="str">
        <f t="shared" si="18"/>
        <v>物业管理</v>
      </c>
      <c r="AA38" s="1536">
        <f t="shared" si="15"/>
        <v>1</v>
      </c>
      <c r="AB38" s="1536">
        <f t="shared" si="16"/>
        <v>1</v>
      </c>
      <c r="AC38" s="1536">
        <f t="shared" si="17"/>
        <v>1</v>
      </c>
    </row>
    <row r="39" spans="1:29" ht="15">
      <c r="A39" s="431"/>
      <c r="B39" s="381" t="s">
        <v>2353</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2"/>
      <c r="M39" s="2936"/>
      <c r="N39" s="2936"/>
      <c r="O39" s="2936"/>
      <c r="P39" s="3464"/>
      <c r="Q39" s="1535" t="str">
        <f t="shared" si="11"/>
        <v>市政基础设施</v>
      </c>
      <c r="R39" s="714" t="s">
        <v>21</v>
      </c>
      <c r="S39" s="715">
        <f t="shared" si="12"/>
        <v>100</v>
      </c>
      <c r="T39" s="714" t="s">
        <v>21</v>
      </c>
      <c r="U39" s="715">
        <f t="shared" si="13"/>
        <v>100</v>
      </c>
      <c r="V39" s="714" t="s">
        <v>21</v>
      </c>
      <c r="W39" s="715">
        <f t="shared" si="14"/>
        <v>100</v>
      </c>
      <c r="X39" s="1538"/>
      <c r="Y39" s="3419"/>
      <c r="Z39" s="1539" t="str">
        <f t="shared" si="18"/>
        <v>市政基础设施</v>
      </c>
      <c r="AA39" s="1536">
        <f t="shared" si="15"/>
        <v>1</v>
      </c>
      <c r="AB39" s="1536">
        <f t="shared" si="16"/>
        <v>1</v>
      </c>
      <c r="AC39" s="1536">
        <f t="shared" si="17"/>
        <v>1</v>
      </c>
    </row>
    <row r="40" spans="1:29" ht="15">
      <c r="A40" s="431"/>
      <c r="B40" s="381" t="s">
        <v>2354</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2"/>
      <c r="M40" s="2936"/>
      <c r="N40" s="2936"/>
      <c r="O40" s="2936"/>
      <c r="P40" s="3464"/>
      <c r="Q40" s="1535" t="str">
        <f t="shared" si="11"/>
        <v>房型</v>
      </c>
      <c r="R40" s="714" t="s">
        <v>21</v>
      </c>
      <c r="S40" s="715">
        <f t="shared" si="12"/>
        <v>100</v>
      </c>
      <c r="T40" s="714" t="s">
        <v>21</v>
      </c>
      <c r="U40" s="715">
        <f t="shared" si="13"/>
        <v>100</v>
      </c>
      <c r="V40" s="714" t="s">
        <v>21</v>
      </c>
      <c r="W40" s="715">
        <f t="shared" si="14"/>
        <v>100</v>
      </c>
      <c r="X40" s="1538"/>
      <c r="Y40" s="3419"/>
      <c r="Z40" s="1539" t="str">
        <f t="shared" si="18"/>
        <v>房型</v>
      </c>
      <c r="AA40" s="1536">
        <f t="shared" si="15"/>
        <v>1</v>
      </c>
      <c r="AB40" s="1536">
        <f t="shared" si="16"/>
        <v>1</v>
      </c>
      <c r="AC40" s="1536">
        <f t="shared" si="17"/>
        <v>1</v>
      </c>
    </row>
    <row r="41" spans="1:29" s="430" customFormat="1" ht="28.5">
      <c r="A41" s="427"/>
      <c r="B41" s="381" t="s">
        <v>2355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1"/>
      <c r="M41" s="2943"/>
      <c r="N41" s="2943"/>
      <c r="O41" s="2943"/>
      <c r="P41" s="3464"/>
      <c r="Q41" s="716" t="str">
        <f t="shared" si="11"/>
        <v>单套/主力户型建筑面积</v>
      </c>
      <c r="R41" s="717" t="s">
        <v>21</v>
      </c>
      <c r="S41" s="718">
        <f t="shared" si="12"/>
        <v>100</v>
      </c>
      <c r="T41" s="717" t="s">
        <v>21</v>
      </c>
      <c r="U41" s="718">
        <f t="shared" si="13"/>
        <v>100</v>
      </c>
      <c r="V41" s="717" t="s">
        <v>21</v>
      </c>
      <c r="W41" s="718">
        <f t="shared" si="14"/>
        <v>100</v>
      </c>
      <c r="X41" s="719"/>
      <c r="Y41" s="3419"/>
      <c r="Z41" s="720" t="str">
        <f t="shared" si="18"/>
        <v>单套/主力户型建筑面积</v>
      </c>
      <c r="AA41" s="1536">
        <f t="shared" si="15"/>
        <v>1</v>
      </c>
      <c r="AB41" s="1536">
        <f t="shared" si="16"/>
        <v>1</v>
      </c>
      <c r="AC41" s="1536">
        <f t="shared" si="17"/>
        <v>1</v>
      </c>
    </row>
    <row r="42" spans="1:29" ht="15">
      <c r="A42" s="431"/>
      <c r="B42" s="381" t="s">
        <v>2356</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2"/>
      <c r="M42" s="2936"/>
      <c r="N42" s="2936"/>
      <c r="O42" s="2936"/>
      <c r="P42" s="3464"/>
      <c r="Q42" s="1535" t="str">
        <f t="shared" si="11"/>
        <v>内部装修</v>
      </c>
      <c r="R42" s="714" t="s">
        <v>21</v>
      </c>
      <c r="S42" s="715">
        <f t="shared" si="12"/>
        <v>100</v>
      </c>
      <c r="T42" s="714" t="s">
        <v>21</v>
      </c>
      <c r="U42" s="715">
        <f t="shared" si="13"/>
        <v>100</v>
      </c>
      <c r="V42" s="714" t="s">
        <v>21</v>
      </c>
      <c r="W42" s="715">
        <f t="shared" si="14"/>
        <v>100</v>
      </c>
      <c r="X42" s="1538"/>
      <c r="Y42" s="3419"/>
      <c r="Z42" s="1539" t="str">
        <f t="shared" si="18"/>
        <v>内部装修</v>
      </c>
      <c r="AA42" s="1536">
        <f t="shared" si="15"/>
        <v>1</v>
      </c>
      <c r="AB42" s="1536">
        <f t="shared" si="16"/>
        <v>1</v>
      </c>
      <c r="AC42" s="1536">
        <f t="shared" si="17"/>
        <v>1</v>
      </c>
    </row>
    <row r="43" spans="1:29" ht="15">
      <c r="A43" s="431"/>
      <c r="B43" s="381" t="s">
        <v>2357</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2"/>
      <c r="M43" s="2936"/>
      <c r="N43" s="2936"/>
      <c r="O43" s="2936"/>
      <c r="P43" s="3464"/>
      <c r="Q43" s="1535" t="str">
        <f t="shared" si="11"/>
        <v>内部装修维护情况</v>
      </c>
      <c r="R43" s="714" t="s">
        <v>21</v>
      </c>
      <c r="S43" s="715">
        <f t="shared" si="12"/>
        <v>100</v>
      </c>
      <c r="T43" s="714" t="s">
        <v>21</v>
      </c>
      <c r="U43" s="715">
        <f t="shared" si="13"/>
        <v>100</v>
      </c>
      <c r="V43" s="714" t="s">
        <v>21</v>
      </c>
      <c r="W43" s="715">
        <f t="shared" si="14"/>
        <v>100</v>
      </c>
      <c r="X43" s="1538"/>
      <c r="Y43" s="3419"/>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37"/>
      <c r="M44" s="2938"/>
      <c r="N44" s="2938"/>
      <c r="O44" s="2938"/>
      <c r="P44" s="3464"/>
      <c r="Q44" s="1526">
        <f t="shared" si="11"/>
        <v>111</v>
      </c>
      <c r="R44" s="710" t="s">
        <v>21</v>
      </c>
      <c r="S44" s="711">
        <f t="shared" si="12"/>
        <v>100</v>
      </c>
      <c r="T44" s="710" t="s">
        <v>21</v>
      </c>
      <c r="U44" s="711">
        <f t="shared" si="13"/>
        <v>100</v>
      </c>
      <c r="V44" s="710" t="s">
        <v>21</v>
      </c>
      <c r="W44" s="711">
        <f t="shared" si="14"/>
        <v>100</v>
      </c>
      <c r="X44" s="712"/>
      <c r="Y44" s="341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2"/>
      <c r="M45" s="2936"/>
      <c r="N45" s="2936"/>
      <c r="O45" s="2936"/>
      <c r="P45" s="3464"/>
      <c r="Q45" s="1535">
        <f t="shared" si="11"/>
        <v>111</v>
      </c>
      <c r="R45" s="714" t="s">
        <v>21</v>
      </c>
      <c r="S45" s="715">
        <f t="shared" si="12"/>
        <v>100</v>
      </c>
      <c r="T45" s="714" t="s">
        <v>21</v>
      </c>
      <c r="U45" s="715">
        <f t="shared" si="13"/>
        <v>100</v>
      </c>
      <c r="V45" s="714" t="s">
        <v>21</v>
      </c>
      <c r="W45" s="715">
        <f t="shared" si="14"/>
        <v>100</v>
      </c>
      <c r="X45" s="1538"/>
      <c r="Y45" s="3419"/>
      <c r="Z45" s="1539">
        <f t="shared" si="18"/>
        <v>111</v>
      </c>
      <c r="AA45" s="1536">
        <f t="shared" si="15"/>
        <v>1</v>
      </c>
      <c r="AB45" s="1536">
        <f t="shared" si="16"/>
        <v>1</v>
      </c>
      <c r="AC45" s="1536">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2"/>
      <c r="M46" s="2936"/>
      <c r="N46" s="2936"/>
      <c r="O46" s="2936"/>
      <c r="P46" s="3465"/>
      <c r="Q46" s="1535">
        <f t="shared" si="11"/>
        <v>111</v>
      </c>
      <c r="R46" s="714" t="s">
        <v>20</v>
      </c>
      <c r="S46" s="715">
        <f t="shared" si="12"/>
        <v>100</v>
      </c>
      <c r="T46" s="714" t="s">
        <v>20</v>
      </c>
      <c r="U46" s="715">
        <f t="shared" si="13"/>
        <v>100</v>
      </c>
      <c r="V46" s="714" t="s">
        <v>20</v>
      </c>
      <c r="W46" s="715">
        <f t="shared" si="14"/>
        <v>100</v>
      </c>
      <c r="X46" s="1538"/>
      <c r="Y46" s="3466"/>
      <c r="Z46" s="1539">
        <f t="shared" si="18"/>
        <v>111</v>
      </c>
      <c r="AA46" s="1536">
        <f t="shared" si="15"/>
        <v>1</v>
      </c>
      <c r="AB46" s="1536">
        <f t="shared" si="16"/>
        <v>1</v>
      </c>
      <c r="AC46" s="1536">
        <f t="shared" si="17"/>
        <v>1</v>
      </c>
    </row>
    <row r="47" spans="1:29" ht="15">
      <c r="A47" s="438" t="s">
        <v>2358</v>
      </c>
      <c r="B47" s="439"/>
      <c r="C47" s="1315" t="s">
        <v>19</v>
      </c>
      <c r="D47" s="1316"/>
      <c r="E47" s="1317"/>
      <c r="F47" s="1318"/>
      <c r="G47" s="1319"/>
      <c r="H47" s="1320"/>
      <c r="I47" s="1317"/>
      <c r="J47" s="1320"/>
      <c r="K47" s="2096"/>
      <c r="L47" s="2944"/>
      <c r="M47" s="2945"/>
      <c r="N47" s="2936"/>
      <c r="O47" s="2945"/>
      <c r="P47" s="3401" t="str">
        <f>A47</f>
        <v>成交单价（元/平方米）</v>
      </c>
      <c r="Q47" s="3401"/>
      <c r="R47" s="3462">
        <f>E47</f>
        <v>0</v>
      </c>
      <c r="S47" s="3462"/>
      <c r="T47" s="3462">
        <f>G47</f>
        <v>0</v>
      </c>
      <c r="U47" s="3462"/>
      <c r="V47" s="3462">
        <f>I47</f>
        <v>0</v>
      </c>
      <c r="W47" s="3462"/>
      <c r="X47" s="699"/>
      <c r="Y47" s="721"/>
      <c r="Z47" s="699"/>
      <c r="AA47" s="699"/>
      <c r="AB47" s="699"/>
      <c r="AC47" s="699"/>
    </row>
    <row r="48" spans="1:29" ht="15.75" thickBot="1">
      <c r="A48" s="445" t="s">
        <v>2359</v>
      </c>
      <c r="B48" s="446"/>
      <c r="C48" s="1321" t="e">
        <f>R49</f>
        <v>#DIV/0!</v>
      </c>
      <c r="D48" s="2534" t="s">
        <v>2840</v>
      </c>
      <c r="E48" s="1322" t="e">
        <f>R48</f>
        <v>#DIV/0!</v>
      </c>
      <c r="F48" s="2535"/>
      <c r="G48" s="1321" t="e">
        <f>T48</f>
        <v>#DIV/0!</v>
      </c>
      <c r="H48" s="2535"/>
      <c r="I48" s="1322" t="e">
        <f>V48</f>
        <v>#DIV/0!</v>
      </c>
      <c r="J48" s="2535"/>
      <c r="K48" s="2536">
        <f>F48+H48+J48</f>
        <v>0</v>
      </c>
      <c r="L48" s="2944"/>
      <c r="M48" s="2945"/>
      <c r="N48" s="2945"/>
      <c r="O48" s="2945"/>
      <c r="P48" s="3401" t="str">
        <f>A48</f>
        <v>比较价值（元/平方米）</v>
      </c>
      <c r="Q48" s="340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2360</v>
      </c>
      <c r="B49" s="450"/>
      <c r="C49" s="1323" t="e">
        <f>R49</f>
        <v>#DIV/0!</v>
      </c>
      <c r="D49" s="1324"/>
      <c r="E49" s="1324"/>
      <c r="F49" s="1324"/>
      <c r="G49" s="1324"/>
      <c r="H49" s="1324"/>
      <c r="I49" s="1324"/>
      <c r="J49" s="1324"/>
      <c r="K49" s="2097"/>
      <c r="L49" s="2944"/>
      <c r="M49" s="2945"/>
      <c r="N49" s="2945"/>
      <c r="O49" s="2945"/>
      <c r="P49" s="3421" t="str">
        <f>A49</f>
        <v>估价对象XX用房的比较价值（楼面单价，元/平方米）</v>
      </c>
      <c r="Q49" s="3422"/>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2361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2362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2363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9"/>
    </row>
    <row r="55" spans="1:29" s="459" customFormat="1">
      <c r="A55" s="2948"/>
      <c r="B55" s="2951"/>
      <c r="C55" s="2952"/>
      <c r="D55" s="2948"/>
      <c r="E55" s="2948"/>
      <c r="F55" s="2948"/>
      <c r="G55" s="2948"/>
      <c r="H55" s="2948"/>
      <c r="I55" s="2948"/>
      <c r="J55" s="2948"/>
      <c r="K55" s="2953"/>
      <c r="L55" s="2947"/>
      <c r="M55" s="2948"/>
      <c r="N55" s="2948"/>
      <c r="O55" s="2948"/>
      <c r="P55" s="2099"/>
    </row>
    <row r="56" spans="1:29">
      <c r="A56" s="2945"/>
      <c r="B56" s="2951"/>
      <c r="C56" s="2952"/>
      <c r="D56" s="2945"/>
      <c r="E56" s="2945"/>
      <c r="F56" s="2945"/>
      <c r="G56" s="2945"/>
      <c r="H56" s="2945"/>
      <c r="I56" s="2945"/>
      <c r="J56" s="2945"/>
      <c r="K56" s="2950"/>
      <c r="L56" s="2946"/>
      <c r="M56" s="2945"/>
      <c r="N56" s="2945"/>
      <c r="O56" s="2945"/>
    </row>
    <row r="57" spans="1:29" ht="21.75" thickBot="1">
      <c r="A57" s="703" t="s">
        <v>2364</v>
      </c>
      <c r="B57" s="699"/>
      <c r="C57" s="704"/>
      <c r="D57" s="704"/>
      <c r="E57" s="704"/>
      <c r="F57" s="705"/>
      <c r="G57" s="705"/>
      <c r="H57" s="704"/>
      <c r="I57" s="704"/>
      <c r="J57" s="704"/>
      <c r="K57" s="1072"/>
      <c r="L57" s="1073"/>
      <c r="M57" s="1071"/>
      <c r="N57" s="1071"/>
      <c r="O57" s="1071"/>
      <c r="P57" s="2100"/>
      <c r="Q57" s="461"/>
    </row>
    <row r="58" spans="1:29" s="465" customFormat="1" ht="15">
      <c r="A58" s="462" t="s">
        <v>2365</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1"/>
      <c r="C59" s="1344">
        <v>100</v>
      </c>
      <c r="D59" s="468"/>
      <c r="E59" s="469"/>
      <c r="F59" s="469"/>
      <c r="G59" s="469"/>
      <c r="H59" s="469"/>
      <c r="I59" s="469"/>
      <c r="J59" s="469"/>
      <c r="K59" s="469"/>
      <c r="L59" s="469"/>
      <c r="M59" s="470"/>
      <c r="N59" s="469"/>
      <c r="O59" s="470"/>
      <c r="P59" s="2102"/>
    </row>
    <row r="60" spans="1:29" s="113" customFormat="1" ht="15.75" thickBot="1">
      <c r="A60" s="472" t="s">
        <v>2366</v>
      </c>
      <c r="B60" s="473"/>
      <c r="C60" s="474"/>
      <c r="D60" s="475"/>
      <c r="E60" s="475"/>
      <c r="F60" s="475"/>
      <c r="G60" s="475"/>
      <c r="H60" s="475"/>
      <c r="I60" s="475"/>
      <c r="J60" s="475"/>
      <c r="K60" s="475"/>
      <c r="L60" s="475"/>
      <c r="M60" s="476"/>
      <c r="N60" s="475"/>
      <c r="O60" s="476"/>
      <c r="P60" s="2102"/>
      <c r="Q60" s="461"/>
    </row>
    <row r="61" spans="1:29" s="113" customFormat="1" ht="15">
      <c r="A61" s="478" t="s">
        <v>2367</v>
      </c>
      <c r="B61" s="467"/>
      <c r="C61" s="479" t="s">
        <v>2368</v>
      </c>
      <c r="D61" s="480"/>
      <c r="E61" s="480"/>
      <c r="F61" s="480"/>
      <c r="G61" s="480"/>
      <c r="H61" s="480"/>
      <c r="I61" s="480"/>
      <c r="J61" s="480"/>
      <c r="K61" s="480"/>
      <c r="L61" s="481"/>
      <c r="M61" s="482"/>
      <c r="N61" s="1063"/>
      <c r="O61" s="1063"/>
      <c r="P61" s="2103"/>
      <c r="Q61" s="461"/>
    </row>
    <row r="62" spans="1:29" s="113" customFormat="1" ht="15.75" thickBot="1">
      <c r="A62" s="478"/>
      <c r="B62" s="467"/>
      <c r="C62" s="468">
        <v>100</v>
      </c>
      <c r="D62" s="469"/>
      <c r="E62" s="469"/>
      <c r="F62" s="469"/>
      <c r="G62" s="469"/>
      <c r="H62" s="469"/>
      <c r="I62" s="469"/>
      <c r="J62" s="469"/>
      <c r="K62" s="469"/>
      <c r="L62" s="469"/>
      <c r="M62" s="471"/>
      <c r="N62" s="1063"/>
      <c r="O62" s="1063"/>
      <c r="P62" s="2102"/>
      <c r="Q62" s="461"/>
    </row>
    <row r="63" spans="1:29">
      <c r="A63" s="484" t="s">
        <v>2369</v>
      </c>
      <c r="B63" s="485" t="s">
        <v>2335</v>
      </c>
      <c r="C63" s="486">
        <f>C9</f>
        <v>0</v>
      </c>
      <c r="D63" s="487"/>
      <c r="E63" s="487"/>
      <c r="F63" s="487"/>
      <c r="G63" s="487"/>
      <c r="H63" s="487"/>
      <c r="I63" s="487"/>
      <c r="J63" s="487"/>
      <c r="K63" s="488"/>
      <c r="L63" s="489"/>
      <c r="M63" s="490"/>
      <c r="N63" s="1064"/>
      <c r="O63" s="1064"/>
      <c r="P63" s="2104"/>
      <c r="Q63" s="461"/>
    </row>
    <row r="64" spans="1:29" ht="15.75" thickBot="1">
      <c r="A64" s="491"/>
      <c r="B64" s="492"/>
      <c r="C64" s="493">
        <v>100</v>
      </c>
      <c r="D64" s="493"/>
      <c r="E64" s="493"/>
      <c r="F64" s="493"/>
      <c r="G64" s="493"/>
      <c r="H64" s="493"/>
      <c r="I64" s="493"/>
      <c r="J64" s="493"/>
      <c r="K64" s="493"/>
      <c r="L64" s="493"/>
      <c r="M64" s="494"/>
      <c r="N64" s="1065"/>
      <c r="O64" s="1065"/>
      <c r="P64" s="2104"/>
      <c r="Q64" s="461"/>
    </row>
    <row r="65" spans="1:17" ht="27.75" thickTop="1">
      <c r="A65" s="491"/>
      <c r="B65" s="495" t="s">
        <v>2338</v>
      </c>
      <c r="C65" s="496" t="s">
        <v>2370</v>
      </c>
      <c r="D65" s="496" t="s">
        <v>2371</v>
      </c>
      <c r="E65" s="496" t="s">
        <v>2372</v>
      </c>
      <c r="F65" s="496" t="s">
        <v>2373</v>
      </c>
      <c r="G65" s="496" t="s">
        <v>2374</v>
      </c>
      <c r="H65" s="496" t="s">
        <v>2375</v>
      </c>
      <c r="I65" s="496" t="s">
        <v>2376</v>
      </c>
      <c r="J65" s="496"/>
      <c r="K65" s="497"/>
      <c r="L65" s="498"/>
      <c r="M65" s="499"/>
      <c r="N65" s="1064"/>
      <c r="O65" s="1064"/>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4"/>
      <c r="Q66" s="461"/>
    </row>
    <row r="67" spans="1:17" ht="15.75" thickTop="1">
      <c r="A67" s="491"/>
      <c r="B67" s="503" t="s">
        <v>2339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4"/>
      <c r="Q67" s="461"/>
    </row>
    <row r="68" spans="1:17" ht="15">
      <c r="A68" s="491"/>
      <c r="B68" s="505"/>
      <c r="C68" s="506"/>
      <c r="D68" s="506"/>
      <c r="E68" s="506"/>
      <c r="F68" s="506"/>
      <c r="G68" s="506"/>
      <c r="H68" s="506"/>
      <c r="I68" s="506"/>
      <c r="J68" s="506"/>
      <c r="K68" s="507"/>
      <c r="L68" s="508"/>
      <c r="M68" s="509"/>
      <c r="N68" s="1064"/>
      <c r="O68" s="1064"/>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4"/>
      <c r="Q69" s="461"/>
    </row>
    <row r="70" spans="1:17" s="430" customFormat="1" ht="15.75" thickTop="1">
      <c r="A70" s="510"/>
      <c r="B70" s="495">
        <f>B12</f>
        <v>111</v>
      </c>
      <c r="C70" s="511"/>
      <c r="D70" s="511"/>
      <c r="E70" s="511"/>
      <c r="F70" s="511"/>
      <c r="G70" s="511"/>
      <c r="H70" s="512"/>
      <c r="I70" s="512"/>
      <c r="J70" s="512"/>
      <c r="K70" s="512"/>
      <c r="L70" s="513"/>
      <c r="M70" s="514"/>
      <c r="N70" s="1066"/>
      <c r="O70" s="1066"/>
      <c r="P70" s="2105"/>
      <c r="Q70" s="516"/>
    </row>
    <row r="71" spans="1:17" s="430" customFormat="1" ht="15.75" thickBot="1">
      <c r="A71" s="510"/>
      <c r="B71" s="500"/>
      <c r="C71" s="517"/>
      <c r="D71" s="493"/>
      <c r="E71" s="493"/>
      <c r="F71" s="493"/>
      <c r="G71" s="493"/>
      <c r="H71" s="493"/>
      <c r="I71" s="493"/>
      <c r="J71" s="493"/>
      <c r="K71" s="493"/>
      <c r="L71" s="493"/>
      <c r="M71" s="494"/>
      <c r="N71" s="1065"/>
      <c r="O71" s="1065"/>
      <c r="P71" s="2105"/>
      <c r="Q71" s="516"/>
    </row>
    <row r="72" spans="1:17" s="430" customFormat="1" ht="15.75" thickTop="1">
      <c r="A72" s="510"/>
      <c r="B72" s="495">
        <f>B13</f>
        <v>111</v>
      </c>
      <c r="C72" s="511"/>
      <c r="D72" s="511"/>
      <c r="E72" s="511"/>
      <c r="F72" s="511"/>
      <c r="G72" s="511"/>
      <c r="H72" s="512"/>
      <c r="I72" s="512"/>
      <c r="J72" s="512"/>
      <c r="K72" s="512"/>
      <c r="L72" s="513"/>
      <c r="M72" s="514"/>
      <c r="N72" s="1066"/>
      <c r="O72" s="1066"/>
      <c r="P72" s="2106"/>
      <c r="Q72" s="518"/>
    </row>
    <row r="73" spans="1:17" s="430" customFormat="1" ht="15.75" thickBot="1">
      <c r="A73" s="510"/>
      <c r="B73" s="500"/>
      <c r="C73" s="517"/>
      <c r="D73" s="517"/>
      <c r="E73" s="517"/>
      <c r="F73" s="517"/>
      <c r="G73" s="517"/>
      <c r="H73" s="519"/>
      <c r="I73" s="519"/>
      <c r="J73" s="519"/>
      <c r="K73" s="519"/>
      <c r="L73" s="519"/>
      <c r="M73" s="520"/>
      <c r="N73" s="1066"/>
      <c r="O73" s="1066"/>
      <c r="P73" s="2105"/>
      <c r="Q73" s="516"/>
    </row>
    <row r="74" spans="1:17" s="430" customFormat="1" ht="15.75" thickTop="1">
      <c r="A74" s="510"/>
      <c r="B74" s="503">
        <f>B14</f>
        <v>111</v>
      </c>
      <c r="C74" s="511"/>
      <c r="D74" s="511"/>
      <c r="E74" s="511"/>
      <c r="F74" s="511"/>
      <c r="G74" s="480"/>
      <c r="H74" s="521"/>
      <c r="I74" s="521"/>
      <c r="J74" s="521"/>
      <c r="K74" s="521"/>
      <c r="L74" s="522"/>
      <c r="M74" s="523"/>
      <c r="N74" s="1066"/>
      <c r="O74" s="1066"/>
      <c r="P74" s="2107"/>
      <c r="Q74" s="516"/>
    </row>
    <row r="75" spans="1:17" s="430" customFormat="1" ht="15.75" thickBot="1">
      <c r="A75" s="525"/>
      <c r="B75" s="526"/>
      <c r="C75" s="527"/>
      <c r="D75" s="527"/>
      <c r="E75" s="527"/>
      <c r="F75" s="527"/>
      <c r="G75" s="527"/>
      <c r="H75" s="528"/>
      <c r="I75" s="528"/>
      <c r="J75" s="528"/>
      <c r="K75" s="528"/>
      <c r="L75" s="528"/>
      <c r="M75" s="529"/>
      <c r="N75" s="1066"/>
      <c r="O75" s="1066"/>
      <c r="P75" s="2105"/>
      <c r="Q75" s="516"/>
    </row>
    <row r="76" spans="1:17">
      <c r="A76" s="484" t="s">
        <v>2340</v>
      </c>
      <c r="B76" s="485" t="s">
        <v>2377</v>
      </c>
      <c r="C76" s="530" t="s">
        <v>2378</v>
      </c>
      <c r="D76" s="530" t="s">
        <v>2379</v>
      </c>
      <c r="E76" s="530" t="s">
        <v>2380</v>
      </c>
      <c r="F76" s="530" t="s">
        <v>2381</v>
      </c>
      <c r="G76" s="530" t="s">
        <v>2382</v>
      </c>
      <c r="H76" s="486"/>
      <c r="I76" s="486"/>
      <c r="J76" s="486"/>
      <c r="K76" s="531"/>
      <c r="L76" s="532"/>
      <c r="M76" s="533"/>
      <c r="N76" s="1064"/>
      <c r="O76" s="1064"/>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4"/>
      <c r="Q77" s="461"/>
    </row>
    <row r="78" spans="1:17" ht="15.75" thickTop="1">
      <c r="A78" s="491"/>
      <c r="B78" s="495" t="s">
        <v>2383</v>
      </c>
      <c r="C78" s="535" t="s">
        <v>2378</v>
      </c>
      <c r="D78" s="535" t="s">
        <v>2379</v>
      </c>
      <c r="E78" s="535" t="s">
        <v>2380</v>
      </c>
      <c r="F78" s="535" t="s">
        <v>2381</v>
      </c>
      <c r="G78" s="535" t="s">
        <v>2382</v>
      </c>
      <c r="H78" s="496"/>
      <c r="I78" s="496"/>
      <c r="J78" s="496"/>
      <c r="K78" s="497"/>
      <c r="L78" s="498"/>
      <c r="M78" s="499"/>
      <c r="N78" s="1064"/>
      <c r="O78" s="1064"/>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4"/>
      <c r="Q79" s="461"/>
    </row>
    <row r="80" spans="1:17" ht="15.75" thickTop="1">
      <c r="A80" s="491"/>
      <c r="B80" s="495" t="s">
        <v>2384</v>
      </c>
      <c r="C80" s="535" t="s">
        <v>2378</v>
      </c>
      <c r="D80" s="535" t="s">
        <v>2379</v>
      </c>
      <c r="E80" s="535" t="s">
        <v>2380</v>
      </c>
      <c r="F80" s="535" t="s">
        <v>2381</v>
      </c>
      <c r="G80" s="535" t="s">
        <v>2382</v>
      </c>
      <c r="H80" s="496"/>
      <c r="I80" s="496"/>
      <c r="J80" s="496"/>
      <c r="K80" s="497"/>
      <c r="L80" s="498"/>
      <c r="M80" s="499"/>
      <c r="N80" s="1064"/>
      <c r="O80" s="1064"/>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4"/>
      <c r="Q81" s="461"/>
    </row>
    <row r="82" spans="1:17" ht="15.75" thickTop="1">
      <c r="A82" s="491"/>
      <c r="B82" s="503" t="s">
        <v>1945</v>
      </c>
      <c r="C82" s="496" t="s">
        <v>2385</v>
      </c>
      <c r="D82" s="496" t="s">
        <v>2386</v>
      </c>
      <c r="E82" s="496" t="s">
        <v>2387</v>
      </c>
      <c r="F82" s="496" t="s">
        <v>2388</v>
      </c>
      <c r="G82" s="496" t="s">
        <v>2389</v>
      </c>
      <c r="H82" s="496"/>
      <c r="I82" s="496"/>
      <c r="J82" s="496"/>
      <c r="K82" s="496"/>
      <c r="L82" s="496"/>
      <c r="M82" s="1291"/>
      <c r="N82" s="1065"/>
      <c r="O82" s="1065"/>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4"/>
      <c r="Q83" s="461"/>
    </row>
    <row r="84" spans="1:17" ht="15.75" thickTop="1">
      <c r="A84" s="491"/>
      <c r="B84" s="495" t="s">
        <v>2390</v>
      </c>
      <c r="C84" s="535" t="s">
        <v>2378</v>
      </c>
      <c r="D84" s="535" t="s">
        <v>2379</v>
      </c>
      <c r="E84" s="535" t="s">
        <v>2380</v>
      </c>
      <c r="F84" s="535" t="s">
        <v>2381</v>
      </c>
      <c r="G84" s="535" t="s">
        <v>2382</v>
      </c>
      <c r="H84" s="496"/>
      <c r="I84" s="496"/>
      <c r="J84" s="496"/>
      <c r="K84" s="497"/>
      <c r="L84" s="498"/>
      <c r="M84" s="499"/>
      <c r="N84" s="1064"/>
      <c r="O84" s="1064"/>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4"/>
      <c r="Q85" s="461"/>
    </row>
    <row r="86" spans="1:17" s="113" customFormat="1" ht="15.75" thickTop="1">
      <c r="A86" s="536"/>
      <c r="B86" s="495" t="s">
        <v>2391</v>
      </c>
      <c r="C86" s="511"/>
      <c r="D86" s="511"/>
      <c r="E86" s="511"/>
      <c r="F86" s="511"/>
      <c r="G86" s="511"/>
      <c r="H86" s="511"/>
      <c r="I86" s="511"/>
      <c r="J86" s="511"/>
      <c r="K86" s="511"/>
      <c r="L86" s="537"/>
      <c r="M86" s="538"/>
      <c r="N86" s="1063"/>
      <c r="O86" s="1063"/>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4"/>
      <c r="Q87" s="461"/>
    </row>
    <row r="88" spans="1:17" s="113" customFormat="1" ht="15.75" thickTop="1">
      <c r="A88" s="536"/>
      <c r="B88" s="495" t="s">
        <v>2392</v>
      </c>
      <c r="C88" s="511"/>
      <c r="D88" s="511"/>
      <c r="E88" s="511"/>
      <c r="F88" s="2109"/>
      <c r="G88" s="511"/>
      <c r="H88" s="511"/>
      <c r="I88" s="511"/>
      <c r="J88" s="511"/>
      <c r="K88" s="511"/>
      <c r="L88" s="511"/>
      <c r="M88" s="538"/>
      <c r="N88" s="1063"/>
      <c r="O88" s="1063"/>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4"/>
      <c r="Q89" s="461"/>
    </row>
    <row r="90" spans="1:17" s="430" customFormat="1" ht="15.75" thickTop="1">
      <c r="A90" s="510"/>
      <c r="B90" s="495">
        <f>B27</f>
        <v>111</v>
      </c>
      <c r="C90" s="511"/>
      <c r="D90" s="511"/>
      <c r="E90" s="511"/>
      <c r="F90" s="511"/>
      <c r="G90" s="511"/>
      <c r="H90" s="512"/>
      <c r="I90" s="512"/>
      <c r="J90" s="512"/>
      <c r="K90" s="512"/>
      <c r="L90" s="513"/>
      <c r="M90" s="514"/>
      <c r="N90" s="1066"/>
      <c r="O90" s="1066"/>
      <c r="P90" s="2105"/>
      <c r="Q90" s="516"/>
    </row>
    <row r="91" spans="1:17" s="430" customFormat="1" ht="15.75" thickBot="1">
      <c r="A91" s="510"/>
      <c r="B91" s="500"/>
      <c r="C91" s="517"/>
      <c r="D91" s="517"/>
      <c r="E91" s="517"/>
      <c r="F91" s="517"/>
      <c r="G91" s="517"/>
      <c r="H91" s="519"/>
      <c r="I91" s="519"/>
      <c r="J91" s="519"/>
      <c r="K91" s="519"/>
      <c r="L91" s="519"/>
      <c r="M91" s="520"/>
      <c r="N91" s="1066"/>
      <c r="O91" s="1066"/>
      <c r="P91" s="2105"/>
      <c r="Q91" s="516"/>
    </row>
    <row r="92" spans="1:17" ht="15.75" thickTop="1">
      <c r="A92" s="491"/>
      <c r="B92" s="495">
        <f>B28</f>
        <v>111</v>
      </c>
      <c r="C92" s="511"/>
      <c r="D92" s="511"/>
      <c r="E92" s="511"/>
      <c r="F92" s="511"/>
      <c r="G92" s="540"/>
      <c r="H92" s="540"/>
      <c r="I92" s="540"/>
      <c r="J92" s="540"/>
      <c r="K92" s="541"/>
      <c r="L92" s="542"/>
      <c r="M92" s="543"/>
      <c r="N92" s="1064"/>
      <c r="O92" s="1064"/>
      <c r="P92" s="2104"/>
      <c r="Q92" s="461"/>
    </row>
    <row r="93" spans="1:17" ht="15.75" thickBot="1">
      <c r="A93" s="491"/>
      <c r="B93" s="500"/>
      <c r="C93" s="517"/>
      <c r="D93" s="493"/>
      <c r="E93" s="493"/>
      <c r="F93" s="493"/>
      <c r="G93" s="493"/>
      <c r="H93" s="493"/>
      <c r="I93" s="493"/>
      <c r="J93" s="493"/>
      <c r="K93" s="493"/>
      <c r="L93" s="493"/>
      <c r="M93" s="494"/>
      <c r="N93" s="1065"/>
      <c r="O93" s="1065"/>
      <c r="P93" s="2104"/>
      <c r="Q93" s="461"/>
    </row>
    <row r="94" spans="1:17" ht="15.75" thickTop="1">
      <c r="A94" s="491"/>
      <c r="B94" s="495">
        <f>B29</f>
        <v>111</v>
      </c>
      <c r="C94" s="511"/>
      <c r="D94" s="511"/>
      <c r="E94" s="511"/>
      <c r="F94" s="511"/>
      <c r="G94" s="540"/>
      <c r="H94" s="540"/>
      <c r="I94" s="540"/>
      <c r="J94" s="540"/>
      <c r="K94" s="541"/>
      <c r="L94" s="542"/>
      <c r="M94" s="543"/>
      <c r="N94" s="1064"/>
      <c r="O94" s="1064"/>
      <c r="P94" s="2104"/>
      <c r="Q94" s="461"/>
    </row>
    <row r="95" spans="1:17" ht="15.75" thickBot="1">
      <c r="A95" s="491"/>
      <c r="B95" s="500"/>
      <c r="C95" s="517"/>
      <c r="D95" s="517"/>
      <c r="E95" s="517"/>
      <c r="F95" s="517"/>
      <c r="G95" s="493"/>
      <c r="H95" s="493"/>
      <c r="I95" s="493"/>
      <c r="J95" s="493"/>
      <c r="K95" s="493"/>
      <c r="L95" s="493"/>
      <c r="M95" s="494"/>
      <c r="N95" s="1065"/>
      <c r="O95" s="1065"/>
      <c r="P95" s="2104"/>
      <c r="Q95" s="461"/>
    </row>
    <row r="96" spans="1:17" ht="15.75" thickTop="1">
      <c r="A96" s="491"/>
      <c r="B96" s="495">
        <f>B30</f>
        <v>111</v>
      </c>
      <c r="C96" s="511"/>
      <c r="D96" s="511"/>
      <c r="E96" s="511"/>
      <c r="F96" s="511"/>
      <c r="G96" s="540"/>
      <c r="H96" s="540"/>
      <c r="I96" s="540"/>
      <c r="J96" s="540"/>
      <c r="K96" s="541"/>
      <c r="L96" s="542"/>
      <c r="M96" s="543"/>
      <c r="N96" s="1064"/>
      <c r="O96" s="1064"/>
      <c r="P96" s="2104"/>
      <c r="Q96" s="461"/>
    </row>
    <row r="97" spans="1:17" ht="15.75" thickBot="1">
      <c r="A97" s="491"/>
      <c r="B97" s="500"/>
      <c r="C97" s="527"/>
      <c r="D97" s="527"/>
      <c r="E97" s="527"/>
      <c r="F97" s="527"/>
      <c r="G97" s="493"/>
      <c r="H97" s="493"/>
      <c r="I97" s="493"/>
      <c r="J97" s="493"/>
      <c r="K97" s="493"/>
      <c r="L97" s="493"/>
      <c r="M97" s="494"/>
      <c r="N97" s="1065"/>
      <c r="O97" s="1065"/>
      <c r="P97" s="2104"/>
      <c r="Q97" s="461"/>
    </row>
    <row r="98" spans="1:17" ht="15.75" thickTop="1">
      <c r="A98" s="491"/>
      <c r="B98" s="503">
        <f>B31</f>
        <v>111</v>
      </c>
      <c r="C98" s="544"/>
      <c r="D98" s="544"/>
      <c r="E98" s="544"/>
      <c r="F98" s="544"/>
      <c r="G98" s="544"/>
      <c r="H98" s="544"/>
      <c r="I98" s="544"/>
      <c r="J98" s="544"/>
      <c r="K98" s="545"/>
      <c r="L98" s="546"/>
      <c r="M98" s="547"/>
      <c r="N98" s="1064"/>
      <c r="O98" s="1064"/>
      <c r="P98" s="2104"/>
      <c r="Q98" s="461"/>
    </row>
    <row r="99" spans="1:17" ht="15.75" thickBot="1">
      <c r="A99" s="2110"/>
      <c r="B99" s="526"/>
      <c r="C99" s="548"/>
      <c r="D99" s="548"/>
      <c r="E99" s="548"/>
      <c r="F99" s="548"/>
      <c r="G99" s="548"/>
      <c r="H99" s="548"/>
      <c r="I99" s="548"/>
      <c r="J99" s="548"/>
      <c r="K99" s="548"/>
      <c r="L99" s="548"/>
      <c r="M99" s="549"/>
      <c r="N99" s="1065"/>
      <c r="O99" s="1065"/>
      <c r="P99" s="2104"/>
      <c r="Q99" s="461"/>
    </row>
    <row r="100" spans="1:17">
      <c r="A100" s="484" t="s">
        <v>2344</v>
      </c>
      <c r="B100" s="485" t="s">
        <v>2393</v>
      </c>
      <c r="C100" s="487"/>
      <c r="D100" s="487"/>
      <c r="E100" s="487"/>
      <c r="F100" s="487"/>
      <c r="G100" s="487"/>
      <c r="H100" s="487"/>
      <c r="I100" s="487"/>
      <c r="J100" s="487"/>
      <c r="K100" s="488"/>
      <c r="L100" s="489"/>
      <c r="M100" s="490"/>
      <c r="N100" s="1064"/>
      <c r="O100" s="1064"/>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4"/>
      <c r="Q101" s="461"/>
    </row>
    <row r="102" spans="1:17" ht="15.75" thickTop="1">
      <c r="A102" s="491"/>
      <c r="B102" s="495" t="s">
        <v>2394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4"/>
      <c r="Q102" s="461"/>
    </row>
    <row r="103" spans="1:17" s="430" customFormat="1">
      <c r="A103" s="550"/>
      <c r="B103" s="551"/>
      <c r="C103" s="552"/>
      <c r="D103" s="552"/>
      <c r="E103" s="552"/>
      <c r="F103" s="552"/>
      <c r="G103" s="552"/>
      <c r="H103" s="552"/>
      <c r="I103" s="552"/>
      <c r="J103" s="553"/>
      <c r="K103" s="553"/>
      <c r="L103" s="554"/>
      <c r="M103" s="555"/>
      <c r="N103" s="1066"/>
      <c r="O103" s="1066"/>
      <c r="P103" s="2105"/>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5"/>
      <c r="Q104" s="516"/>
    </row>
    <row r="105" spans="1:17" ht="15" thickTop="1">
      <c r="A105" s="556"/>
      <c r="B105" s="495" t="s">
        <v>2395</v>
      </c>
      <c r="C105" s="511"/>
      <c r="D105" s="511"/>
      <c r="E105" s="540"/>
      <c r="F105" s="540"/>
      <c r="G105" s="540"/>
      <c r="H105" s="540"/>
      <c r="I105" s="540"/>
      <c r="J105" s="540"/>
      <c r="K105" s="541"/>
      <c r="L105" s="542"/>
      <c r="M105" s="543"/>
      <c r="N105" s="1064"/>
      <c r="O105" s="1064"/>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4"/>
      <c r="Q106" s="461"/>
    </row>
    <row r="107" spans="1:17" ht="15" thickTop="1">
      <c r="A107" s="556"/>
      <c r="B107" s="495" t="s">
        <v>2396</v>
      </c>
      <c r="C107" s="540"/>
      <c r="D107" s="540"/>
      <c r="E107" s="540"/>
      <c r="F107" s="540"/>
      <c r="G107" s="540"/>
      <c r="H107" s="540"/>
      <c r="I107" s="540"/>
      <c r="J107" s="540"/>
      <c r="K107" s="541"/>
      <c r="L107" s="542"/>
      <c r="M107" s="543"/>
      <c r="N107" s="1064"/>
      <c r="O107" s="1064"/>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4"/>
      <c r="Q108" s="461"/>
    </row>
    <row r="109" spans="1:17" ht="15" thickTop="1">
      <c r="A109" s="556"/>
      <c r="B109" s="495" t="s">
        <v>2397</v>
      </c>
      <c r="C109" s="511"/>
      <c r="D109" s="511"/>
      <c r="E109" s="511"/>
      <c r="F109" s="540"/>
      <c r="G109" s="540"/>
      <c r="H109" s="540"/>
      <c r="I109" s="540"/>
      <c r="J109" s="540"/>
      <c r="K109" s="541"/>
      <c r="L109" s="542"/>
      <c r="M109" s="543"/>
      <c r="N109" s="1064"/>
      <c r="O109" s="1064"/>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5"/>
      <c r="Q113" s="516"/>
    </row>
    <row r="114" spans="1:17" ht="15" thickTop="1">
      <c r="A114" s="556"/>
      <c r="B114" s="495" t="s">
        <v>2398</v>
      </c>
      <c r="C114" s="511"/>
      <c r="D114" s="511"/>
      <c r="E114" s="540"/>
      <c r="F114" s="540"/>
      <c r="G114" s="540"/>
      <c r="H114" s="540"/>
      <c r="I114" s="540"/>
      <c r="J114" s="540"/>
      <c r="K114" s="541"/>
      <c r="L114" s="542"/>
      <c r="M114" s="543"/>
      <c r="N114" s="1064"/>
      <c r="O114" s="1064"/>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4"/>
      <c r="Q115" s="461"/>
    </row>
    <row r="116" spans="1:17" ht="15" thickTop="1">
      <c r="A116" s="556"/>
      <c r="B116" s="495" t="s">
        <v>2399</v>
      </c>
      <c r="C116" s="511"/>
      <c r="D116" s="511"/>
      <c r="E116" s="511"/>
      <c r="F116" s="511"/>
      <c r="G116" s="511"/>
      <c r="H116" s="540"/>
      <c r="I116" s="540"/>
      <c r="J116" s="540"/>
      <c r="K116" s="541"/>
      <c r="L116" s="542"/>
      <c r="M116" s="543"/>
      <c r="N116" s="1064"/>
      <c r="O116" s="1064"/>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4"/>
      <c r="Q117" s="461"/>
    </row>
    <row r="118" spans="1:17" ht="15" thickTop="1">
      <c r="A118" s="556"/>
      <c r="B118" s="495" t="s">
        <v>2400</v>
      </c>
      <c r="C118" s="540"/>
      <c r="D118" s="540"/>
      <c r="E118" s="540"/>
      <c r="F118" s="540"/>
      <c r="G118" s="540"/>
      <c r="H118" s="540"/>
      <c r="I118" s="540"/>
      <c r="J118" s="540"/>
      <c r="K118" s="541"/>
      <c r="L118" s="542"/>
      <c r="M118" s="543"/>
      <c r="N118" s="1064"/>
      <c r="O118" s="1064"/>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4"/>
      <c r="Q119" s="461"/>
    </row>
    <row r="120" spans="1:17" s="430" customFormat="1" ht="28.5" thickTop="1">
      <c r="A120" s="550"/>
      <c r="B120" s="495" t="s">
        <v>2355</v>
      </c>
      <c r="C120" s="511"/>
      <c r="D120" s="511"/>
      <c r="E120" s="511"/>
      <c r="F120" s="511"/>
      <c r="G120" s="511"/>
      <c r="H120" s="511"/>
      <c r="I120" s="511"/>
      <c r="J120" s="511"/>
      <c r="K120" s="511"/>
      <c r="L120" s="537"/>
      <c r="M120" s="538"/>
      <c r="N120" s="1066"/>
      <c r="O120" s="1066"/>
      <c r="P120" s="2105"/>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5"/>
      <c r="Q121" s="516"/>
    </row>
    <row r="122" spans="1:17" ht="15" thickTop="1">
      <c r="A122" s="556"/>
      <c r="B122" s="495" t="s">
        <v>2401</v>
      </c>
      <c r="C122" s="511"/>
      <c r="D122" s="511"/>
      <c r="E122" s="511"/>
      <c r="F122" s="540"/>
      <c r="G122" s="540"/>
      <c r="H122" s="540"/>
      <c r="I122" s="540"/>
      <c r="J122" s="540"/>
      <c r="K122" s="541"/>
      <c r="L122" s="542"/>
      <c r="M122" s="543"/>
      <c r="N122" s="1064"/>
      <c r="O122" s="1064"/>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4"/>
      <c r="Q123" s="461"/>
    </row>
    <row r="124" spans="1:17" ht="15" thickTop="1">
      <c r="A124" s="556"/>
      <c r="B124" s="495" t="s">
        <v>2402</v>
      </c>
      <c r="C124" s="535" t="s">
        <v>2378</v>
      </c>
      <c r="D124" s="535" t="s">
        <v>2379</v>
      </c>
      <c r="E124" s="535" t="s">
        <v>2380</v>
      </c>
      <c r="F124" s="535" t="s">
        <v>2381</v>
      </c>
      <c r="G124" s="535" t="s">
        <v>2382</v>
      </c>
      <c r="H124" s="496"/>
      <c r="I124" s="496"/>
      <c r="J124" s="496"/>
      <c r="K124" s="497"/>
      <c r="L124" s="498"/>
      <c r="M124" s="499"/>
      <c r="N124" s="1064"/>
      <c r="O124" s="1064"/>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4"/>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5"/>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5"/>
      <c r="Q127" s="516"/>
    </row>
    <row r="128" spans="1:17" ht="15" thickTop="1">
      <c r="A128" s="556"/>
      <c r="B128" s="495">
        <f>B45</f>
        <v>111</v>
      </c>
      <c r="C128" s="511"/>
      <c r="D128" s="511"/>
      <c r="E128" s="511"/>
      <c r="F128" s="511"/>
      <c r="G128" s="540"/>
      <c r="H128" s="540"/>
      <c r="I128" s="540"/>
      <c r="J128" s="540"/>
      <c r="K128" s="541"/>
      <c r="L128" s="542"/>
      <c r="M128" s="543"/>
      <c r="N128" s="1064"/>
      <c r="O128" s="1064"/>
      <c r="P128" s="2104"/>
      <c r="Q128" s="461"/>
    </row>
    <row r="129" spans="1:17" ht="15.75" thickBot="1">
      <c r="A129" s="491"/>
      <c r="B129" s="500"/>
      <c r="C129" s="517"/>
      <c r="D129" s="517"/>
      <c r="E129" s="517"/>
      <c r="F129" s="517"/>
      <c r="G129" s="493"/>
      <c r="H129" s="493"/>
      <c r="I129" s="493"/>
      <c r="J129" s="493"/>
      <c r="K129" s="493"/>
      <c r="L129" s="493"/>
      <c r="M129" s="494"/>
      <c r="N129" s="1065"/>
      <c r="O129" s="1065"/>
      <c r="P129" s="2104"/>
      <c r="Q129" s="461"/>
    </row>
    <row r="130" spans="1:17" ht="15" thickTop="1">
      <c r="A130" s="556"/>
      <c r="B130" s="503">
        <f>B46</f>
        <v>111</v>
      </c>
      <c r="C130" s="511"/>
      <c r="D130" s="511"/>
      <c r="E130" s="511"/>
      <c r="F130" s="511"/>
      <c r="G130" s="544"/>
      <c r="H130" s="544"/>
      <c r="I130" s="544"/>
      <c r="J130" s="544"/>
      <c r="K130" s="480"/>
      <c r="L130" s="481"/>
      <c r="M130" s="547"/>
      <c r="N130" s="1064"/>
      <c r="O130" s="1064"/>
      <c r="P130" s="2104"/>
      <c r="Q130" s="461"/>
    </row>
    <row r="131" spans="1:17" ht="15.75" thickBot="1">
      <c r="A131" s="2110"/>
      <c r="B131" s="526"/>
      <c r="C131" s="527"/>
      <c r="D131" s="527"/>
      <c r="E131" s="527"/>
      <c r="F131" s="527"/>
      <c r="G131" s="548"/>
      <c r="H131" s="548"/>
      <c r="I131" s="548"/>
      <c r="J131" s="548"/>
      <c r="K131" s="548"/>
      <c r="L131" s="548"/>
      <c r="M131" s="549"/>
      <c r="N131" s="1065"/>
      <c r="O131" s="1065"/>
      <c r="P131" s="2104"/>
      <c r="Q131" s="461"/>
    </row>
    <row r="136" spans="1:17" ht="15" thickBot="1">
      <c r="B136" s="2111" t="s">
        <v>2403</v>
      </c>
    </row>
    <row r="137" spans="1:17" ht="15">
      <c r="B137" s="2112" t="s">
        <v>2404</v>
      </c>
      <c r="C137" s="2113"/>
      <c r="D137" s="2113"/>
      <c r="E137" s="2113"/>
      <c r="F137" s="2113"/>
      <c r="G137" s="2114"/>
      <c r="H137" s="2115"/>
      <c r="I137" s="2116" t="s">
        <v>2405</v>
      </c>
      <c r="J137" s="2113"/>
      <c r="K137" s="2117"/>
    </row>
    <row r="138" spans="1:17" ht="15">
      <c r="B138" s="2118"/>
      <c r="C138" s="142" t="s">
        <v>2406</v>
      </c>
      <c r="D138" s="142" t="s">
        <v>2407</v>
      </c>
      <c r="E138" s="2119" t="s">
        <v>2408</v>
      </c>
      <c r="F138" s="2120" t="s">
        <v>2409</v>
      </c>
      <c r="G138" s="142" t="s">
        <v>2407</v>
      </c>
      <c r="H138" s="143" t="s">
        <v>2408</v>
      </c>
      <c r="I138" s="2121"/>
      <c r="J138" s="142" t="s">
        <v>2410</v>
      </c>
      <c r="K138" s="143" t="s">
        <v>2411</v>
      </c>
    </row>
    <row r="139" spans="1:17" ht="15">
      <c r="B139" s="998">
        <v>6</v>
      </c>
      <c r="C139" s="999">
        <v>96</v>
      </c>
      <c r="D139" s="2122" t="s">
        <v>2412</v>
      </c>
      <c r="E139" s="1000">
        <v>100</v>
      </c>
      <c r="F139" s="1001">
        <v>102.5</v>
      </c>
      <c r="G139" s="2122" t="s">
        <v>2412</v>
      </c>
      <c r="H139" s="1002">
        <v>105</v>
      </c>
      <c r="I139" s="2123" t="s">
        <v>2413</v>
      </c>
      <c r="J139" s="999">
        <v>20</v>
      </c>
      <c r="K139" s="1003">
        <f>C145/(J139-2)</f>
        <v>4.0555555555555553E-3</v>
      </c>
    </row>
    <row r="140" spans="1:17" ht="15">
      <c r="B140" s="1004">
        <v>5</v>
      </c>
      <c r="C140" s="1005">
        <v>100</v>
      </c>
      <c r="D140" s="1005"/>
      <c r="E140" s="1006"/>
      <c r="F140" s="1007">
        <v>102</v>
      </c>
      <c r="G140" s="1005"/>
      <c r="H140" s="1008"/>
      <c r="I140" s="2124" t="s">
        <v>2414</v>
      </c>
      <c r="J140" s="277">
        <f>ROUNDUP((J139-1)/2,0)</f>
        <v>10</v>
      </c>
      <c r="K140" s="1009">
        <v>100</v>
      </c>
    </row>
    <row r="141" spans="1:17" ht="15">
      <c r="B141" s="1004">
        <v>4</v>
      </c>
      <c r="C141" s="1005">
        <v>102</v>
      </c>
      <c r="D141" s="1005"/>
      <c r="E141" s="1006"/>
      <c r="F141" s="1007">
        <v>101.5</v>
      </c>
      <c r="G141" s="1005"/>
      <c r="H141" s="1008"/>
      <c r="I141" s="2124" t="s">
        <v>2415</v>
      </c>
      <c r="J141" s="277">
        <v>1</v>
      </c>
      <c r="K141" s="1010">
        <f>ROUND(100+(J141-J140)*K139*100,1)</f>
        <v>96.4</v>
      </c>
    </row>
    <row r="142" spans="1:17" ht="15">
      <c r="B142" s="1004">
        <v>3</v>
      </c>
      <c r="C142" s="1005">
        <v>103</v>
      </c>
      <c r="D142" s="1005"/>
      <c r="E142" s="1006"/>
      <c r="F142" s="1007">
        <v>101</v>
      </c>
      <c r="G142" s="1005"/>
      <c r="H142" s="1008"/>
      <c r="I142" s="2124" t="s">
        <v>2416</v>
      </c>
      <c r="J142" s="277">
        <f>J139</f>
        <v>20</v>
      </c>
      <c r="K142" s="1011">
        <v>95</v>
      </c>
    </row>
    <row r="143" spans="1:17" ht="15">
      <c r="B143" s="1004">
        <v>2</v>
      </c>
      <c r="C143" s="1005">
        <v>100</v>
      </c>
      <c r="D143" s="1005"/>
      <c r="E143" s="1006"/>
      <c r="F143" s="1007">
        <v>100.5</v>
      </c>
      <c r="G143" s="1005"/>
      <c r="H143" s="1008"/>
      <c r="I143" s="2124" t="s">
        <v>2417</v>
      </c>
      <c r="J143" s="1005">
        <v>15</v>
      </c>
      <c r="K143" s="1010">
        <f>ROUND(100+(J143-J140)*K139*100,1)</f>
        <v>102</v>
      </c>
    </row>
    <row r="144" spans="1:17" ht="15">
      <c r="B144" s="1004">
        <v>1</v>
      </c>
      <c r="C144" s="1005">
        <v>98</v>
      </c>
      <c r="D144" s="2125" t="s">
        <v>2418</v>
      </c>
      <c r="E144" s="1006">
        <v>102</v>
      </c>
      <c r="F144" s="1012">
        <v>100</v>
      </c>
      <c r="G144" s="2125" t="s">
        <v>2418</v>
      </c>
      <c r="H144" s="1008">
        <v>105</v>
      </c>
      <c r="I144" s="2124" t="s">
        <v>2417</v>
      </c>
      <c r="J144" s="1005">
        <v>18</v>
      </c>
      <c r="K144" s="1010">
        <f>ROUND(100+(J144-J140)*K139*100,1)</f>
        <v>103.2</v>
      </c>
    </row>
    <row r="145" spans="2:11" ht="15.75" thickBot="1">
      <c r="B145" s="2126" t="s">
        <v>2419</v>
      </c>
      <c r="C145" s="1013">
        <f>ROUND(MAX(C139:C144)/MIN(C139:C144)-1,3)</f>
        <v>7.2999999999999995E-2</v>
      </c>
      <c r="D145" s="1014"/>
      <c r="E145" s="1014"/>
      <c r="F145" s="2127" t="s">
        <v>2420</v>
      </c>
      <c r="G145" s="2128"/>
      <c r="H145" s="2129"/>
      <c r="I145" s="2130" t="s">
        <v>2417</v>
      </c>
      <c r="J145" s="1015">
        <v>8</v>
      </c>
      <c r="K145" s="1016">
        <f>ROUND(100+(J145-J140)*K139*100,1)</f>
        <v>99.2</v>
      </c>
    </row>
    <row r="147" spans="2:11">
      <c r="B147" s="2111" t="s">
        <v>2421</v>
      </c>
    </row>
    <row r="148" spans="2:11">
      <c r="B148" s="2111" t="s">
        <v>2422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060" t="s">
        <v>2423</v>
      </c>
      <c r="C1" s="1405" t="s">
        <v>2311</v>
      </c>
      <c r="D1" s="1392"/>
      <c r="E1" s="2539"/>
      <c r="F1" s="2061"/>
      <c r="G1" s="1402" t="s">
        <v>2424</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2146</v>
      </c>
      <c r="B2" s="1325" t="e">
        <f ca="1">IF(C2="——",ROUND(C49*D3/10000,0),ROUND(C49*D3/10000,0)-D2)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2134"/>
      <c r="Q2" s="1043"/>
      <c r="R2" s="1043"/>
      <c r="S2" s="1043"/>
      <c r="T2" s="1043"/>
      <c r="U2" s="1043"/>
      <c r="V2" s="1043"/>
      <c r="W2" s="1043"/>
      <c r="X2" s="1043"/>
      <c r="Y2" s="1043"/>
      <c r="Z2" s="1043"/>
      <c r="AA2" s="1043"/>
      <c r="AB2" s="1043"/>
      <c r="AC2" s="2135"/>
    </row>
    <row r="3" spans="1:29" s="358" customFormat="1" ht="28.5" customHeight="1" thickBot="1">
      <c r="A3" s="209" t="s">
        <v>2148</v>
      </c>
      <c r="B3" s="566" t="e">
        <f ca="1">IF(C2="——",C49,ROUND(B2*10000/D3,0))</f>
        <v>#DIV/0!</v>
      </c>
      <c r="C3" s="360" t="s">
        <v>2425</v>
      </c>
      <c r="D3" s="359">
        <f>IF(D1="",'数据-汇总表'!E3,SUMIF('数据-汇总表'!$C19:$C33,D1,'数据-汇总表'!$E19:$E33))</f>
        <v>130002.77000000002</v>
      </c>
      <c r="E3" s="2136"/>
      <c r="F3" s="1040"/>
      <c r="G3" s="1039"/>
      <c r="H3" s="1039"/>
      <c r="I3" s="1039"/>
      <c r="J3" s="1039"/>
      <c r="K3" s="1041"/>
      <c r="L3" s="2954"/>
      <c r="M3" s="2955"/>
      <c r="N3" s="2955"/>
      <c r="O3" s="2955"/>
      <c r="P3" s="2134"/>
      <c r="Q3" s="1043"/>
      <c r="R3" s="1043"/>
      <c r="S3" s="1043"/>
      <c r="T3" s="1043"/>
      <c r="U3" s="1043"/>
      <c r="V3" s="1043"/>
      <c r="W3" s="1043"/>
      <c r="X3" s="1043"/>
      <c r="Y3" s="1043"/>
      <c r="Z3" s="1043"/>
      <c r="AA3" s="1043"/>
      <c r="AB3" s="1043"/>
      <c r="AC3" s="2136"/>
    </row>
    <row r="4" spans="1:29" ht="15">
      <c r="A4" s="361" t="s">
        <v>2426</v>
      </c>
      <c r="B4" s="362"/>
      <c r="C4" s="3402" t="s">
        <v>2427</v>
      </c>
      <c r="D4" s="3403"/>
      <c r="E4" s="3404" t="s">
        <v>2428</v>
      </c>
      <c r="F4" s="3405"/>
      <c r="G4" s="3402" t="s">
        <v>2429</v>
      </c>
      <c r="H4" s="3403"/>
      <c r="I4" s="3402" t="s">
        <v>2430</v>
      </c>
      <c r="J4" s="3403"/>
      <c r="K4" s="567" t="s">
        <v>2431</v>
      </c>
      <c r="L4" s="2935"/>
      <c r="M4" s="2936"/>
      <c r="N4" s="2936"/>
      <c r="O4" s="2936"/>
      <c r="P4" s="3406" t="s">
        <v>2432</v>
      </c>
      <c r="Q4" s="3407"/>
      <c r="R4" s="3389" t="s">
        <v>2428</v>
      </c>
      <c r="S4" s="3390"/>
      <c r="T4" s="3389" t="s">
        <v>2429</v>
      </c>
      <c r="U4" s="3390"/>
      <c r="V4" s="3414" t="s">
        <v>2430</v>
      </c>
      <c r="W4" s="3414"/>
      <c r="X4" s="1538"/>
      <c r="Y4" s="3389" t="s">
        <v>2432</v>
      </c>
      <c r="Z4" s="3390"/>
      <c r="AA4" s="3384" t="s">
        <v>2428</v>
      </c>
      <c r="AB4" s="3414" t="s">
        <v>2429</v>
      </c>
      <c r="AC4" s="3384" t="s">
        <v>2430</v>
      </c>
    </row>
    <row r="5" spans="1:29" ht="15">
      <c r="A5" s="364"/>
      <c r="B5" s="365"/>
      <c r="C5" s="3395" t="s">
        <v>2323</v>
      </c>
      <c r="D5" s="3396"/>
      <c r="E5" s="3393" t="s">
        <v>2324</v>
      </c>
      <c r="F5" s="3394"/>
      <c r="G5" s="3395" t="s">
        <v>2325</v>
      </c>
      <c r="H5" s="3396"/>
      <c r="I5" s="3395" t="s">
        <v>2326</v>
      </c>
      <c r="J5" s="3396"/>
      <c r="K5" s="567"/>
      <c r="L5" s="2935"/>
      <c r="M5" s="2936"/>
      <c r="N5" s="2936"/>
      <c r="O5" s="2936"/>
      <c r="P5" s="3408"/>
      <c r="Q5" s="3409"/>
      <c r="R5" s="3391"/>
      <c r="S5" s="3392"/>
      <c r="T5" s="3391"/>
      <c r="U5" s="3392"/>
      <c r="V5" s="3414"/>
      <c r="W5" s="3414"/>
      <c r="X5" s="1538"/>
      <c r="Y5" s="3391"/>
      <c r="Z5" s="3392"/>
      <c r="AA5" s="3385"/>
      <c r="AB5" s="3414"/>
      <c r="AC5" s="3385"/>
    </row>
    <row r="6" spans="1:29" ht="15.75" thickBot="1">
      <c r="A6" s="366"/>
      <c r="B6" s="367"/>
      <c r="C6" s="3397" t="s">
        <v>2327</v>
      </c>
      <c r="D6" s="3398"/>
      <c r="E6" s="3399" t="s">
        <v>2327</v>
      </c>
      <c r="F6" s="3400"/>
      <c r="G6" s="3397" t="s">
        <v>2327</v>
      </c>
      <c r="H6" s="3398"/>
      <c r="I6" s="3397" t="s">
        <v>2327</v>
      </c>
      <c r="J6" s="3398"/>
      <c r="K6" s="567" t="s">
        <v>2328</v>
      </c>
      <c r="L6" s="2935"/>
      <c r="M6" s="2936"/>
      <c r="N6" s="2936"/>
      <c r="O6" s="2936"/>
      <c r="P6" s="3410"/>
      <c r="Q6" s="3411"/>
      <c r="R6" s="3391"/>
      <c r="S6" s="3392"/>
      <c r="T6" s="3412"/>
      <c r="U6" s="3413"/>
      <c r="V6" s="3414"/>
      <c r="W6" s="3414"/>
      <c r="X6" s="1538"/>
      <c r="Y6" s="3412"/>
      <c r="Z6" s="3413"/>
      <c r="AA6" s="3386"/>
      <c r="AB6" s="3414"/>
      <c r="AC6" s="3386"/>
    </row>
    <row r="7" spans="1:29" s="113" customFormat="1" ht="15.75" thickBot="1">
      <c r="A7" s="368" t="s">
        <v>2329</v>
      </c>
      <c r="B7" s="369"/>
      <c r="C7" s="370">
        <f>'数据-取费表'!B2</f>
        <v>44314</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87" t="s">
        <v>2330</v>
      </c>
      <c r="Q7" s="3415"/>
      <c r="R7" s="710" t="s">
        <v>17</v>
      </c>
      <c r="S7" s="711">
        <f t="shared" ref="S7:S15" si="0">F7</f>
        <v>0</v>
      </c>
      <c r="T7" s="710" t="s">
        <v>17</v>
      </c>
      <c r="U7" s="711">
        <f t="shared" ref="U7:U15" si="1">H7</f>
        <v>0</v>
      </c>
      <c r="V7" s="710" t="s">
        <v>17</v>
      </c>
      <c r="W7" s="711">
        <f t="shared" ref="W7:W15" si="2">J7</f>
        <v>0</v>
      </c>
      <c r="X7" s="712"/>
      <c r="Y7" s="3387" t="s">
        <v>2330</v>
      </c>
      <c r="Z7" s="3388"/>
      <c r="AA7" s="713" t="e">
        <f>D7/F7</f>
        <v>#DIV/0!</v>
      </c>
      <c r="AB7" s="713" t="e">
        <f>D7/H7</f>
        <v>#DIV/0!</v>
      </c>
      <c r="AC7" s="713" t="e">
        <f>D7/J7</f>
        <v>#DIV/0!</v>
      </c>
    </row>
    <row r="8" spans="1:29" s="113" customFormat="1" ht="15.75" thickBot="1">
      <c r="A8" s="368" t="s">
        <v>2331</v>
      </c>
      <c r="B8" s="369"/>
      <c r="C8" s="374" t="s">
        <v>2433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87" t="s">
        <v>2333</v>
      </c>
      <c r="Q8" s="3388"/>
      <c r="R8" s="710" t="s">
        <v>17</v>
      </c>
      <c r="S8" s="711">
        <f t="shared" si="0"/>
        <v>0</v>
      </c>
      <c r="T8" s="710" t="s">
        <v>17</v>
      </c>
      <c r="U8" s="711">
        <f t="shared" si="1"/>
        <v>0</v>
      </c>
      <c r="V8" s="710" t="s">
        <v>17</v>
      </c>
      <c r="W8" s="711">
        <f t="shared" si="2"/>
        <v>0</v>
      </c>
      <c r="X8" s="712"/>
      <c r="Y8" s="3387" t="s">
        <v>2333</v>
      </c>
      <c r="Z8" s="3388"/>
      <c r="AA8" s="713" t="e">
        <f t="shared" ref="AA8:AA46" si="3">D8/F8</f>
        <v>#DIV/0!</v>
      </c>
      <c r="AB8" s="713" t="e">
        <f t="shared" ref="AB8:AB46" si="4">D8/H8</f>
        <v>#DIV/0!</v>
      </c>
      <c r="AC8" s="713" t="e">
        <f t="shared" ref="AC8:AC46" si="5">D8/J8</f>
        <v>#DIV/0!</v>
      </c>
    </row>
    <row r="9" spans="1:29" s="113" customFormat="1">
      <c r="A9" s="375" t="s">
        <v>2334</v>
      </c>
      <c r="B9" s="67" t="s">
        <v>2335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425"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425"/>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425"/>
      <c r="Q11" s="1526"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25"/>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25"/>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25"/>
      <c r="Q14" s="1526">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15">
      <c r="A15" s="399" t="s">
        <v>2340</v>
      </c>
      <c r="B15" s="65" t="s">
        <v>2434</v>
      </c>
      <c r="C15" s="2078">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67" t="s">
        <v>2341</v>
      </c>
      <c r="Q15" s="1535" t="str">
        <f t="shared" si="6"/>
        <v>商业繁华度</v>
      </c>
      <c r="R15" s="714" t="s">
        <v>17</v>
      </c>
      <c r="S15" s="715">
        <f t="shared" si="0"/>
        <v>100</v>
      </c>
      <c r="T15" s="714" t="s">
        <v>17</v>
      </c>
      <c r="U15" s="715">
        <f t="shared" si="1"/>
        <v>100</v>
      </c>
      <c r="V15" s="714" t="s">
        <v>17</v>
      </c>
      <c r="W15" s="715">
        <f t="shared" si="2"/>
        <v>100</v>
      </c>
      <c r="X15" s="1538"/>
      <c r="Y15" s="3416" t="s">
        <v>2341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2"/>
      <c r="M16" s="2936"/>
      <c r="N16" s="2936"/>
      <c r="O16" s="2936"/>
      <c r="P16" s="3468"/>
      <c r="Q16" s="1535"/>
      <c r="R16" s="714"/>
      <c r="S16" s="715"/>
      <c r="T16" s="714"/>
      <c r="U16" s="715"/>
      <c r="V16" s="714"/>
      <c r="W16" s="715"/>
      <c r="X16" s="1538"/>
      <c r="Y16" s="3417"/>
      <c r="Z16" s="1539"/>
      <c r="AA16" s="1536">
        <v>1</v>
      </c>
      <c r="AB16" s="1536">
        <v>1</v>
      </c>
      <c r="AC16" s="1536">
        <v>1</v>
      </c>
    </row>
    <row r="17" spans="1:29" ht="128.25">
      <c r="A17" s="387"/>
      <c r="B17" s="410" t="s">
        <v>1944</v>
      </c>
      <c r="C17" s="2082" t="str">
        <f>估价对象房地状况!C6</f>
        <v>估价对象周边道路状况、公共交通通达情况：341、453、555等公交线路及地铁八号线经过、停车便捷程度较好，综合评价交通便捷度较好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68"/>
      <c r="Q17" s="1535" t="str">
        <f>B17</f>
        <v>交通便捷度</v>
      </c>
      <c r="R17" s="714" t="s">
        <v>17</v>
      </c>
      <c r="S17" s="715">
        <f>F17</f>
        <v>100</v>
      </c>
      <c r="T17" s="714" t="s">
        <v>17</v>
      </c>
      <c r="U17" s="715">
        <f>H17</f>
        <v>100</v>
      </c>
      <c r="V17" s="714" t="s">
        <v>17</v>
      </c>
      <c r="W17" s="715">
        <f>J17</f>
        <v>100</v>
      </c>
      <c r="X17" s="1538"/>
      <c r="Y17" s="3417"/>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2942"/>
      <c r="M18" s="2936"/>
      <c r="N18" s="2936"/>
      <c r="O18" s="2936"/>
      <c r="P18" s="3468"/>
      <c r="Q18" s="1535"/>
      <c r="R18" s="714"/>
      <c r="S18" s="715"/>
      <c r="T18" s="714"/>
      <c r="U18" s="715"/>
      <c r="V18" s="714"/>
      <c r="W18" s="715"/>
      <c r="X18" s="1538"/>
      <c r="Y18" s="3417"/>
      <c r="Z18" s="1539"/>
      <c r="AA18" s="1536">
        <v>1</v>
      </c>
      <c r="AB18" s="1536">
        <v>1</v>
      </c>
      <c r="AC18" s="1536">
        <v>1</v>
      </c>
    </row>
    <row r="19" spans="1:29" ht="42.75">
      <c r="A19" s="387"/>
      <c r="B19" s="410" t="s">
        <v>2435</v>
      </c>
      <c r="C19" s="2082"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68"/>
      <c r="Q19" s="1535" t="str">
        <f>B19</f>
        <v>公共配套设施</v>
      </c>
      <c r="R19" s="714" t="s">
        <v>17</v>
      </c>
      <c r="S19" s="715">
        <f>F19</f>
        <v>100</v>
      </c>
      <c r="T19" s="714" t="s">
        <v>17</v>
      </c>
      <c r="U19" s="715">
        <f>H19</f>
        <v>100</v>
      </c>
      <c r="V19" s="714" t="s">
        <v>17</v>
      </c>
      <c r="W19" s="715">
        <f>J19</f>
        <v>100</v>
      </c>
      <c r="X19" s="1538"/>
      <c r="Y19" s="3417"/>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2942"/>
      <c r="M20" s="2936"/>
      <c r="N20" s="2936"/>
      <c r="O20" s="2936"/>
      <c r="P20" s="3468"/>
      <c r="Q20" s="1535"/>
      <c r="R20" s="714"/>
      <c r="S20" s="715"/>
      <c r="T20" s="714"/>
      <c r="U20" s="715"/>
      <c r="V20" s="714"/>
      <c r="W20" s="715"/>
      <c r="X20" s="1538"/>
      <c r="Y20" s="3417"/>
      <c r="Z20" s="1539"/>
      <c r="AA20" s="1536">
        <v>1</v>
      </c>
      <c r="AB20" s="1536">
        <v>1</v>
      </c>
      <c r="AC20" s="1536">
        <v>1</v>
      </c>
    </row>
    <row r="21" spans="1:29" ht="42.75">
      <c r="A21" s="387"/>
      <c r="B21" s="1293" t="s">
        <v>2436</v>
      </c>
      <c r="C21" s="2082" t="str">
        <f>估价对象房地状况!C8</f>
        <v>估价对象所在区域基础设施水平较高</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68"/>
      <c r="Q21" s="1535" t="str">
        <f>B21</f>
        <v>基础设施水平</v>
      </c>
      <c r="R21" s="714" t="s">
        <v>17</v>
      </c>
      <c r="S21" s="715">
        <f>F21</f>
        <v>100</v>
      </c>
      <c r="T21" s="714" t="s">
        <v>17</v>
      </c>
      <c r="U21" s="715">
        <f>H21</f>
        <v>100</v>
      </c>
      <c r="V21" s="714" t="s">
        <v>17</v>
      </c>
      <c r="W21" s="715">
        <f>J21</f>
        <v>100</v>
      </c>
      <c r="X21" s="1538"/>
      <c r="Y21" s="3417"/>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2942"/>
      <c r="M22" s="2936"/>
      <c r="N22" s="2936"/>
      <c r="O22" s="2936"/>
      <c r="P22" s="3468"/>
      <c r="Q22" s="1535"/>
      <c r="R22" s="714"/>
      <c r="S22" s="715"/>
      <c r="T22" s="714"/>
      <c r="U22" s="715"/>
      <c r="V22" s="714"/>
      <c r="W22" s="715"/>
      <c r="X22" s="1538"/>
      <c r="Y22" s="3417"/>
      <c r="Z22" s="1539"/>
      <c r="AA22" s="1536">
        <v>1</v>
      </c>
      <c r="AB22" s="1536">
        <v>1</v>
      </c>
      <c r="AC22" s="1536">
        <v>1</v>
      </c>
    </row>
    <row r="23" spans="1:29" ht="85.5">
      <c r="A23" s="387"/>
      <c r="B23" s="410" t="s">
        <v>1946</v>
      </c>
      <c r="C23" s="2137" t="str">
        <f>估价对象房地状况!C9</f>
        <v>区域自然环境：南海子公园、旧宫公园、市民公园；人文环境；综合评价环境状况一般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68"/>
      <c r="Q23" s="1535" t="str">
        <f>B23</f>
        <v>自然及人文环境</v>
      </c>
      <c r="R23" s="714" t="s">
        <v>17</v>
      </c>
      <c r="S23" s="715">
        <f>F23</f>
        <v>100</v>
      </c>
      <c r="T23" s="714" t="s">
        <v>17</v>
      </c>
      <c r="U23" s="715">
        <f>H23</f>
        <v>100</v>
      </c>
      <c r="V23" s="714" t="s">
        <v>17</v>
      </c>
      <c r="W23" s="715">
        <f>J23</f>
        <v>100</v>
      </c>
      <c r="X23" s="1538"/>
      <c r="Y23" s="3417"/>
      <c r="Z23" s="1539" t="str">
        <f>Q23</f>
        <v>自然及人文环境</v>
      </c>
      <c r="AA23" s="1536">
        <f t="shared" si="3"/>
        <v>1</v>
      </c>
      <c r="AB23" s="1536">
        <f t="shared" si="4"/>
        <v>1</v>
      </c>
      <c r="AC23" s="1536">
        <f t="shared" si="5"/>
        <v>1</v>
      </c>
    </row>
    <row r="24" spans="1:29" ht="15">
      <c r="A24" s="387"/>
      <c r="B24" s="415"/>
      <c r="C24" s="406"/>
      <c r="D24" s="407"/>
      <c r="E24" s="2080"/>
      <c r="F24" s="408"/>
      <c r="G24" s="2079"/>
      <c r="H24" s="407"/>
      <c r="I24" s="2080"/>
      <c r="J24" s="407"/>
      <c r="K24" s="572"/>
      <c r="L24" s="2942"/>
      <c r="M24" s="2936"/>
      <c r="N24" s="2936"/>
      <c r="O24" s="2936"/>
      <c r="P24" s="3468"/>
      <c r="Q24" s="1535"/>
      <c r="R24" s="714"/>
      <c r="S24" s="715"/>
      <c r="T24" s="714"/>
      <c r="U24" s="715"/>
      <c r="V24" s="714"/>
      <c r="W24" s="715"/>
      <c r="X24" s="1538"/>
      <c r="Y24" s="3417"/>
      <c r="Z24" s="1539"/>
      <c r="AA24" s="1536">
        <v>1</v>
      </c>
      <c r="AB24" s="1536">
        <v>1</v>
      </c>
      <c r="AC24" s="1536">
        <v>1</v>
      </c>
    </row>
    <row r="25" spans="1:29" ht="15">
      <c r="A25" s="387"/>
      <c r="B25" s="381" t="s">
        <v>2437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68"/>
      <c r="Q25" s="1535" t="str">
        <f t="shared" ref="Q25:Q46" si="11">B25</f>
        <v>临街状况</v>
      </c>
      <c r="R25" s="714" t="s">
        <v>17</v>
      </c>
      <c r="S25" s="715">
        <f>F25</f>
        <v>100</v>
      </c>
      <c r="T25" s="714" t="s">
        <v>17</v>
      </c>
      <c r="U25" s="715">
        <f>H25</f>
        <v>100</v>
      </c>
      <c r="V25" s="714" t="s">
        <v>17</v>
      </c>
      <c r="W25" s="715">
        <f>J25</f>
        <v>100</v>
      </c>
      <c r="X25" s="1538"/>
      <c r="Y25" s="3417"/>
      <c r="Z25" s="1539" t="str">
        <f>Q25</f>
        <v>临街状况</v>
      </c>
      <c r="AA25" s="1536">
        <f t="shared" si="3"/>
        <v>1</v>
      </c>
      <c r="AB25" s="1536">
        <f t="shared" si="4"/>
        <v>1</v>
      </c>
      <c r="AC25" s="1536">
        <f t="shared" si="5"/>
        <v>1</v>
      </c>
    </row>
    <row r="26" spans="1:29" ht="15">
      <c r="A26" s="387"/>
      <c r="B26" s="1295" t="s">
        <v>2438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68"/>
      <c r="Q26" s="1535" t="str">
        <f t="shared" si="11"/>
        <v>平面位置/可视性</v>
      </c>
      <c r="R26" s="714" t="s">
        <v>17</v>
      </c>
      <c r="S26" s="715">
        <f>F26</f>
        <v>100</v>
      </c>
      <c r="T26" s="714" t="s">
        <v>17</v>
      </c>
      <c r="U26" s="715">
        <f>H26</f>
        <v>100</v>
      </c>
      <c r="V26" s="714" t="s">
        <v>17</v>
      </c>
      <c r="W26" s="715">
        <f>J26</f>
        <v>100</v>
      </c>
      <c r="X26" s="1538"/>
      <c r="Y26" s="3417"/>
      <c r="Z26" s="1539" t="str">
        <f>Q26</f>
        <v>平面位置/可视性</v>
      </c>
      <c r="AA26" s="1536">
        <f t="shared" si="3"/>
        <v>1</v>
      </c>
      <c r="AB26" s="1536">
        <f t="shared" si="4"/>
        <v>1</v>
      </c>
      <c r="AC26" s="1536">
        <f t="shared" si="5"/>
        <v>1</v>
      </c>
    </row>
    <row r="27" spans="1:29" s="113" customFormat="1" ht="15">
      <c r="A27" s="390"/>
      <c r="B27" s="410" t="s">
        <v>2439</v>
      </c>
      <c r="C27" s="2138"/>
      <c r="D27" s="421">
        <v>100</v>
      </c>
      <c r="E27" s="2138"/>
      <c r="F27" s="423">
        <f>SUMIF(90:90,E27,91:91)-SUMIF(90:90,C27,91:91)+100</f>
        <v>100</v>
      </c>
      <c r="G27" s="2138"/>
      <c r="H27" s="421">
        <f>SUMIF(90:90,G27,91:91)-SUMIF(90:90,C27,91:91)+100</f>
        <v>100</v>
      </c>
      <c r="I27" s="2138"/>
      <c r="J27" s="421">
        <f>SUMIF(90:90,I27,91:91)-SUMIF(90:90,C27,91:91)+100</f>
        <v>100</v>
      </c>
      <c r="K27" s="569"/>
      <c r="L27" s="2937"/>
      <c r="M27" s="2938"/>
      <c r="N27" s="2938"/>
      <c r="O27" s="2938"/>
      <c r="P27" s="3468"/>
      <c r="Q27" s="1526" t="str">
        <f t="shared" si="11"/>
        <v>人流量</v>
      </c>
      <c r="R27" s="710" t="s">
        <v>17</v>
      </c>
      <c r="S27" s="711">
        <f>F27</f>
        <v>100</v>
      </c>
      <c r="T27" s="710" t="s">
        <v>17</v>
      </c>
      <c r="U27" s="711">
        <f>H27</f>
        <v>100</v>
      </c>
      <c r="V27" s="710" t="s">
        <v>17</v>
      </c>
      <c r="W27" s="711">
        <f>J27</f>
        <v>100</v>
      </c>
      <c r="X27" s="712"/>
      <c r="Y27" s="3417"/>
      <c r="Z27" s="55" t="str">
        <f>Q27</f>
        <v>人流量</v>
      </c>
      <c r="AA27" s="1536">
        <f>D27/F27</f>
        <v>1</v>
      </c>
      <c r="AB27" s="1536">
        <f>D27/H27</f>
        <v>1</v>
      </c>
      <c r="AC27" s="1536">
        <f>D27/J27</f>
        <v>1</v>
      </c>
    </row>
    <row r="28" spans="1:29" ht="15">
      <c r="A28" s="387"/>
      <c r="B28" s="381" t="s">
        <v>2440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6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417"/>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68"/>
      <c r="Q29" s="1535">
        <f t="shared" si="11"/>
        <v>111</v>
      </c>
      <c r="R29" s="714" t="s">
        <v>17</v>
      </c>
      <c r="S29" s="715">
        <f t="shared" si="12"/>
        <v>100</v>
      </c>
      <c r="T29" s="714" t="s">
        <v>17</v>
      </c>
      <c r="U29" s="715">
        <f t="shared" si="13"/>
        <v>100</v>
      </c>
      <c r="V29" s="714" t="s">
        <v>17</v>
      </c>
      <c r="W29" s="715">
        <f t="shared" si="14"/>
        <v>100</v>
      </c>
      <c r="X29" s="1538"/>
      <c r="Y29" s="3417"/>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68"/>
      <c r="Q30" s="1535">
        <f t="shared" si="11"/>
        <v>111</v>
      </c>
      <c r="R30" s="714" t="s">
        <v>17</v>
      </c>
      <c r="S30" s="715">
        <f t="shared" si="12"/>
        <v>100</v>
      </c>
      <c r="T30" s="714" t="s">
        <v>17</v>
      </c>
      <c r="U30" s="715">
        <f t="shared" si="13"/>
        <v>100</v>
      </c>
      <c r="V30" s="714" t="s">
        <v>17</v>
      </c>
      <c r="W30" s="715">
        <f t="shared" si="14"/>
        <v>100</v>
      </c>
      <c r="X30" s="1538"/>
      <c r="Y30" s="3417"/>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68"/>
      <c r="Q31" s="1535">
        <f t="shared" si="11"/>
        <v>111</v>
      </c>
      <c r="R31" s="714" t="s">
        <v>17</v>
      </c>
      <c r="S31" s="715">
        <f t="shared" si="12"/>
        <v>100</v>
      </c>
      <c r="T31" s="714" t="s">
        <v>17</v>
      </c>
      <c r="U31" s="715">
        <f t="shared" si="13"/>
        <v>100</v>
      </c>
      <c r="V31" s="714" t="s">
        <v>17</v>
      </c>
      <c r="W31" s="715">
        <f t="shared" si="14"/>
        <v>100</v>
      </c>
      <c r="X31" s="1538"/>
      <c r="Y31" s="3417"/>
      <c r="Z31" s="1539">
        <f t="shared" si="15"/>
        <v>111</v>
      </c>
      <c r="AA31" s="1536">
        <f t="shared" si="3"/>
        <v>1</v>
      </c>
      <c r="AB31" s="1536">
        <f t="shared" si="4"/>
        <v>1</v>
      </c>
      <c r="AC31" s="1536">
        <f t="shared" si="5"/>
        <v>1</v>
      </c>
    </row>
    <row r="32" spans="1:29" ht="15">
      <c r="A32" s="399" t="s">
        <v>2344</v>
      </c>
      <c r="B32" s="67" t="s">
        <v>2441</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2"/>
      <c r="M32" s="2936"/>
      <c r="N32" s="2936"/>
      <c r="O32" s="2936"/>
      <c r="P32" s="3463" t="s">
        <v>2346</v>
      </c>
      <c r="Q32" s="1535" t="str">
        <f t="shared" si="11"/>
        <v>商业类型</v>
      </c>
      <c r="R32" s="714" t="s">
        <v>17</v>
      </c>
      <c r="S32" s="715">
        <f t="shared" si="12"/>
        <v>100</v>
      </c>
      <c r="T32" s="714" t="s">
        <v>17</v>
      </c>
      <c r="U32" s="715">
        <f t="shared" si="13"/>
        <v>100</v>
      </c>
      <c r="V32" s="714" t="s">
        <v>17</v>
      </c>
      <c r="W32" s="715">
        <f t="shared" si="14"/>
        <v>100</v>
      </c>
      <c r="X32" s="1538"/>
      <c r="Y32" s="3419" t="s">
        <v>2346</v>
      </c>
      <c r="Z32" s="1539" t="str">
        <f t="shared" si="15"/>
        <v>商业类型</v>
      </c>
      <c r="AA32" s="1536">
        <f t="shared" si="3"/>
        <v>1</v>
      </c>
      <c r="AB32" s="1536">
        <f t="shared" si="4"/>
        <v>1</v>
      </c>
      <c r="AC32" s="1536">
        <f t="shared" si="5"/>
        <v>1</v>
      </c>
    </row>
    <row r="33" spans="1:29" s="430" customFormat="1" ht="15">
      <c r="A33" s="427"/>
      <c r="B33" s="381" t="s">
        <v>2347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64"/>
      <c r="Q33" s="716" t="str">
        <f t="shared" si="11"/>
        <v>项目建筑规模</v>
      </c>
      <c r="R33" s="717" t="s">
        <v>17</v>
      </c>
      <c r="S33" s="718" t="e">
        <f t="shared" si="12"/>
        <v>#N/A</v>
      </c>
      <c r="T33" s="717" t="s">
        <v>17</v>
      </c>
      <c r="U33" s="718" t="e">
        <f t="shared" si="13"/>
        <v>#N/A</v>
      </c>
      <c r="V33" s="717" t="s">
        <v>17</v>
      </c>
      <c r="W33" s="718" t="e">
        <f t="shared" si="14"/>
        <v>#N/A</v>
      </c>
      <c r="X33" s="719"/>
      <c r="Y33" s="3419"/>
      <c r="Z33" s="720" t="str">
        <f t="shared" si="15"/>
        <v>项目建筑规模</v>
      </c>
      <c r="AA33" s="1536" t="e">
        <f t="shared" si="3"/>
        <v>#N/A</v>
      </c>
      <c r="AB33" s="1536" t="e">
        <f t="shared" si="4"/>
        <v>#N/A</v>
      </c>
      <c r="AC33" s="1536" t="e">
        <f t="shared" si="5"/>
        <v>#N/A</v>
      </c>
    </row>
    <row r="34" spans="1:29" ht="15">
      <c r="A34" s="431"/>
      <c r="B34" s="381" t="s">
        <v>2348</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2"/>
      <c r="M34" s="2936"/>
      <c r="N34" s="2936"/>
      <c r="O34" s="2936"/>
      <c r="P34" s="3464"/>
      <c r="Q34" s="1535" t="str">
        <f t="shared" si="11"/>
        <v>建筑结构</v>
      </c>
      <c r="R34" s="714" t="s">
        <v>17</v>
      </c>
      <c r="S34" s="715">
        <f t="shared" si="12"/>
        <v>100</v>
      </c>
      <c r="T34" s="714" t="s">
        <v>17</v>
      </c>
      <c r="U34" s="715">
        <f t="shared" si="13"/>
        <v>100</v>
      </c>
      <c r="V34" s="714" t="s">
        <v>17</v>
      </c>
      <c r="W34" s="715">
        <f t="shared" si="14"/>
        <v>100</v>
      </c>
      <c r="X34" s="1538"/>
      <c r="Y34" s="3419"/>
      <c r="Z34" s="1539" t="str">
        <f t="shared" si="15"/>
        <v>建筑结构</v>
      </c>
      <c r="AA34" s="1536">
        <f t="shared" si="3"/>
        <v>1</v>
      </c>
      <c r="AB34" s="1536">
        <f t="shared" si="4"/>
        <v>1</v>
      </c>
      <c r="AC34" s="1536">
        <f t="shared" si="5"/>
        <v>1</v>
      </c>
    </row>
    <row r="35" spans="1:29" ht="15">
      <c r="A35" s="431"/>
      <c r="B35" s="381" t="s">
        <v>2442</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2"/>
      <c r="M35" s="2936"/>
      <c r="N35" s="2936"/>
      <c r="O35" s="2936"/>
      <c r="P35" s="3464"/>
      <c r="Q35" s="1535" t="str">
        <f t="shared" si="11"/>
        <v>公共部分装修</v>
      </c>
      <c r="R35" s="714" t="s">
        <v>17</v>
      </c>
      <c r="S35" s="715">
        <f t="shared" si="12"/>
        <v>100</v>
      </c>
      <c r="T35" s="714" t="s">
        <v>17</v>
      </c>
      <c r="U35" s="715">
        <f t="shared" si="13"/>
        <v>100</v>
      </c>
      <c r="V35" s="714" t="s">
        <v>17</v>
      </c>
      <c r="W35" s="715">
        <f t="shared" si="14"/>
        <v>100</v>
      </c>
      <c r="X35" s="1538"/>
      <c r="Y35" s="3419"/>
      <c r="Z35" s="1539" t="str">
        <f t="shared" si="15"/>
        <v>公共部分装修</v>
      </c>
      <c r="AA35" s="1536">
        <f t="shared" si="3"/>
        <v>1</v>
      </c>
      <c r="AB35" s="1536">
        <f t="shared" si="4"/>
        <v>1</v>
      </c>
      <c r="AC35" s="1536">
        <f t="shared" si="5"/>
        <v>1</v>
      </c>
    </row>
    <row r="36" spans="1:29" ht="15">
      <c r="A36" s="431"/>
      <c r="B36" s="381" t="s">
        <v>2443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64"/>
      <c r="Q36" s="1535" t="str">
        <f t="shared" si="11"/>
        <v>成新度</v>
      </c>
      <c r="R36" s="714" t="s">
        <v>17</v>
      </c>
      <c r="S36" s="715" t="e">
        <f t="shared" si="12"/>
        <v>#N/A</v>
      </c>
      <c r="T36" s="714" t="s">
        <v>17</v>
      </c>
      <c r="U36" s="715" t="e">
        <f t="shared" si="13"/>
        <v>#N/A</v>
      </c>
      <c r="V36" s="714" t="s">
        <v>17</v>
      </c>
      <c r="W36" s="715" t="e">
        <f t="shared" si="14"/>
        <v>#N/A</v>
      </c>
      <c r="X36" s="1538"/>
      <c r="Y36" s="3419"/>
      <c r="Z36" s="1539" t="str">
        <f t="shared" si="15"/>
        <v>成新度</v>
      </c>
      <c r="AA36" s="1536" t="e">
        <f t="shared" si="3"/>
        <v>#N/A</v>
      </c>
      <c r="AB36" s="1536" t="e">
        <f t="shared" si="4"/>
        <v>#N/A</v>
      </c>
      <c r="AC36" s="1536" t="e">
        <f t="shared" si="5"/>
        <v>#N/A</v>
      </c>
    </row>
    <row r="37" spans="1:29" s="113" customFormat="1" ht="15">
      <c r="A37" s="432"/>
      <c r="B37" s="381" t="s">
        <v>2444</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37"/>
      <c r="M37" s="2938"/>
      <c r="N37" s="2938"/>
      <c r="O37" s="2938"/>
      <c r="P37" s="3464"/>
      <c r="Q37" s="1526" t="str">
        <f t="shared" si="11"/>
        <v>市政基础设施</v>
      </c>
      <c r="R37" s="710" t="s">
        <v>17</v>
      </c>
      <c r="S37" s="711">
        <f t="shared" si="12"/>
        <v>100</v>
      </c>
      <c r="T37" s="710" t="s">
        <v>17</v>
      </c>
      <c r="U37" s="711">
        <f t="shared" si="13"/>
        <v>100</v>
      </c>
      <c r="V37" s="710" t="s">
        <v>17</v>
      </c>
      <c r="W37" s="711">
        <f t="shared" si="14"/>
        <v>100</v>
      </c>
      <c r="X37" s="712"/>
      <c r="Y37" s="3419"/>
      <c r="Z37" s="55" t="str">
        <f t="shared" si="15"/>
        <v>市政基础设施</v>
      </c>
      <c r="AA37" s="713">
        <f t="shared" si="3"/>
        <v>1</v>
      </c>
      <c r="AB37" s="713">
        <f t="shared" si="4"/>
        <v>1</v>
      </c>
      <c r="AC37" s="713">
        <f t="shared" si="5"/>
        <v>1</v>
      </c>
    </row>
    <row r="38" spans="1:29" ht="15">
      <c r="A38" s="431"/>
      <c r="B38" s="381" t="s">
        <v>2445</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2"/>
      <c r="M38" s="2936"/>
      <c r="N38" s="2936"/>
      <c r="O38" s="2936"/>
      <c r="P38" s="3464" t="s">
        <v>2346</v>
      </c>
      <c r="Q38" s="1535" t="str">
        <f t="shared" si="11"/>
        <v>业态</v>
      </c>
      <c r="R38" s="714" t="s">
        <v>17</v>
      </c>
      <c r="S38" s="715">
        <f t="shared" si="12"/>
        <v>100</v>
      </c>
      <c r="T38" s="714" t="s">
        <v>17</v>
      </c>
      <c r="U38" s="715">
        <f t="shared" si="13"/>
        <v>100</v>
      </c>
      <c r="V38" s="714" t="s">
        <v>17</v>
      </c>
      <c r="W38" s="715">
        <f t="shared" si="14"/>
        <v>100</v>
      </c>
      <c r="X38" s="1538"/>
      <c r="Y38" s="3419" t="s">
        <v>2346</v>
      </c>
      <c r="Z38" s="1539" t="str">
        <f t="shared" si="15"/>
        <v>业态</v>
      </c>
      <c r="AA38" s="1536">
        <f t="shared" si="3"/>
        <v>1</v>
      </c>
      <c r="AB38" s="1536">
        <f t="shared" si="4"/>
        <v>1</v>
      </c>
      <c r="AC38" s="1536">
        <f t="shared" si="5"/>
        <v>1</v>
      </c>
    </row>
    <row r="39" spans="1:29" ht="15">
      <c r="A39" s="431"/>
      <c r="B39" s="381" t="s">
        <v>2446</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2"/>
      <c r="M39" s="2936"/>
      <c r="N39" s="2936"/>
      <c r="O39" s="2936"/>
      <c r="P39" s="3464"/>
      <c r="Q39" s="1535" t="str">
        <f t="shared" si="11"/>
        <v>层高</v>
      </c>
      <c r="R39" s="714" t="s">
        <v>17</v>
      </c>
      <c r="S39" s="715">
        <f t="shared" si="12"/>
        <v>100</v>
      </c>
      <c r="T39" s="714" t="s">
        <v>17</v>
      </c>
      <c r="U39" s="715">
        <f t="shared" si="13"/>
        <v>100</v>
      </c>
      <c r="V39" s="714" t="s">
        <v>17</v>
      </c>
      <c r="W39" s="715">
        <f t="shared" si="14"/>
        <v>100</v>
      </c>
      <c r="X39" s="1538"/>
      <c r="Y39" s="3419"/>
      <c r="Z39" s="1539" t="str">
        <f t="shared" si="15"/>
        <v>层高</v>
      </c>
      <c r="AA39" s="1536">
        <f t="shared" si="3"/>
        <v>1</v>
      </c>
      <c r="AB39" s="1536">
        <f t="shared" si="4"/>
        <v>1</v>
      </c>
      <c r="AC39" s="1536">
        <f t="shared" si="5"/>
        <v>1</v>
      </c>
    </row>
    <row r="40" spans="1:29" ht="15">
      <c r="A40" s="431"/>
      <c r="B40" s="381" t="s">
        <v>2447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64"/>
      <c r="Q40" s="1535" t="str">
        <f t="shared" si="11"/>
        <v>单套建筑面积</v>
      </c>
      <c r="R40" s="714" t="s">
        <v>17</v>
      </c>
      <c r="S40" s="715">
        <f t="shared" si="12"/>
        <v>100</v>
      </c>
      <c r="T40" s="714" t="s">
        <v>17</v>
      </c>
      <c r="U40" s="715">
        <f t="shared" si="13"/>
        <v>100</v>
      </c>
      <c r="V40" s="714" t="s">
        <v>17</v>
      </c>
      <c r="W40" s="715">
        <f t="shared" si="14"/>
        <v>100</v>
      </c>
      <c r="X40" s="1538"/>
      <c r="Y40" s="3419"/>
      <c r="Z40" s="1539" t="str">
        <f t="shared" si="15"/>
        <v>单套建筑面积</v>
      </c>
      <c r="AA40" s="1536">
        <f t="shared" si="3"/>
        <v>1</v>
      </c>
      <c r="AB40" s="1536">
        <f t="shared" si="4"/>
        <v>1</v>
      </c>
      <c r="AC40" s="1536">
        <f t="shared" si="5"/>
        <v>1</v>
      </c>
    </row>
    <row r="41" spans="1:29" s="430" customFormat="1" ht="15">
      <c r="A41" s="427"/>
      <c r="B41" s="1537" t="s">
        <v>2448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64"/>
      <c r="Q41" s="716" t="str">
        <f t="shared" si="11"/>
        <v>进深比</v>
      </c>
      <c r="R41" s="717" t="s">
        <v>17</v>
      </c>
      <c r="S41" s="718">
        <f t="shared" si="12"/>
        <v>100</v>
      </c>
      <c r="T41" s="717" t="s">
        <v>17</v>
      </c>
      <c r="U41" s="718">
        <f t="shared" si="13"/>
        <v>100</v>
      </c>
      <c r="V41" s="717" t="s">
        <v>17</v>
      </c>
      <c r="W41" s="718">
        <f t="shared" si="14"/>
        <v>100</v>
      </c>
      <c r="X41" s="719"/>
      <c r="Y41" s="3419"/>
      <c r="Z41" s="720" t="str">
        <f t="shared" si="15"/>
        <v>进深比</v>
      </c>
      <c r="AA41" s="1536">
        <f t="shared" si="3"/>
        <v>1</v>
      </c>
      <c r="AB41" s="1536">
        <f t="shared" si="4"/>
        <v>1</v>
      </c>
      <c r="AC41" s="1536">
        <f t="shared" si="5"/>
        <v>1</v>
      </c>
    </row>
    <row r="42" spans="1:29" ht="15">
      <c r="A42" s="431"/>
      <c r="B42" s="381" t="s">
        <v>2449</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2"/>
      <c r="M42" s="2936"/>
      <c r="N42" s="2936"/>
      <c r="O42" s="2936"/>
      <c r="P42" s="3464"/>
      <c r="Q42" s="1535" t="str">
        <f t="shared" si="11"/>
        <v>内部装修</v>
      </c>
      <c r="R42" s="714" t="s">
        <v>17</v>
      </c>
      <c r="S42" s="715">
        <f t="shared" si="12"/>
        <v>100</v>
      </c>
      <c r="T42" s="714" t="s">
        <v>17</v>
      </c>
      <c r="U42" s="715">
        <f t="shared" si="13"/>
        <v>100</v>
      </c>
      <c r="V42" s="714" t="s">
        <v>17</v>
      </c>
      <c r="W42" s="715">
        <f t="shared" si="14"/>
        <v>100</v>
      </c>
      <c r="X42" s="1538"/>
      <c r="Y42" s="3419"/>
      <c r="Z42" s="1539" t="str">
        <f t="shared" si="15"/>
        <v>内部装修</v>
      </c>
      <c r="AA42" s="1536">
        <f t="shared" si="3"/>
        <v>1</v>
      </c>
      <c r="AB42" s="1536">
        <f t="shared" si="4"/>
        <v>1</v>
      </c>
      <c r="AC42" s="1536">
        <f t="shared" si="5"/>
        <v>1</v>
      </c>
    </row>
    <row r="43" spans="1:29" ht="15">
      <c r="A43" s="431"/>
      <c r="B43" s="381" t="s">
        <v>2357</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2"/>
      <c r="M43" s="2936"/>
      <c r="N43" s="2936"/>
      <c r="O43" s="2936"/>
      <c r="P43" s="3464"/>
      <c r="Q43" s="1535" t="str">
        <f t="shared" si="11"/>
        <v>内部装修维护情况</v>
      </c>
      <c r="R43" s="714" t="s">
        <v>17</v>
      </c>
      <c r="S43" s="715">
        <f t="shared" si="12"/>
        <v>100</v>
      </c>
      <c r="T43" s="714" t="s">
        <v>17</v>
      </c>
      <c r="U43" s="715">
        <f t="shared" si="13"/>
        <v>100</v>
      </c>
      <c r="V43" s="714" t="s">
        <v>17</v>
      </c>
      <c r="W43" s="715">
        <f t="shared" si="14"/>
        <v>100</v>
      </c>
      <c r="X43" s="1538"/>
      <c r="Y43" s="3419"/>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64"/>
      <c r="Q44" s="1526">
        <f t="shared" si="11"/>
        <v>111</v>
      </c>
      <c r="R44" s="710" t="s">
        <v>17</v>
      </c>
      <c r="S44" s="711">
        <f t="shared" si="12"/>
        <v>100</v>
      </c>
      <c r="T44" s="710" t="s">
        <v>17</v>
      </c>
      <c r="U44" s="711">
        <f t="shared" si="13"/>
        <v>100</v>
      </c>
      <c r="V44" s="710" t="s">
        <v>17</v>
      </c>
      <c r="W44" s="711">
        <f t="shared" si="14"/>
        <v>100</v>
      </c>
      <c r="X44" s="712"/>
      <c r="Y44" s="341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64"/>
      <c r="Q45" s="1535">
        <f t="shared" si="11"/>
        <v>111</v>
      </c>
      <c r="R45" s="714" t="s">
        <v>17</v>
      </c>
      <c r="S45" s="715">
        <f t="shared" si="12"/>
        <v>100</v>
      </c>
      <c r="T45" s="714" t="s">
        <v>17</v>
      </c>
      <c r="U45" s="715">
        <f t="shared" si="13"/>
        <v>100</v>
      </c>
      <c r="V45" s="714" t="s">
        <v>17</v>
      </c>
      <c r="W45" s="715">
        <f t="shared" si="14"/>
        <v>100</v>
      </c>
      <c r="X45" s="1538"/>
      <c r="Y45" s="3419"/>
      <c r="Z45" s="1539">
        <f t="shared" si="15"/>
        <v>111</v>
      </c>
      <c r="AA45" s="1536">
        <f t="shared" si="3"/>
        <v>1</v>
      </c>
      <c r="AB45" s="1536">
        <f t="shared" si="4"/>
        <v>1</v>
      </c>
      <c r="AC45" s="1536">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65"/>
      <c r="Q46" s="1535">
        <f t="shared" si="11"/>
        <v>111</v>
      </c>
      <c r="R46" s="714" t="s">
        <v>17</v>
      </c>
      <c r="S46" s="715">
        <f t="shared" si="12"/>
        <v>100</v>
      </c>
      <c r="T46" s="714" t="s">
        <v>17</v>
      </c>
      <c r="U46" s="715">
        <f t="shared" si="13"/>
        <v>100</v>
      </c>
      <c r="V46" s="714" t="s">
        <v>17</v>
      </c>
      <c r="W46" s="715">
        <f t="shared" si="14"/>
        <v>100</v>
      </c>
      <c r="X46" s="1538"/>
      <c r="Y46" s="3466"/>
      <c r="Z46" s="1539">
        <f t="shared" si="15"/>
        <v>111</v>
      </c>
      <c r="AA46" s="1536">
        <f t="shared" si="3"/>
        <v>1</v>
      </c>
      <c r="AB46" s="1536">
        <f t="shared" si="4"/>
        <v>1</v>
      </c>
      <c r="AC46" s="1536">
        <f t="shared" si="5"/>
        <v>1</v>
      </c>
    </row>
    <row r="47" spans="1:29" ht="15">
      <c r="A47" s="438" t="s">
        <v>2358</v>
      </c>
      <c r="B47" s="439"/>
      <c r="C47" s="1315" t="s">
        <v>1</v>
      </c>
      <c r="D47" s="1316"/>
      <c r="E47" s="1317"/>
      <c r="F47" s="1318"/>
      <c r="G47" s="1319"/>
      <c r="H47" s="1320"/>
      <c r="I47" s="1317"/>
      <c r="J47" s="1320"/>
      <c r="K47" s="723"/>
      <c r="L47" s="2944"/>
      <c r="M47" s="2945"/>
      <c r="N47" s="2936"/>
      <c r="O47" s="2945"/>
      <c r="P47" s="3401" t="str">
        <f>A47</f>
        <v>成交单价（元/平方米）</v>
      </c>
      <c r="Q47" s="3401"/>
      <c r="R47" s="3414">
        <f>E47</f>
        <v>0</v>
      </c>
      <c r="S47" s="3414"/>
      <c r="T47" s="3414">
        <f>G47</f>
        <v>0</v>
      </c>
      <c r="U47" s="3414"/>
      <c r="V47" s="3414">
        <f>I47</f>
        <v>0</v>
      </c>
      <c r="W47" s="3414"/>
      <c r="X47" s="699"/>
      <c r="Y47" s="721"/>
      <c r="Z47" s="699"/>
      <c r="AA47" s="699"/>
      <c r="AB47" s="699"/>
      <c r="AC47" s="699"/>
    </row>
    <row r="48" spans="1:29" ht="15.75" thickBot="1">
      <c r="A48" s="445" t="s">
        <v>2450</v>
      </c>
      <c r="B48" s="446"/>
      <c r="C48" s="1321" t="e">
        <f>R49</f>
        <v>#DIV/0!</v>
      </c>
      <c r="D48" s="2534" t="s">
        <v>2840</v>
      </c>
      <c r="E48" s="1322" t="e">
        <f>R48</f>
        <v>#DIV/0!</v>
      </c>
      <c r="F48" s="2535"/>
      <c r="G48" s="1321" t="e">
        <f>T48</f>
        <v>#DIV/0!</v>
      </c>
      <c r="H48" s="2535"/>
      <c r="I48" s="1322" t="e">
        <f>V48</f>
        <v>#DIV/0!</v>
      </c>
      <c r="J48" s="2535"/>
      <c r="K48" s="2537">
        <f>F48+H48+J48</f>
        <v>0</v>
      </c>
      <c r="L48" s="2944"/>
      <c r="M48" s="2945"/>
      <c r="N48" s="2936"/>
      <c r="O48" s="2945"/>
      <c r="P48" s="3401" t="str">
        <f>A48</f>
        <v>比较价值（元/平方米）</v>
      </c>
      <c r="Q48" s="340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2451</v>
      </c>
      <c r="B49" s="450"/>
      <c r="C49" s="1324" t="e">
        <f>R49</f>
        <v>#DIV/0!</v>
      </c>
      <c r="D49" s="1324"/>
      <c r="E49" s="1324"/>
      <c r="F49" s="1324"/>
      <c r="G49" s="1324"/>
      <c r="H49" s="1324"/>
      <c r="I49" s="1324"/>
      <c r="J49" s="1324"/>
      <c r="K49" s="724"/>
      <c r="L49" s="2944"/>
      <c r="M49" s="2945"/>
      <c r="N49" s="2936"/>
      <c r="O49" s="2945"/>
      <c r="P49" s="3421" t="str">
        <f>A49</f>
        <v>估价对象XX用房的比较价值（楼面单价，元/平方米）</v>
      </c>
      <c r="Q49" s="3422"/>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2455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2329</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2366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2331</v>
      </c>
      <c r="B61" s="467"/>
      <c r="C61" s="479" t="s">
        <v>2433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2369</v>
      </c>
      <c r="B63" s="485" t="s">
        <v>2335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2338</v>
      </c>
      <c r="C65" s="496" t="s">
        <v>2370</v>
      </c>
      <c r="D65" s="496" t="s">
        <v>2371</v>
      </c>
      <c r="E65" s="496" t="s">
        <v>2372</v>
      </c>
      <c r="F65" s="496" t="s">
        <v>2373</v>
      </c>
      <c r="G65" s="496" t="s">
        <v>2374</v>
      </c>
      <c r="H65" s="496" t="s">
        <v>2375</v>
      </c>
      <c r="I65" s="496" t="s">
        <v>2376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2340</v>
      </c>
      <c r="B76" s="485" t="s">
        <v>2377</v>
      </c>
      <c r="C76" s="530" t="s">
        <v>2378</v>
      </c>
      <c r="D76" s="530" t="s">
        <v>2379</v>
      </c>
      <c r="E76" s="530" t="s">
        <v>2380</v>
      </c>
      <c r="F76" s="530" t="s">
        <v>2381</v>
      </c>
      <c r="G76" s="530" t="s">
        <v>2382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2383</v>
      </c>
      <c r="C78" s="535" t="s">
        <v>2378</v>
      </c>
      <c r="D78" s="535" t="s">
        <v>2379</v>
      </c>
      <c r="E78" s="535" t="s">
        <v>2380</v>
      </c>
      <c r="F78" s="535" t="s">
        <v>2381</v>
      </c>
      <c r="G78" s="535" t="s">
        <v>2382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2384</v>
      </c>
      <c r="C80" s="535" t="s">
        <v>2378</v>
      </c>
      <c r="D80" s="535" t="s">
        <v>2379</v>
      </c>
      <c r="E80" s="535" t="s">
        <v>2380</v>
      </c>
      <c r="F80" s="535" t="s">
        <v>2381</v>
      </c>
      <c r="G80" s="535" t="s">
        <v>2382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2436</v>
      </c>
      <c r="C82" s="616" t="s">
        <v>2456</v>
      </c>
      <c r="D82" s="616" t="s">
        <v>2457</v>
      </c>
      <c r="E82" s="616" t="s">
        <v>2458</v>
      </c>
      <c r="F82" s="616" t="s">
        <v>2459</v>
      </c>
      <c r="G82" s="616" t="s">
        <v>2460</v>
      </c>
      <c r="H82" s="496"/>
      <c r="I82" s="496"/>
      <c r="J82" s="496"/>
      <c r="K82" s="496"/>
      <c r="L82" s="496"/>
      <c r="M82" s="1291"/>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2390</v>
      </c>
      <c r="C84" s="535" t="s">
        <v>2378</v>
      </c>
      <c r="D84" s="535" t="s">
        <v>2379</v>
      </c>
      <c r="E84" s="535" t="s">
        <v>2380</v>
      </c>
      <c r="F84" s="535" t="s">
        <v>2381</v>
      </c>
      <c r="G84" s="535" t="s">
        <v>2382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2461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9"/>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0"/>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2344</v>
      </c>
      <c r="B100" s="485" t="s">
        <v>2462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2394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2395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2397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2399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2463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2464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2465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2466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2401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2402</v>
      </c>
      <c r="C124" s="535" t="s">
        <v>2378</v>
      </c>
      <c r="D124" s="535" t="s">
        <v>2379</v>
      </c>
      <c r="E124" s="535" t="s">
        <v>2380</v>
      </c>
      <c r="F124" s="535" t="s">
        <v>2381</v>
      </c>
      <c r="G124" s="535" t="s">
        <v>2382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0"/>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中国建设银行股份有限公司北京城建支行：</v>
      </c>
    </row>
    <row r="4" spans="1:1" ht="36">
      <c r="A4" s="1664" t="str">
        <f>"受贵公司委托，我公司对"&amp;项目基本情况!S1&amp;"进行了预评估。"</f>
        <v>受贵公司委托，我公司对北京市大兴区旧宫镇DX07-0201-0006、0007地块R2二类居住用地住宅（自持）用房房地产房地产抵押价值进行了预评估。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07-0201-0006、0007地块R2二类居住用地住宅（自持）用房房地产房地产，为所有。根据《国有土地使用证》[]，估价对象（分摊）出让国有建设用地使用权面积为37742.35平方米，建筑面积为130002.77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07-0201-0006、0007地块R2二类居住用地住宅（自持）用房房地产房地产,属开发建设的居住项目，该项目尚在开发建设中。根据《国有土地使用证》[]，估价对象（分摊）出让国有建设用地使用权面积为37742.35平方米，规划建筑面积为130002.77平方米。</v>
      </c>
    </row>
    <row r="11" spans="1:1" ht="76.5">
      <c r="A11" s="1667" t="s">
        <v>1581</v>
      </c>
    </row>
    <row r="12" spans="1:1" ht="18.75">
      <c r="A12" s="1665" t="s">
        <v>1582</v>
      </c>
    </row>
    <row r="13" spans="1:1" ht="38.25" customHeight="1">
      <c r="A13" s="1668" t="str">
        <f>IF(项目基本情况!B8="抵押",IF(项目基本情况!B5=项目基本情况!B6,定义!C51,定义!B51),定义!D51)</f>
        <v>北京和信金泰房地产开发有限公司拟使用北京市大兴区旧宫镇DX07-0201-0006、0007地块R2二类居住用地住宅（自持）用房房地产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2021年4月28日（评估专业人员实地查勘之日）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住宅、地下车库、地下仓储，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2467</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IF(C2="——",ROUND(C50*D3/10000,0),ROUND(C50*D3/10000,0)-D2)</f>
        <v>#DIV/0!</v>
      </c>
      <c r="C2" s="2063"/>
      <c r="D2" s="1275" t="e">
        <f ca="1">SUMIF(INDIRECT("'"&amp;F2&amp;"'"&amp;"!A:A"),"承租人权益价值",INDIRECT("'"&amp;F2&amp;"'"&amp;"!c:c"))</f>
        <v>#REF!</v>
      </c>
      <c r="E2" s="2064" t="s">
        <v>2147</v>
      </c>
      <c r="F2" s="2065"/>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2425</v>
      </c>
      <c r="D3" s="359">
        <f>IF(D1="",'数据-汇总表'!E3,SUMIF('数据-汇总表'!$C19:$C33,D1,'数据-汇总表'!$E19:$E33))</f>
        <v>130002.77000000002</v>
      </c>
      <c r="E3" s="2136"/>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2426</v>
      </c>
      <c r="B4" s="362"/>
      <c r="C4" s="3402" t="s">
        <v>2427</v>
      </c>
      <c r="D4" s="3403"/>
      <c r="E4" s="3404" t="s">
        <v>2428</v>
      </c>
      <c r="F4" s="3405"/>
      <c r="G4" s="3402" t="s">
        <v>2429</v>
      </c>
      <c r="H4" s="3403"/>
      <c r="I4" s="3402" t="s">
        <v>2430</v>
      </c>
      <c r="J4" s="3403"/>
      <c r="K4" s="567" t="s">
        <v>2431</v>
      </c>
      <c r="L4" s="2935"/>
      <c r="M4" s="2936"/>
      <c r="N4" s="2936"/>
      <c r="O4" s="2936"/>
      <c r="P4" s="3475" t="s">
        <v>2432</v>
      </c>
      <c r="Q4" s="3476"/>
      <c r="R4" s="3470" t="s">
        <v>2428</v>
      </c>
      <c r="S4" s="3471"/>
      <c r="T4" s="3470" t="s">
        <v>2429</v>
      </c>
      <c r="U4" s="3471"/>
      <c r="V4" s="3479" t="s">
        <v>2430</v>
      </c>
      <c r="W4" s="3479"/>
      <c r="X4" s="2140"/>
      <c r="Y4" s="3470" t="s">
        <v>2432</v>
      </c>
      <c r="Z4" s="3471"/>
      <c r="AA4" s="3469" t="s">
        <v>2428</v>
      </c>
      <c r="AB4" s="3469" t="s">
        <v>2429</v>
      </c>
      <c r="AC4" s="3472" t="s">
        <v>2430</v>
      </c>
    </row>
    <row r="5" spans="1:29" ht="15">
      <c r="A5" s="364"/>
      <c r="B5" s="365"/>
      <c r="C5" s="3395" t="s">
        <v>2323</v>
      </c>
      <c r="D5" s="3396"/>
      <c r="E5" s="3393" t="s">
        <v>2324</v>
      </c>
      <c r="F5" s="3394"/>
      <c r="G5" s="3395" t="s">
        <v>2325</v>
      </c>
      <c r="H5" s="3396"/>
      <c r="I5" s="3395" t="s">
        <v>2326</v>
      </c>
      <c r="J5" s="3396"/>
      <c r="K5" s="567"/>
      <c r="L5" s="2935"/>
      <c r="M5" s="2936"/>
      <c r="N5" s="2936"/>
      <c r="O5" s="2936"/>
      <c r="P5" s="3477"/>
      <c r="Q5" s="3409"/>
      <c r="R5" s="3391"/>
      <c r="S5" s="3392"/>
      <c r="T5" s="3391"/>
      <c r="U5" s="3392"/>
      <c r="V5" s="3414"/>
      <c r="W5" s="3414"/>
      <c r="X5" s="1538"/>
      <c r="Y5" s="3391"/>
      <c r="Z5" s="3392"/>
      <c r="AA5" s="3385"/>
      <c r="AB5" s="3385"/>
      <c r="AC5" s="3473"/>
    </row>
    <row r="6" spans="1:29" ht="15.75" thickBot="1">
      <c r="A6" s="366"/>
      <c r="B6" s="367"/>
      <c r="C6" s="3397" t="s">
        <v>2327</v>
      </c>
      <c r="D6" s="3398"/>
      <c r="E6" s="3399" t="s">
        <v>2327</v>
      </c>
      <c r="F6" s="3400"/>
      <c r="G6" s="3397" t="s">
        <v>2327</v>
      </c>
      <c r="H6" s="3398"/>
      <c r="I6" s="3397" t="s">
        <v>2327</v>
      </c>
      <c r="J6" s="3398"/>
      <c r="K6" s="567" t="s">
        <v>2328</v>
      </c>
      <c r="L6" s="2935"/>
      <c r="M6" s="2936"/>
      <c r="N6" s="2936"/>
      <c r="O6" s="2936"/>
      <c r="P6" s="3478"/>
      <c r="Q6" s="3411"/>
      <c r="R6" s="3391"/>
      <c r="S6" s="3392"/>
      <c r="T6" s="3412"/>
      <c r="U6" s="3413"/>
      <c r="V6" s="3414"/>
      <c r="W6" s="3414"/>
      <c r="X6" s="1538"/>
      <c r="Y6" s="3412"/>
      <c r="Z6" s="3413"/>
      <c r="AA6" s="3386"/>
      <c r="AB6" s="3386"/>
      <c r="AC6" s="3474"/>
    </row>
    <row r="7" spans="1:29" s="113" customFormat="1" ht="15.75" thickBot="1">
      <c r="A7" s="368" t="s">
        <v>2329</v>
      </c>
      <c r="B7" s="369"/>
      <c r="C7" s="370">
        <f>'数据-取费表'!B2</f>
        <v>44314</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80" t="s">
        <v>2330</v>
      </c>
      <c r="Q7" s="3415"/>
      <c r="R7" s="710" t="s">
        <v>17</v>
      </c>
      <c r="S7" s="711">
        <f t="shared" ref="S7:S15" si="0">F7</f>
        <v>0</v>
      </c>
      <c r="T7" s="710" t="s">
        <v>17</v>
      </c>
      <c r="U7" s="711">
        <f t="shared" ref="U7:U15" si="1">H7</f>
        <v>0</v>
      </c>
      <c r="V7" s="710" t="s">
        <v>17</v>
      </c>
      <c r="W7" s="711">
        <f t="shared" ref="W7:W15" si="2">J7</f>
        <v>0</v>
      </c>
      <c r="X7" s="712"/>
      <c r="Y7" s="3387" t="s">
        <v>2330</v>
      </c>
      <c r="Z7" s="3388"/>
      <c r="AA7" s="713" t="e">
        <f>D7/F7</f>
        <v>#DIV/0!</v>
      </c>
      <c r="AB7" s="713" t="e">
        <f>D7/H7</f>
        <v>#DIV/0!</v>
      </c>
      <c r="AC7" s="2141" t="e">
        <f>D7/J7</f>
        <v>#DIV/0!</v>
      </c>
    </row>
    <row r="8" spans="1:29" s="113" customFormat="1" ht="15.75" thickBot="1">
      <c r="A8" s="368" t="s">
        <v>2331</v>
      </c>
      <c r="B8" s="369"/>
      <c r="C8" s="374" t="s">
        <v>2433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80" t="s">
        <v>2333</v>
      </c>
      <c r="Q8" s="3388"/>
      <c r="R8" s="710" t="s">
        <v>17</v>
      </c>
      <c r="S8" s="711">
        <f t="shared" si="0"/>
        <v>0</v>
      </c>
      <c r="T8" s="710" t="s">
        <v>17</v>
      </c>
      <c r="U8" s="711">
        <f t="shared" si="1"/>
        <v>0</v>
      </c>
      <c r="V8" s="710" t="s">
        <v>17</v>
      </c>
      <c r="W8" s="711">
        <f t="shared" si="2"/>
        <v>0</v>
      </c>
      <c r="X8" s="712"/>
      <c r="Y8" s="3387" t="s">
        <v>2333</v>
      </c>
      <c r="Z8" s="3388"/>
      <c r="AA8" s="713" t="e">
        <f t="shared" ref="AA8:AA47" si="3">D8/F8</f>
        <v>#DIV/0!</v>
      </c>
      <c r="AB8" s="713" t="e">
        <f t="shared" ref="AB8:AB47" si="4">D8/H8</f>
        <v>#DIV/0!</v>
      </c>
      <c r="AC8" s="2141" t="e">
        <f t="shared" ref="AC8:AC47" si="5">D8/J8</f>
        <v>#DIV/0!</v>
      </c>
    </row>
    <row r="9" spans="1:29" s="113" customFormat="1">
      <c r="A9" s="375" t="s">
        <v>2334</v>
      </c>
      <c r="B9" s="67" t="s">
        <v>2335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425"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2141">
        <f t="shared" si="5"/>
        <v>1</v>
      </c>
    </row>
    <row r="10" spans="1:29" s="386" customFormat="1" ht="27">
      <c r="A10" s="380"/>
      <c r="B10" s="381" t="s">
        <v>2338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425"/>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2141">
        <f t="shared" si="5"/>
        <v>1</v>
      </c>
    </row>
    <row r="11" spans="1:29" ht="15">
      <c r="A11" s="387"/>
      <c r="B11" s="381" t="s">
        <v>2339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425"/>
      <c r="Q11" s="1526"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37"/>
      <c r="M12" s="2938"/>
      <c r="N12" s="2938"/>
      <c r="O12" s="2938"/>
      <c r="P12" s="3425"/>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2"/>
      <c r="M13" s="2936"/>
      <c r="N13" s="2936"/>
      <c r="O13" s="2936"/>
      <c r="P13" s="3425"/>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2"/>
      <c r="M14" s="2936"/>
      <c r="N14" s="2936"/>
      <c r="O14" s="2936"/>
      <c r="P14" s="3425"/>
      <c r="Q14" s="1526">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2141">
        <f t="shared" si="5"/>
        <v>1</v>
      </c>
    </row>
    <row r="15" spans="1:29" ht="15">
      <c r="A15" s="399" t="s">
        <v>2340</v>
      </c>
      <c r="B15" s="585" t="s">
        <v>2468</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67" t="s">
        <v>2341</v>
      </c>
      <c r="Q15" s="1535" t="str">
        <f t="shared" si="6"/>
        <v>办公集聚程度</v>
      </c>
      <c r="R15" s="714" t="s">
        <v>17</v>
      </c>
      <c r="S15" s="715">
        <f t="shared" si="0"/>
        <v>100</v>
      </c>
      <c r="T15" s="714" t="s">
        <v>17</v>
      </c>
      <c r="U15" s="715">
        <f t="shared" si="1"/>
        <v>100</v>
      </c>
      <c r="V15" s="714" t="s">
        <v>17</v>
      </c>
      <c r="W15" s="715">
        <f t="shared" si="2"/>
        <v>100</v>
      </c>
      <c r="X15" s="1538"/>
      <c r="Y15" s="3416" t="s">
        <v>2341</v>
      </c>
      <c r="Z15" s="1539" t="str">
        <f t="shared" si="7"/>
        <v>办公集聚程度</v>
      </c>
      <c r="AA15" s="1536">
        <f t="shared" si="3"/>
        <v>1</v>
      </c>
      <c r="AB15" s="1536">
        <f t="shared" si="4"/>
        <v>1</v>
      </c>
      <c r="AC15" s="2144">
        <f t="shared" si="5"/>
        <v>1</v>
      </c>
    </row>
    <row r="16" spans="1:29" ht="15">
      <c r="A16" s="387"/>
      <c r="B16" s="586"/>
      <c r="C16" s="2086"/>
      <c r="D16" s="407"/>
      <c r="E16" s="406"/>
      <c r="F16" s="407"/>
      <c r="G16" s="2086"/>
      <c r="H16" s="409"/>
      <c r="I16" s="406"/>
      <c r="J16" s="407"/>
      <c r="K16" s="572"/>
      <c r="L16" s="2942"/>
      <c r="M16" s="2936"/>
      <c r="N16" s="2936"/>
      <c r="O16" s="2936"/>
      <c r="P16" s="3468"/>
      <c r="Q16" s="1535"/>
      <c r="R16" s="714"/>
      <c r="S16" s="715"/>
      <c r="T16" s="714"/>
      <c r="U16" s="715"/>
      <c r="V16" s="714"/>
      <c r="W16" s="715"/>
      <c r="X16" s="1538"/>
      <c r="Y16" s="3417"/>
      <c r="Z16" s="1539"/>
      <c r="AA16" s="1536">
        <v>1</v>
      </c>
      <c r="AB16" s="1536">
        <v>1</v>
      </c>
      <c r="AC16" s="2144">
        <v>1</v>
      </c>
    </row>
    <row r="17" spans="1:29" ht="114">
      <c r="A17" s="387"/>
      <c r="B17" s="587" t="s">
        <v>1944</v>
      </c>
      <c r="C17" s="2145" t="str">
        <f>估价对象房地状况!C6</f>
        <v>估价对象周边道路状况、公共交通通达情况：341、453、555等公交线路及地铁八号线经过、停车便捷程度较好，综合评价交通便捷度较好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68"/>
      <c r="Q17" s="1535" t="str">
        <f>B17</f>
        <v>交通便捷度</v>
      </c>
      <c r="R17" s="714" t="s">
        <v>17</v>
      </c>
      <c r="S17" s="715">
        <f>F17</f>
        <v>100</v>
      </c>
      <c r="T17" s="714" t="s">
        <v>17</v>
      </c>
      <c r="U17" s="715">
        <f>H17</f>
        <v>100</v>
      </c>
      <c r="V17" s="714" t="s">
        <v>17</v>
      </c>
      <c r="W17" s="715">
        <f>J17</f>
        <v>100</v>
      </c>
      <c r="X17" s="1538"/>
      <c r="Y17" s="3417"/>
      <c r="Z17" s="1539" t="str">
        <f>Q17</f>
        <v>交通便捷度</v>
      </c>
      <c r="AA17" s="1536">
        <f t="shared" si="3"/>
        <v>1</v>
      </c>
      <c r="AB17" s="1536">
        <f t="shared" si="4"/>
        <v>1</v>
      </c>
      <c r="AC17" s="2144">
        <f t="shared" si="5"/>
        <v>1</v>
      </c>
    </row>
    <row r="18" spans="1:29" ht="15">
      <c r="A18" s="387"/>
      <c r="B18" s="588"/>
      <c r="C18" s="2146"/>
      <c r="D18" s="409"/>
      <c r="E18" s="2084"/>
      <c r="F18" s="409"/>
      <c r="G18" s="2085"/>
      <c r="H18" s="407"/>
      <c r="I18" s="2085"/>
      <c r="J18" s="407"/>
      <c r="K18" s="572"/>
      <c r="L18" s="2942"/>
      <c r="M18" s="2936"/>
      <c r="N18" s="2936"/>
      <c r="O18" s="2936"/>
      <c r="P18" s="3468"/>
      <c r="Q18" s="1535"/>
      <c r="R18" s="714"/>
      <c r="S18" s="715"/>
      <c r="T18" s="714"/>
      <c r="U18" s="715"/>
      <c r="V18" s="714"/>
      <c r="W18" s="715"/>
      <c r="X18" s="1538"/>
      <c r="Y18" s="3417"/>
      <c r="Z18" s="1539"/>
      <c r="AA18" s="1536">
        <v>1</v>
      </c>
      <c r="AB18" s="1536">
        <v>1</v>
      </c>
      <c r="AC18" s="2144">
        <v>1</v>
      </c>
    </row>
    <row r="19" spans="1:29" ht="42.75">
      <c r="A19" s="387"/>
      <c r="B19" s="587" t="s">
        <v>2469</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68"/>
      <c r="Q19" s="1535" t="str">
        <f>B19</f>
        <v>公共配套设施</v>
      </c>
      <c r="R19" s="714" t="s">
        <v>17</v>
      </c>
      <c r="S19" s="715">
        <f>F19</f>
        <v>100</v>
      </c>
      <c r="T19" s="714" t="s">
        <v>17</v>
      </c>
      <c r="U19" s="715">
        <f>H19</f>
        <v>100</v>
      </c>
      <c r="V19" s="714" t="s">
        <v>17</v>
      </c>
      <c r="W19" s="715">
        <f>J19</f>
        <v>100</v>
      </c>
      <c r="X19" s="1538"/>
      <c r="Y19" s="3417"/>
      <c r="Z19" s="1539" t="str">
        <f>Q19</f>
        <v>公共配套设施</v>
      </c>
      <c r="AA19" s="1536">
        <f t="shared" si="3"/>
        <v>1</v>
      </c>
      <c r="AB19" s="1536">
        <f t="shared" si="4"/>
        <v>1</v>
      </c>
      <c r="AC19" s="2144">
        <f t="shared" si="5"/>
        <v>1</v>
      </c>
    </row>
    <row r="20" spans="1:29" ht="15">
      <c r="A20" s="387"/>
      <c r="B20" s="588"/>
      <c r="C20" s="2086"/>
      <c r="D20" s="407"/>
      <c r="E20" s="2079"/>
      <c r="F20" s="407"/>
      <c r="G20" s="2080"/>
      <c r="H20" s="407"/>
      <c r="I20" s="2080"/>
      <c r="J20" s="407"/>
      <c r="K20" s="572"/>
      <c r="L20" s="2942"/>
      <c r="M20" s="2936"/>
      <c r="N20" s="2936"/>
      <c r="O20" s="2936"/>
      <c r="P20" s="3468"/>
      <c r="Q20" s="1535"/>
      <c r="R20" s="714"/>
      <c r="S20" s="715"/>
      <c r="T20" s="714"/>
      <c r="U20" s="715"/>
      <c r="V20" s="714"/>
      <c r="W20" s="715"/>
      <c r="X20" s="1538"/>
      <c r="Y20" s="3417"/>
      <c r="Z20" s="1539"/>
      <c r="AA20" s="1536">
        <v>1</v>
      </c>
      <c r="AB20" s="1536">
        <v>1</v>
      </c>
      <c r="AC20" s="2144">
        <v>1</v>
      </c>
    </row>
    <row r="21" spans="1:29" ht="28.5">
      <c r="A21" s="387"/>
      <c r="B21" s="589" t="s">
        <v>2470</v>
      </c>
      <c r="C21" s="2145" t="str">
        <f>估价对象房地状况!C8</f>
        <v>估价对象所在区域基础设施水平较高</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68"/>
      <c r="Q21" s="1535" t="str">
        <f>B21</f>
        <v>基础设施水平</v>
      </c>
      <c r="R21" s="714" t="s">
        <v>17</v>
      </c>
      <c r="S21" s="715">
        <f>F21</f>
        <v>100</v>
      </c>
      <c r="T21" s="714" t="s">
        <v>17</v>
      </c>
      <c r="U21" s="715">
        <f>H21</f>
        <v>100</v>
      </c>
      <c r="V21" s="714" t="s">
        <v>17</v>
      </c>
      <c r="W21" s="715">
        <f>J21</f>
        <v>100</v>
      </c>
      <c r="X21" s="1538"/>
      <c r="Y21" s="3417"/>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6"/>
      <c r="H22" s="407"/>
      <c r="I22" s="2086"/>
      <c r="J22" s="407"/>
      <c r="K22" s="1292"/>
      <c r="L22" s="2942"/>
      <c r="M22" s="2936"/>
      <c r="N22" s="2936"/>
      <c r="O22" s="2936"/>
      <c r="P22" s="3468"/>
      <c r="Q22" s="1535"/>
      <c r="R22" s="714"/>
      <c r="S22" s="715"/>
      <c r="T22" s="714"/>
      <c r="U22" s="715"/>
      <c r="V22" s="714"/>
      <c r="W22" s="715"/>
      <c r="X22" s="1538"/>
      <c r="Y22" s="3417"/>
      <c r="Z22" s="1539"/>
      <c r="AA22" s="1536">
        <v>1</v>
      </c>
      <c r="AB22" s="1536">
        <v>1</v>
      </c>
      <c r="AC22" s="2144">
        <v>1</v>
      </c>
    </row>
    <row r="23" spans="1:29" ht="71.25">
      <c r="A23" s="387"/>
      <c r="B23" s="587" t="s">
        <v>2471</v>
      </c>
      <c r="C23" s="2145" t="str">
        <f>估价对象房地状况!C9</f>
        <v>区域自然环境：南海子公园、旧宫公园、市民公园；人文环境；综合评价环境状况一般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68"/>
      <c r="Q23" s="1535" t="str">
        <f>B23</f>
        <v>环境质量</v>
      </c>
      <c r="R23" s="714" t="s">
        <v>17</v>
      </c>
      <c r="S23" s="715">
        <f>F23</f>
        <v>100</v>
      </c>
      <c r="T23" s="714" t="s">
        <v>17</v>
      </c>
      <c r="U23" s="715">
        <f>H23</f>
        <v>100</v>
      </c>
      <c r="V23" s="714" t="s">
        <v>17</v>
      </c>
      <c r="W23" s="715">
        <f>J23</f>
        <v>100</v>
      </c>
      <c r="X23" s="1538"/>
      <c r="Y23" s="3417"/>
      <c r="Z23" s="1539" t="str">
        <f>Q23</f>
        <v>环境质量</v>
      </c>
      <c r="AA23" s="1536">
        <f t="shared" si="3"/>
        <v>1</v>
      </c>
      <c r="AB23" s="1536">
        <f t="shared" si="4"/>
        <v>1</v>
      </c>
      <c r="AC23" s="2144">
        <f t="shared" si="5"/>
        <v>1</v>
      </c>
    </row>
    <row r="24" spans="1:29" ht="15">
      <c r="A24" s="387"/>
      <c r="B24" s="589"/>
      <c r="C24" s="2086"/>
      <c r="D24" s="407"/>
      <c r="E24" s="2079"/>
      <c r="F24" s="407"/>
      <c r="G24" s="2080"/>
      <c r="H24" s="407"/>
      <c r="I24" s="2080"/>
      <c r="J24" s="407"/>
      <c r="K24" s="572"/>
      <c r="L24" s="2942"/>
      <c r="M24" s="2936"/>
      <c r="N24" s="2936"/>
      <c r="O24" s="2936"/>
      <c r="P24" s="3468"/>
      <c r="Q24" s="1535"/>
      <c r="R24" s="714"/>
      <c r="S24" s="715"/>
      <c r="T24" s="714"/>
      <c r="U24" s="715"/>
      <c r="V24" s="714"/>
      <c r="W24" s="715"/>
      <c r="X24" s="1538"/>
      <c r="Y24" s="3417"/>
      <c r="Z24" s="1539"/>
      <c r="AA24" s="1536">
        <v>1</v>
      </c>
      <c r="AB24" s="1536">
        <v>1</v>
      </c>
      <c r="AC24" s="2144">
        <v>1</v>
      </c>
    </row>
    <row r="25" spans="1:29" ht="27">
      <c r="A25" s="364"/>
      <c r="B25" s="587" t="s">
        <v>2472</v>
      </c>
      <c r="C25" s="2090"/>
      <c r="D25" s="394">
        <v>100</v>
      </c>
      <c r="E25" s="393"/>
      <c r="F25" s="394">
        <f>SUMIF(87:87,E26,88:88)-SUMIF(87:87,C26,88:88)+100</f>
        <v>100</v>
      </c>
      <c r="G25" s="2090"/>
      <c r="H25" s="394">
        <f>SUMIF(87:87,G26,88:88)-SUMIF(87:87,C26,88:88)+100</f>
        <v>100</v>
      </c>
      <c r="I25" s="393"/>
      <c r="J25" s="394">
        <f>SUMIF(87:87,I26,88:88)-SUMIF(87:87,C26,88:88)+100</f>
        <v>100</v>
      </c>
      <c r="K25" s="571"/>
      <c r="L25" s="2942"/>
      <c r="M25" s="2936"/>
      <c r="N25" s="2936"/>
      <c r="O25" s="2936"/>
      <c r="P25" s="3468"/>
      <c r="Q25" s="1535" t="str">
        <f>B25</f>
        <v>毗邻道路的类型与等级</v>
      </c>
      <c r="R25" s="714" t="s">
        <v>17</v>
      </c>
      <c r="S25" s="715">
        <f>F25</f>
        <v>100</v>
      </c>
      <c r="T25" s="714" t="s">
        <v>17</v>
      </c>
      <c r="U25" s="715">
        <f>H25</f>
        <v>100</v>
      </c>
      <c r="V25" s="714" t="s">
        <v>17</v>
      </c>
      <c r="W25" s="715">
        <f>J25</f>
        <v>100</v>
      </c>
      <c r="X25" s="1538"/>
      <c r="Y25" s="3417"/>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2"/>
      <c r="M26" s="2936"/>
      <c r="N26" s="2936"/>
      <c r="O26" s="2936"/>
      <c r="P26" s="3468"/>
      <c r="Q26" s="1535"/>
      <c r="R26" s="714"/>
      <c r="S26" s="715"/>
      <c r="T26" s="714"/>
      <c r="U26" s="715"/>
      <c r="V26" s="714"/>
      <c r="W26" s="715"/>
      <c r="X26" s="1538"/>
      <c r="Y26" s="3417"/>
      <c r="Z26" s="1539"/>
      <c r="AA26" s="1536">
        <v>1</v>
      </c>
      <c r="AB26" s="1536">
        <v>1</v>
      </c>
      <c r="AC26" s="2144">
        <v>1</v>
      </c>
    </row>
    <row r="27" spans="1:29" ht="15">
      <c r="A27" s="387"/>
      <c r="B27" s="588" t="s">
        <v>2440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68"/>
      <c r="Q27" s="1535" t="str">
        <f t="shared" ref="Q27:Q47" si="11">B27</f>
        <v>楼层</v>
      </c>
      <c r="R27" s="714" t="s">
        <v>17</v>
      </c>
      <c r="S27" s="715">
        <f>F27</f>
        <v>100</v>
      </c>
      <c r="T27" s="714" t="s">
        <v>17</v>
      </c>
      <c r="U27" s="715">
        <f>H27</f>
        <v>100</v>
      </c>
      <c r="V27" s="714" t="s">
        <v>17</v>
      </c>
      <c r="W27" s="715">
        <f>J27</f>
        <v>100</v>
      </c>
      <c r="X27" s="1538"/>
      <c r="Y27" s="3417"/>
      <c r="Z27" s="1539" t="str">
        <f>Q27</f>
        <v>楼层</v>
      </c>
      <c r="AA27" s="1536">
        <f t="shared" si="3"/>
        <v>1</v>
      </c>
      <c r="AB27" s="1536">
        <f t="shared" si="4"/>
        <v>1</v>
      </c>
      <c r="AC27" s="2144">
        <f t="shared" si="5"/>
        <v>1</v>
      </c>
    </row>
    <row r="28" spans="1:29" s="113" customFormat="1" ht="15">
      <c r="A28" s="390"/>
      <c r="B28" s="587" t="s">
        <v>2473</v>
      </c>
      <c r="C28" s="2147"/>
      <c r="D28" s="421">
        <v>100</v>
      </c>
      <c r="E28" s="2138"/>
      <c r="F28" s="421">
        <f>SUMIF(91:91,E28,92:92)-SUMIF(91:91,C28,92:92)+100</f>
        <v>100</v>
      </c>
      <c r="G28" s="2147"/>
      <c r="H28" s="421">
        <f>SUMIF(91:91,G28,92:92)-SUMIF(91:91,C28,92:92)+100</f>
        <v>100</v>
      </c>
      <c r="I28" s="2138"/>
      <c r="J28" s="421">
        <f>SUMIF(91:91,I28,92:92)-SUMIF(91:91,C28,92:92)+100</f>
        <v>100</v>
      </c>
      <c r="K28" s="569"/>
      <c r="L28" s="2937"/>
      <c r="M28" s="2938"/>
      <c r="N28" s="2938"/>
      <c r="O28" s="2938"/>
      <c r="P28" s="3468"/>
      <c r="Q28" s="1526" t="str">
        <f t="shared" si="11"/>
        <v>朝向</v>
      </c>
      <c r="R28" s="710" t="s">
        <v>17</v>
      </c>
      <c r="S28" s="711">
        <f>F28</f>
        <v>100</v>
      </c>
      <c r="T28" s="710" t="s">
        <v>17</v>
      </c>
      <c r="U28" s="711">
        <f>H28</f>
        <v>100</v>
      </c>
      <c r="V28" s="710" t="s">
        <v>17</v>
      </c>
      <c r="W28" s="711">
        <f>J28</f>
        <v>100</v>
      </c>
      <c r="X28" s="712"/>
      <c r="Y28" s="3417"/>
      <c r="Z28" s="55" t="str">
        <f>Q28</f>
        <v>朝向</v>
      </c>
      <c r="AA28" s="1536">
        <f>D28/F28</f>
        <v>1</v>
      </c>
      <c r="AB28" s="1536">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2"/>
      <c r="M29" s="2936"/>
      <c r="N29" s="2936"/>
      <c r="O29" s="2936"/>
      <c r="P29" s="3468"/>
      <c r="Q29" s="1535">
        <f t="shared" si="11"/>
        <v>111</v>
      </c>
      <c r="R29" s="714" t="s">
        <v>17</v>
      </c>
      <c r="S29" s="715">
        <f t="shared" ref="S29:S47" si="12">F29</f>
        <v>100</v>
      </c>
      <c r="T29" s="714" t="s">
        <v>17</v>
      </c>
      <c r="U29" s="715">
        <f t="shared" ref="U29:U47" si="13">H29</f>
        <v>100</v>
      </c>
      <c r="V29" s="714" t="s">
        <v>17</v>
      </c>
      <c r="W29" s="715">
        <f t="shared" ref="W29:W47" si="14">J29</f>
        <v>100</v>
      </c>
      <c r="X29" s="1538"/>
      <c r="Y29" s="3417"/>
      <c r="Z29" s="1539">
        <f t="shared" ref="Z29:Z47" si="15">Q29</f>
        <v>111</v>
      </c>
      <c r="AA29" s="1536">
        <f t="shared" si="3"/>
        <v>1</v>
      </c>
      <c r="AB29" s="1536">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2"/>
      <c r="M30" s="2936"/>
      <c r="N30" s="2936"/>
      <c r="O30" s="2936"/>
      <c r="P30" s="3468"/>
      <c r="Q30" s="1535">
        <f t="shared" si="11"/>
        <v>111</v>
      </c>
      <c r="R30" s="714" t="s">
        <v>17</v>
      </c>
      <c r="S30" s="715">
        <f t="shared" si="12"/>
        <v>100</v>
      </c>
      <c r="T30" s="714" t="s">
        <v>17</v>
      </c>
      <c r="U30" s="715">
        <f t="shared" si="13"/>
        <v>100</v>
      </c>
      <c r="V30" s="714" t="s">
        <v>17</v>
      </c>
      <c r="W30" s="715">
        <f t="shared" si="14"/>
        <v>100</v>
      </c>
      <c r="X30" s="1538"/>
      <c r="Y30" s="3417"/>
      <c r="Z30" s="1539">
        <f t="shared" si="15"/>
        <v>111</v>
      </c>
      <c r="AA30" s="1536">
        <f t="shared" si="3"/>
        <v>1</v>
      </c>
      <c r="AB30" s="1536">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2"/>
      <c r="M31" s="2936"/>
      <c r="N31" s="2936"/>
      <c r="O31" s="2936"/>
      <c r="P31" s="3468"/>
      <c r="Q31" s="1535">
        <f t="shared" si="11"/>
        <v>111</v>
      </c>
      <c r="R31" s="714" t="s">
        <v>17</v>
      </c>
      <c r="S31" s="715">
        <f t="shared" si="12"/>
        <v>100</v>
      </c>
      <c r="T31" s="714" t="s">
        <v>17</v>
      </c>
      <c r="U31" s="715">
        <f t="shared" si="13"/>
        <v>100</v>
      </c>
      <c r="V31" s="714" t="s">
        <v>17</v>
      </c>
      <c r="W31" s="715">
        <f t="shared" si="14"/>
        <v>100</v>
      </c>
      <c r="X31" s="1538"/>
      <c r="Y31" s="3417"/>
      <c r="Z31" s="1539">
        <f t="shared" si="15"/>
        <v>111</v>
      </c>
      <c r="AA31" s="1536">
        <f t="shared" si="3"/>
        <v>1</v>
      </c>
      <c r="AB31" s="1536">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2"/>
      <c r="M32" s="2936"/>
      <c r="N32" s="2936"/>
      <c r="O32" s="2936"/>
      <c r="P32" s="3468"/>
      <c r="Q32" s="1535">
        <f t="shared" si="11"/>
        <v>111</v>
      </c>
      <c r="R32" s="714" t="s">
        <v>17</v>
      </c>
      <c r="S32" s="715">
        <f t="shared" si="12"/>
        <v>100</v>
      </c>
      <c r="T32" s="714" t="s">
        <v>17</v>
      </c>
      <c r="U32" s="715">
        <f t="shared" si="13"/>
        <v>100</v>
      </c>
      <c r="V32" s="714" t="s">
        <v>17</v>
      </c>
      <c r="W32" s="715">
        <f t="shared" si="14"/>
        <v>100</v>
      </c>
      <c r="X32" s="1538"/>
      <c r="Y32" s="3417"/>
      <c r="Z32" s="1539">
        <f t="shared" si="15"/>
        <v>111</v>
      </c>
      <c r="AA32" s="1536">
        <f t="shared" si="3"/>
        <v>1</v>
      </c>
      <c r="AB32" s="1536">
        <f t="shared" si="4"/>
        <v>1</v>
      </c>
      <c r="AC32" s="2144">
        <f t="shared" si="5"/>
        <v>1</v>
      </c>
    </row>
    <row r="33" spans="1:29" ht="15">
      <c r="A33" s="399" t="s">
        <v>2344</v>
      </c>
      <c r="B33" s="67" t="s">
        <v>2474</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2"/>
      <c r="M33" s="2936"/>
      <c r="N33" s="2936"/>
      <c r="O33" s="2936"/>
      <c r="P33" s="3463" t="s">
        <v>2346</v>
      </c>
      <c r="Q33" s="1535" t="str">
        <f t="shared" si="11"/>
        <v>建筑类型</v>
      </c>
      <c r="R33" s="714" t="s">
        <v>17</v>
      </c>
      <c r="S33" s="715">
        <f t="shared" si="12"/>
        <v>100</v>
      </c>
      <c r="T33" s="714" t="s">
        <v>17</v>
      </c>
      <c r="U33" s="715">
        <f t="shared" si="13"/>
        <v>100</v>
      </c>
      <c r="V33" s="714" t="s">
        <v>17</v>
      </c>
      <c r="W33" s="715">
        <f t="shared" si="14"/>
        <v>100</v>
      </c>
      <c r="X33" s="1538"/>
      <c r="Y33" s="3419" t="s">
        <v>2346</v>
      </c>
      <c r="Z33" s="1539" t="str">
        <f t="shared" si="15"/>
        <v>建筑类型</v>
      </c>
      <c r="AA33" s="1536">
        <f t="shared" si="3"/>
        <v>1</v>
      </c>
      <c r="AB33" s="1536">
        <f t="shared" si="4"/>
        <v>1</v>
      </c>
      <c r="AC33" s="2144">
        <f t="shared" si="5"/>
        <v>1</v>
      </c>
    </row>
    <row r="34" spans="1:29" s="430" customFormat="1" ht="15">
      <c r="A34" s="427"/>
      <c r="B34" s="381" t="s">
        <v>2347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64"/>
      <c r="Q34" s="716" t="str">
        <f t="shared" si="11"/>
        <v>项目建筑规模</v>
      </c>
      <c r="R34" s="717" t="s">
        <v>17</v>
      </c>
      <c r="S34" s="718" t="e">
        <f t="shared" si="12"/>
        <v>#N/A</v>
      </c>
      <c r="T34" s="717" t="s">
        <v>17</v>
      </c>
      <c r="U34" s="718" t="e">
        <f t="shared" si="13"/>
        <v>#N/A</v>
      </c>
      <c r="V34" s="717" t="s">
        <v>17</v>
      </c>
      <c r="W34" s="718" t="e">
        <f t="shared" si="14"/>
        <v>#N/A</v>
      </c>
      <c r="X34" s="719"/>
      <c r="Y34" s="3419"/>
      <c r="Z34" s="720" t="str">
        <f t="shared" si="15"/>
        <v>项目建筑规模</v>
      </c>
      <c r="AA34" s="1536" t="e">
        <f t="shared" si="3"/>
        <v>#N/A</v>
      </c>
      <c r="AB34" s="1536" t="e">
        <f t="shared" si="4"/>
        <v>#N/A</v>
      </c>
      <c r="AC34" s="2144" t="e">
        <f t="shared" si="5"/>
        <v>#N/A</v>
      </c>
    </row>
    <row r="35" spans="1:29" ht="15">
      <c r="A35" s="431"/>
      <c r="B35" s="381" t="s">
        <v>2348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64"/>
      <c r="Q35" s="1535" t="str">
        <f t="shared" si="11"/>
        <v>建筑结构</v>
      </c>
      <c r="R35" s="714" t="s">
        <v>17</v>
      </c>
      <c r="S35" s="715">
        <f t="shared" si="12"/>
        <v>100</v>
      </c>
      <c r="T35" s="714" t="s">
        <v>17</v>
      </c>
      <c r="U35" s="715">
        <f t="shared" si="13"/>
        <v>100</v>
      </c>
      <c r="V35" s="714" t="s">
        <v>17</v>
      </c>
      <c r="W35" s="715">
        <f t="shared" si="14"/>
        <v>100</v>
      </c>
      <c r="X35" s="1538"/>
      <c r="Y35" s="3419"/>
      <c r="Z35" s="1539" t="str">
        <f t="shared" si="15"/>
        <v>建筑结构</v>
      </c>
      <c r="AA35" s="1536">
        <f t="shared" si="3"/>
        <v>1</v>
      </c>
      <c r="AB35" s="1536">
        <f t="shared" si="4"/>
        <v>1</v>
      </c>
      <c r="AC35" s="2144">
        <f t="shared" si="5"/>
        <v>1</v>
      </c>
    </row>
    <row r="36" spans="1:29" ht="15">
      <c r="A36" s="431"/>
      <c r="B36" s="381" t="s">
        <v>2442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64"/>
      <c r="Q36" s="1535" t="str">
        <f t="shared" si="11"/>
        <v>公共部分装修</v>
      </c>
      <c r="R36" s="714" t="s">
        <v>17</v>
      </c>
      <c r="S36" s="715">
        <f t="shared" si="12"/>
        <v>100</v>
      </c>
      <c r="T36" s="714" t="s">
        <v>17</v>
      </c>
      <c r="U36" s="715">
        <f t="shared" si="13"/>
        <v>100</v>
      </c>
      <c r="V36" s="714" t="s">
        <v>17</v>
      </c>
      <c r="W36" s="715">
        <f t="shared" si="14"/>
        <v>100</v>
      </c>
      <c r="X36" s="1538"/>
      <c r="Y36" s="3419"/>
      <c r="Z36" s="1539" t="str">
        <f t="shared" si="15"/>
        <v>公共部分装修</v>
      </c>
      <c r="AA36" s="1536">
        <f t="shared" si="3"/>
        <v>1</v>
      </c>
      <c r="AB36" s="1536">
        <f t="shared" si="4"/>
        <v>1</v>
      </c>
      <c r="AC36" s="2144">
        <f t="shared" si="5"/>
        <v>1</v>
      </c>
    </row>
    <row r="37" spans="1:29" ht="15">
      <c r="A37" s="431"/>
      <c r="B37" s="381" t="s">
        <v>2443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64"/>
      <c r="Q37" s="1535" t="str">
        <f t="shared" si="11"/>
        <v>成新度</v>
      </c>
      <c r="R37" s="714" t="s">
        <v>17</v>
      </c>
      <c r="S37" s="715" t="e">
        <f t="shared" si="12"/>
        <v>#N/A</v>
      </c>
      <c r="T37" s="714" t="s">
        <v>17</v>
      </c>
      <c r="U37" s="715" t="e">
        <f t="shared" si="13"/>
        <v>#N/A</v>
      </c>
      <c r="V37" s="714" t="s">
        <v>17</v>
      </c>
      <c r="W37" s="715" t="e">
        <f t="shared" si="14"/>
        <v>#N/A</v>
      </c>
      <c r="X37" s="1538"/>
      <c r="Y37" s="3419"/>
      <c r="Z37" s="1539" t="str">
        <f t="shared" si="15"/>
        <v>成新度</v>
      </c>
      <c r="AA37" s="1536" t="e">
        <f t="shared" si="3"/>
        <v>#N/A</v>
      </c>
      <c r="AB37" s="1536" t="e">
        <f t="shared" si="4"/>
        <v>#N/A</v>
      </c>
      <c r="AC37" s="2144" t="e">
        <f t="shared" si="5"/>
        <v>#N/A</v>
      </c>
    </row>
    <row r="38" spans="1:29" s="113" customFormat="1" ht="15">
      <c r="A38" s="432"/>
      <c r="B38" s="381" t="s">
        <v>2475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64"/>
      <c r="Q38" s="1526" t="str">
        <f t="shared" si="11"/>
        <v>写字楼等级</v>
      </c>
      <c r="R38" s="710" t="s">
        <v>17</v>
      </c>
      <c r="S38" s="711">
        <f t="shared" si="12"/>
        <v>100</v>
      </c>
      <c r="T38" s="710" t="s">
        <v>17</v>
      </c>
      <c r="U38" s="711">
        <f t="shared" si="13"/>
        <v>100</v>
      </c>
      <c r="V38" s="710" t="s">
        <v>17</v>
      </c>
      <c r="W38" s="711">
        <f t="shared" si="14"/>
        <v>100</v>
      </c>
      <c r="X38" s="712"/>
      <c r="Y38" s="3419"/>
      <c r="Z38" s="55" t="str">
        <f t="shared" si="15"/>
        <v>写字楼等级</v>
      </c>
      <c r="AA38" s="713">
        <f t="shared" si="3"/>
        <v>1</v>
      </c>
      <c r="AB38" s="713">
        <f t="shared" si="4"/>
        <v>1</v>
      </c>
      <c r="AC38" s="2141">
        <f t="shared" si="5"/>
        <v>1</v>
      </c>
    </row>
    <row r="39" spans="1:29" ht="15">
      <c r="A39" s="431"/>
      <c r="B39" s="381" t="s">
        <v>2476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64" t="s">
        <v>2346</v>
      </c>
      <c r="Q39" s="1535" t="str">
        <f t="shared" si="11"/>
        <v>物业管理</v>
      </c>
      <c r="R39" s="714" t="s">
        <v>17</v>
      </c>
      <c r="S39" s="715">
        <f t="shared" si="12"/>
        <v>100</v>
      </c>
      <c r="T39" s="714" t="s">
        <v>17</v>
      </c>
      <c r="U39" s="715">
        <f t="shared" si="13"/>
        <v>100</v>
      </c>
      <c r="V39" s="714" t="s">
        <v>17</v>
      </c>
      <c r="W39" s="715">
        <f t="shared" si="14"/>
        <v>100</v>
      </c>
      <c r="X39" s="1538"/>
      <c r="Y39" s="3419" t="s">
        <v>2346</v>
      </c>
      <c r="Z39" s="1539" t="str">
        <f t="shared" si="15"/>
        <v>物业管理</v>
      </c>
      <c r="AA39" s="1536">
        <f t="shared" si="3"/>
        <v>1</v>
      </c>
      <c r="AB39" s="1536">
        <f t="shared" si="4"/>
        <v>1</v>
      </c>
      <c r="AC39" s="2144">
        <f t="shared" si="5"/>
        <v>1</v>
      </c>
    </row>
    <row r="40" spans="1:29" ht="15">
      <c r="A40" s="431"/>
      <c r="B40" s="381" t="s">
        <v>2444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64"/>
      <c r="Q40" s="1535" t="str">
        <f t="shared" si="11"/>
        <v>市政基础设施</v>
      </c>
      <c r="R40" s="714" t="s">
        <v>17</v>
      </c>
      <c r="S40" s="715">
        <f t="shared" si="12"/>
        <v>100</v>
      </c>
      <c r="T40" s="714" t="s">
        <v>17</v>
      </c>
      <c r="U40" s="715">
        <f t="shared" si="13"/>
        <v>100</v>
      </c>
      <c r="V40" s="714" t="s">
        <v>17</v>
      </c>
      <c r="W40" s="715">
        <f t="shared" si="14"/>
        <v>100</v>
      </c>
      <c r="X40" s="1538"/>
      <c r="Y40" s="3419"/>
      <c r="Z40" s="1539" t="str">
        <f t="shared" si="15"/>
        <v>市政基础设施</v>
      </c>
      <c r="AA40" s="1536">
        <f t="shared" si="3"/>
        <v>1</v>
      </c>
      <c r="AB40" s="1536">
        <f t="shared" si="4"/>
        <v>1</v>
      </c>
      <c r="AC40" s="2144">
        <f t="shared" si="5"/>
        <v>1</v>
      </c>
    </row>
    <row r="41" spans="1:29" ht="15">
      <c r="A41" s="431"/>
      <c r="B41" s="381" t="s">
        <v>2446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64"/>
      <c r="Q41" s="1535" t="str">
        <f t="shared" si="11"/>
        <v>层高</v>
      </c>
      <c r="R41" s="714" t="s">
        <v>17</v>
      </c>
      <c r="S41" s="715">
        <f t="shared" si="12"/>
        <v>100</v>
      </c>
      <c r="T41" s="714" t="s">
        <v>17</v>
      </c>
      <c r="U41" s="715">
        <f t="shared" si="13"/>
        <v>100</v>
      </c>
      <c r="V41" s="714" t="s">
        <v>17</v>
      </c>
      <c r="W41" s="715">
        <f t="shared" si="14"/>
        <v>100</v>
      </c>
      <c r="X41" s="1538"/>
      <c r="Y41" s="3419"/>
      <c r="Z41" s="1539" t="str">
        <f t="shared" si="15"/>
        <v>层高</v>
      </c>
      <c r="AA41" s="1536">
        <f t="shared" si="3"/>
        <v>1</v>
      </c>
      <c r="AB41" s="1536">
        <f t="shared" si="4"/>
        <v>1</v>
      </c>
      <c r="AC41" s="2144">
        <f t="shared" si="5"/>
        <v>1</v>
      </c>
    </row>
    <row r="42" spans="1:29" s="430" customFormat="1" ht="15">
      <c r="A42" s="427"/>
      <c r="B42" s="1537" t="s">
        <v>2477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64"/>
      <c r="Q42" s="716" t="str">
        <f t="shared" si="11"/>
        <v>单套建筑面积</v>
      </c>
      <c r="R42" s="717" t="s">
        <v>17</v>
      </c>
      <c r="S42" s="718">
        <f t="shared" si="12"/>
        <v>100</v>
      </c>
      <c r="T42" s="717" t="s">
        <v>17</v>
      </c>
      <c r="U42" s="718">
        <f t="shared" si="13"/>
        <v>100</v>
      </c>
      <c r="V42" s="717" t="s">
        <v>17</v>
      </c>
      <c r="W42" s="718">
        <f t="shared" si="14"/>
        <v>100</v>
      </c>
      <c r="X42" s="719"/>
      <c r="Y42" s="3419"/>
      <c r="Z42" s="720" t="str">
        <f t="shared" si="15"/>
        <v>单套建筑面积</v>
      </c>
      <c r="AA42" s="1536">
        <f t="shared" si="3"/>
        <v>1</v>
      </c>
      <c r="AB42" s="1536">
        <f t="shared" si="4"/>
        <v>1</v>
      </c>
      <c r="AC42" s="2144">
        <f t="shared" si="5"/>
        <v>1</v>
      </c>
    </row>
    <row r="43" spans="1:29" ht="15">
      <c r="A43" s="431"/>
      <c r="B43" s="381" t="s">
        <v>2449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64"/>
      <c r="Q43" s="1535" t="str">
        <f t="shared" si="11"/>
        <v>内部装修</v>
      </c>
      <c r="R43" s="714" t="s">
        <v>17</v>
      </c>
      <c r="S43" s="715">
        <f t="shared" si="12"/>
        <v>100</v>
      </c>
      <c r="T43" s="714" t="s">
        <v>17</v>
      </c>
      <c r="U43" s="715">
        <f t="shared" si="13"/>
        <v>100</v>
      </c>
      <c r="V43" s="714" t="s">
        <v>17</v>
      </c>
      <c r="W43" s="715">
        <f t="shared" si="14"/>
        <v>100</v>
      </c>
      <c r="X43" s="1538"/>
      <c r="Y43" s="3419"/>
      <c r="Z43" s="1539" t="str">
        <f t="shared" si="15"/>
        <v>内部装修</v>
      </c>
      <c r="AA43" s="1536">
        <f t="shared" si="3"/>
        <v>1</v>
      </c>
      <c r="AB43" s="1536">
        <f t="shared" si="4"/>
        <v>1</v>
      </c>
      <c r="AC43" s="2144">
        <f t="shared" si="5"/>
        <v>1</v>
      </c>
    </row>
    <row r="44" spans="1:29" ht="15">
      <c r="A44" s="431"/>
      <c r="B44" s="381" t="s">
        <v>2357</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2"/>
      <c r="M44" s="2936"/>
      <c r="N44" s="2936"/>
      <c r="O44" s="2936"/>
      <c r="P44" s="3464"/>
      <c r="Q44" s="1535" t="str">
        <f t="shared" si="11"/>
        <v>内部装修维护情况</v>
      </c>
      <c r="R44" s="714" t="s">
        <v>17</v>
      </c>
      <c r="S44" s="715">
        <f t="shared" si="12"/>
        <v>100</v>
      </c>
      <c r="T44" s="714" t="s">
        <v>17</v>
      </c>
      <c r="U44" s="715">
        <f t="shared" si="13"/>
        <v>100</v>
      </c>
      <c r="V44" s="714" t="s">
        <v>17</v>
      </c>
      <c r="W44" s="715">
        <f t="shared" si="14"/>
        <v>100</v>
      </c>
      <c r="X44" s="1538"/>
      <c r="Y44" s="3419"/>
      <c r="Z44" s="1539" t="str">
        <f t="shared" si="15"/>
        <v>内部装修维护情况</v>
      </c>
      <c r="AA44" s="1536">
        <f t="shared" si="3"/>
        <v>1</v>
      </c>
      <c r="AB44" s="1536">
        <f t="shared" si="4"/>
        <v>1</v>
      </c>
      <c r="AC44" s="2144">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64"/>
      <c r="Q45" s="1526">
        <f t="shared" si="11"/>
        <v>111</v>
      </c>
      <c r="R45" s="710" t="s">
        <v>17</v>
      </c>
      <c r="S45" s="711">
        <f t="shared" si="12"/>
        <v>100</v>
      </c>
      <c r="T45" s="710" t="s">
        <v>17</v>
      </c>
      <c r="U45" s="711">
        <f t="shared" si="13"/>
        <v>100</v>
      </c>
      <c r="V45" s="710" t="s">
        <v>17</v>
      </c>
      <c r="W45" s="711">
        <f t="shared" si="14"/>
        <v>100</v>
      </c>
      <c r="X45" s="712"/>
      <c r="Y45" s="3419"/>
      <c r="Z45" s="55">
        <f t="shared" si="15"/>
        <v>111</v>
      </c>
      <c r="AA45" s="713">
        <f t="shared" si="3"/>
        <v>1</v>
      </c>
      <c r="AB45" s="713">
        <f t="shared" si="4"/>
        <v>1</v>
      </c>
      <c r="AC45" s="2141">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64"/>
      <c r="Q46" s="1535">
        <f t="shared" si="11"/>
        <v>111</v>
      </c>
      <c r="R46" s="714" t="s">
        <v>17</v>
      </c>
      <c r="S46" s="715">
        <f t="shared" si="12"/>
        <v>100</v>
      </c>
      <c r="T46" s="714" t="s">
        <v>17</v>
      </c>
      <c r="U46" s="715">
        <f t="shared" si="13"/>
        <v>100</v>
      </c>
      <c r="V46" s="714" t="s">
        <v>17</v>
      </c>
      <c r="W46" s="715">
        <f t="shared" si="14"/>
        <v>100</v>
      </c>
      <c r="X46" s="1538"/>
      <c r="Y46" s="3419"/>
      <c r="Z46" s="1539">
        <f t="shared" si="15"/>
        <v>111</v>
      </c>
      <c r="AA46" s="1536">
        <f t="shared" si="3"/>
        <v>1</v>
      </c>
      <c r="AB46" s="1536">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65"/>
      <c r="Q47" s="1535">
        <f t="shared" si="11"/>
        <v>111</v>
      </c>
      <c r="R47" s="714" t="s">
        <v>17</v>
      </c>
      <c r="S47" s="715">
        <f t="shared" si="12"/>
        <v>100</v>
      </c>
      <c r="T47" s="714" t="s">
        <v>17</v>
      </c>
      <c r="U47" s="715">
        <f t="shared" si="13"/>
        <v>100</v>
      </c>
      <c r="V47" s="714" t="s">
        <v>17</v>
      </c>
      <c r="W47" s="715">
        <f t="shared" si="14"/>
        <v>100</v>
      </c>
      <c r="X47" s="1538"/>
      <c r="Y47" s="3466"/>
      <c r="Z47" s="1539">
        <f t="shared" si="15"/>
        <v>111</v>
      </c>
      <c r="AA47" s="1536">
        <f t="shared" si="3"/>
        <v>1</v>
      </c>
      <c r="AB47" s="1536">
        <f t="shared" si="4"/>
        <v>1</v>
      </c>
      <c r="AC47" s="2144">
        <f t="shared" si="5"/>
        <v>1</v>
      </c>
    </row>
    <row r="48" spans="1:29" ht="15">
      <c r="A48" s="438" t="s">
        <v>2358</v>
      </c>
      <c r="B48" s="439"/>
      <c r="C48" s="1315" t="s">
        <v>1</v>
      </c>
      <c r="D48" s="1316"/>
      <c r="E48" s="1317"/>
      <c r="F48" s="1318"/>
      <c r="G48" s="1319"/>
      <c r="H48" s="1320"/>
      <c r="I48" s="1317"/>
      <c r="J48" s="444"/>
      <c r="K48" s="723"/>
      <c r="L48" s="2944"/>
      <c r="M48" s="2936"/>
      <c r="N48" s="2936"/>
      <c r="O48" s="2936"/>
      <c r="P48" s="3425" t="str">
        <f>A48</f>
        <v>成交单价（元/平方米）</v>
      </c>
      <c r="Q48" s="3401"/>
      <c r="R48" s="3462">
        <f>E48</f>
        <v>0</v>
      </c>
      <c r="S48" s="3462"/>
      <c r="T48" s="3462">
        <f>G48</f>
        <v>0</v>
      </c>
      <c r="U48" s="3462"/>
      <c r="V48" s="3462">
        <f>I48</f>
        <v>0</v>
      </c>
      <c r="W48" s="3462"/>
      <c r="X48" s="405"/>
      <c r="Y48" s="721"/>
      <c r="Z48" s="405"/>
      <c r="AA48" s="405"/>
      <c r="AB48" s="405"/>
      <c r="AC48" s="586"/>
    </row>
    <row r="49" spans="1:29" ht="15.75" thickBot="1">
      <c r="A49" s="445" t="s">
        <v>2450</v>
      </c>
      <c r="B49" s="446"/>
      <c r="C49" s="1321" t="e">
        <f>R50</f>
        <v>#DIV/0!</v>
      </c>
      <c r="D49" s="2534" t="s">
        <v>2840</v>
      </c>
      <c r="E49" s="1322" t="e">
        <f>R49</f>
        <v>#DIV/0!</v>
      </c>
      <c r="F49" s="2535"/>
      <c r="G49" s="1321" t="e">
        <f>T49</f>
        <v>#DIV/0!</v>
      </c>
      <c r="H49" s="2535"/>
      <c r="I49" s="1322" t="e">
        <f>V49</f>
        <v>#DIV/0!</v>
      </c>
      <c r="J49" s="2535"/>
      <c r="K49" s="2537">
        <f>F49+H49+J49</f>
        <v>0</v>
      </c>
      <c r="L49" s="2944"/>
      <c r="M49" s="2936"/>
      <c r="N49" s="2936"/>
      <c r="O49" s="2936"/>
      <c r="P49" s="3425" t="str">
        <f>A49</f>
        <v>比较价值（元/平方米）</v>
      </c>
      <c r="Q49" s="340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2451</v>
      </c>
      <c r="B50" s="450"/>
      <c r="C50" s="1324" t="e">
        <f>R50</f>
        <v>#DIV/0!</v>
      </c>
      <c r="D50" s="1324"/>
      <c r="E50" s="1324"/>
      <c r="F50" s="1324"/>
      <c r="G50" s="1324"/>
      <c r="H50" s="1324"/>
      <c r="I50" s="1324"/>
      <c r="J50" s="451"/>
      <c r="K50" s="724"/>
      <c r="L50" s="2944"/>
      <c r="M50" s="2936"/>
      <c r="N50" s="2936"/>
      <c r="O50" s="2936"/>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2128"/>
      <c r="Y50" s="2128"/>
      <c r="Z50" s="2128"/>
      <c r="AA50" s="2128"/>
      <c r="AB50" s="2128"/>
      <c r="AC50" s="2129"/>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2452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2453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2454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2455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2329</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2366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2331</v>
      </c>
      <c r="B62" s="467"/>
      <c r="C62" s="479" t="s">
        <v>2433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2369</v>
      </c>
      <c r="B64" s="485" t="s">
        <v>2335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2338</v>
      </c>
      <c r="C66" s="496" t="s">
        <v>2370</v>
      </c>
      <c r="D66" s="496" t="s">
        <v>2371</v>
      </c>
      <c r="E66" s="496" t="s">
        <v>2372</v>
      </c>
      <c r="F66" s="496" t="s">
        <v>2373</v>
      </c>
      <c r="G66" s="496" t="s">
        <v>2374</v>
      </c>
      <c r="H66" s="496" t="s">
        <v>2375</v>
      </c>
      <c r="I66" s="496" t="s">
        <v>2376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2339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2340</v>
      </c>
      <c r="B77" s="485" t="s">
        <v>2478</v>
      </c>
      <c r="C77" s="530" t="s">
        <v>2378</v>
      </c>
      <c r="D77" s="530" t="s">
        <v>2379</v>
      </c>
      <c r="E77" s="530" t="s">
        <v>2380</v>
      </c>
      <c r="F77" s="530" t="s">
        <v>2381</v>
      </c>
      <c r="G77" s="530" t="s">
        <v>2382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2383</v>
      </c>
      <c r="C79" s="535" t="s">
        <v>2378</v>
      </c>
      <c r="D79" s="535" t="s">
        <v>2379</v>
      </c>
      <c r="E79" s="535" t="s">
        <v>2380</v>
      </c>
      <c r="F79" s="535" t="s">
        <v>2381</v>
      </c>
      <c r="G79" s="535" t="s">
        <v>2382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2384</v>
      </c>
      <c r="C81" s="535" t="s">
        <v>2378</v>
      </c>
      <c r="D81" s="535" t="s">
        <v>2379</v>
      </c>
      <c r="E81" s="535" t="s">
        <v>2380</v>
      </c>
      <c r="F81" s="535" t="s">
        <v>2381</v>
      </c>
      <c r="G81" s="535" t="s">
        <v>2382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2470</v>
      </c>
      <c r="C83" s="616" t="s">
        <v>2456</v>
      </c>
      <c r="D83" s="616" t="s">
        <v>2457</v>
      </c>
      <c r="E83" s="616" t="s">
        <v>2458</v>
      </c>
      <c r="F83" s="616" t="s">
        <v>2459</v>
      </c>
      <c r="G83" s="616" t="s">
        <v>2460</v>
      </c>
      <c r="H83" s="496"/>
      <c r="I83" s="496"/>
      <c r="J83" s="496"/>
      <c r="K83" s="496"/>
      <c r="L83" s="496"/>
      <c r="M83" s="1291"/>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2479</v>
      </c>
      <c r="C85" s="535" t="s">
        <v>2378</v>
      </c>
      <c r="D85" s="535" t="s">
        <v>2379</v>
      </c>
      <c r="E85" s="535" t="s">
        <v>2380</v>
      </c>
      <c r="F85" s="535" t="s">
        <v>2381</v>
      </c>
      <c r="G85" s="535" t="s">
        <v>2382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2480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9"/>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0"/>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2344</v>
      </c>
      <c r="B101" s="485" t="s">
        <v>2393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2394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2395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2397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2481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2398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2399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2482</v>
      </c>
      <c r="C119" s="540"/>
      <c r="D119" s="540"/>
      <c r="E119" s="540"/>
      <c r="F119" s="540"/>
      <c r="G119" s="540"/>
      <c r="H119" s="540"/>
      <c r="I119" s="540"/>
      <c r="J119" s="540"/>
      <c r="K119" s="540"/>
      <c r="L119" s="2150"/>
      <c r="M119" s="2151"/>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2465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2401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2402</v>
      </c>
      <c r="C125" s="535" t="s">
        <v>2378</v>
      </c>
      <c r="D125" s="535" t="s">
        <v>2379</v>
      </c>
      <c r="E125" s="535" t="s">
        <v>2380</v>
      </c>
      <c r="F125" s="535" t="s">
        <v>2381</v>
      </c>
      <c r="G125" s="535" t="s">
        <v>2382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0"/>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2309</v>
      </c>
      <c r="B1" s="2139" t="s">
        <v>2483</v>
      </c>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IF(C2="——",ROUND(C43*D3/10000,0),ROUND(C43*D3/10000,0)-D2)</f>
        <v>#DIV/0!</v>
      </c>
      <c r="C2" s="2063"/>
      <c r="D2" s="1038" t="e">
        <f ca="1">SUMIF(INDIRECT("'"&amp;F2&amp;"'"&amp;"!A:A"),"承租人权益价值",INDIRECT("'"&amp;F2&amp;"'"&amp;"!c:c"))</f>
        <v>#REF!</v>
      </c>
      <c r="E2" s="2064" t="s">
        <v>2147</v>
      </c>
      <c r="F2" s="2065"/>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2425</v>
      </c>
      <c r="D3" s="359">
        <f>IF(D1="",'数据-汇总表'!E3,SUMIF('数据-汇总表'!$C19:$C33,D1,'数据-汇总表'!$E19:$E33))</f>
        <v>130002.77000000002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2426</v>
      </c>
      <c r="B4" s="362"/>
      <c r="C4" s="3402" t="s">
        <v>2427</v>
      </c>
      <c r="D4" s="3403"/>
      <c r="E4" s="3404" t="s">
        <v>2428</v>
      </c>
      <c r="F4" s="3405"/>
      <c r="G4" s="3402" t="s">
        <v>2429</v>
      </c>
      <c r="H4" s="3403"/>
      <c r="I4" s="3402" t="s">
        <v>2430</v>
      </c>
      <c r="J4" s="3403"/>
      <c r="K4" s="567" t="s">
        <v>2431</v>
      </c>
      <c r="L4" s="1044"/>
      <c r="M4" s="1045"/>
      <c r="N4" s="1045"/>
      <c r="O4" s="1045"/>
      <c r="P4" s="3406" t="s">
        <v>2432</v>
      </c>
      <c r="Q4" s="3407"/>
      <c r="R4" s="3389" t="s">
        <v>2428</v>
      </c>
      <c r="S4" s="3390"/>
      <c r="T4" s="3389" t="s">
        <v>2429</v>
      </c>
      <c r="U4" s="3390"/>
      <c r="V4" s="3414" t="s">
        <v>2430</v>
      </c>
      <c r="W4" s="3414"/>
      <c r="X4" s="1538"/>
      <c r="Y4" s="3389" t="s">
        <v>2432</v>
      </c>
      <c r="Z4" s="3390"/>
      <c r="AA4" s="3384" t="s">
        <v>2428</v>
      </c>
      <c r="AB4" s="3385" t="s">
        <v>2429</v>
      </c>
      <c r="AC4" s="3384" t="s">
        <v>2430</v>
      </c>
    </row>
    <row r="5" spans="1:29" ht="15">
      <c r="A5" s="364"/>
      <c r="B5" s="365"/>
      <c r="C5" s="3395" t="s">
        <v>2323</v>
      </c>
      <c r="D5" s="3396"/>
      <c r="E5" s="3393" t="s">
        <v>2324</v>
      </c>
      <c r="F5" s="3394"/>
      <c r="G5" s="3395" t="s">
        <v>2325</v>
      </c>
      <c r="H5" s="3396"/>
      <c r="I5" s="3395" t="s">
        <v>2326</v>
      </c>
      <c r="J5" s="3396"/>
      <c r="K5" s="567"/>
      <c r="L5" s="1044"/>
      <c r="M5" s="1045"/>
      <c r="N5" s="1045"/>
      <c r="O5" s="1045"/>
      <c r="P5" s="3408"/>
      <c r="Q5" s="3409"/>
      <c r="R5" s="3391"/>
      <c r="S5" s="3392"/>
      <c r="T5" s="3391"/>
      <c r="U5" s="3392"/>
      <c r="V5" s="3414"/>
      <c r="W5" s="3414"/>
      <c r="X5" s="1538"/>
      <c r="Y5" s="3391"/>
      <c r="Z5" s="3392"/>
      <c r="AA5" s="3385"/>
      <c r="AB5" s="3385"/>
      <c r="AC5" s="3385"/>
    </row>
    <row r="6" spans="1:29" ht="15.75" thickBot="1">
      <c r="A6" s="366"/>
      <c r="B6" s="367"/>
      <c r="C6" s="3397" t="s">
        <v>2327</v>
      </c>
      <c r="D6" s="3398"/>
      <c r="E6" s="3399" t="s">
        <v>2327</v>
      </c>
      <c r="F6" s="3400"/>
      <c r="G6" s="3397" t="s">
        <v>2327</v>
      </c>
      <c r="H6" s="3398"/>
      <c r="I6" s="3397" t="s">
        <v>2327</v>
      </c>
      <c r="J6" s="3398"/>
      <c r="K6" s="567" t="s">
        <v>2328</v>
      </c>
      <c r="L6" s="1044"/>
      <c r="M6" s="1045"/>
      <c r="N6" s="1045"/>
      <c r="O6" s="1045"/>
      <c r="P6" s="3410"/>
      <c r="Q6" s="3411"/>
      <c r="R6" s="3391"/>
      <c r="S6" s="3392"/>
      <c r="T6" s="3412"/>
      <c r="U6" s="3413"/>
      <c r="V6" s="3414"/>
      <c r="W6" s="3414"/>
      <c r="X6" s="1538"/>
      <c r="Y6" s="3412"/>
      <c r="Z6" s="3413"/>
      <c r="AA6" s="3386"/>
      <c r="AB6" s="3386"/>
      <c r="AC6" s="3386"/>
    </row>
    <row r="7" spans="1:29" s="113" customFormat="1" ht="15.75" thickBot="1">
      <c r="A7" s="368" t="s">
        <v>2329</v>
      </c>
      <c r="B7" s="369"/>
      <c r="C7" s="370">
        <f>'数据-取费表'!B2</f>
        <v>44314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7" t="s">
        <v>2330</v>
      </c>
      <c r="Q7" s="3415"/>
      <c r="R7" s="710" t="s">
        <v>17</v>
      </c>
      <c r="S7" s="711">
        <f t="shared" ref="S7:S15" si="0">F7</f>
        <v>0</v>
      </c>
      <c r="T7" s="710" t="s">
        <v>17</v>
      </c>
      <c r="U7" s="711">
        <f t="shared" ref="U7:U15" si="1">H7</f>
        <v>0</v>
      </c>
      <c r="V7" s="710" t="s">
        <v>17</v>
      </c>
      <c r="W7" s="711">
        <f t="shared" ref="W7:W15" si="2">J7</f>
        <v>0</v>
      </c>
      <c r="X7" s="712"/>
      <c r="Y7" s="3387" t="s">
        <v>2330</v>
      </c>
      <c r="Z7" s="3388"/>
      <c r="AA7" s="713" t="e">
        <f>D7/F7</f>
        <v>#DIV/0!</v>
      </c>
      <c r="AB7" s="713" t="e">
        <f>D7/H7</f>
        <v>#DIV/0!</v>
      </c>
      <c r="AC7" s="713" t="e">
        <f>D7/J7</f>
        <v>#DIV/0!</v>
      </c>
    </row>
    <row r="8" spans="1:29" s="113" customFormat="1" ht="15.75" thickBot="1">
      <c r="A8" s="368" t="s">
        <v>2331</v>
      </c>
      <c r="B8" s="369"/>
      <c r="C8" s="374" t="s">
        <v>2332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7" t="s">
        <v>2333</v>
      </c>
      <c r="Q8" s="3388"/>
      <c r="R8" s="710" t="s">
        <v>17</v>
      </c>
      <c r="S8" s="711">
        <f t="shared" si="0"/>
        <v>0</v>
      </c>
      <c r="T8" s="710" t="s">
        <v>17</v>
      </c>
      <c r="U8" s="711">
        <f t="shared" si="1"/>
        <v>0</v>
      </c>
      <c r="V8" s="710" t="s">
        <v>17</v>
      </c>
      <c r="W8" s="711">
        <f t="shared" si="2"/>
        <v>0</v>
      </c>
      <c r="X8" s="712"/>
      <c r="Y8" s="3387" t="s">
        <v>2333</v>
      </c>
      <c r="Z8" s="3388"/>
      <c r="AA8" s="713" t="e">
        <f t="shared" ref="AA8:AA40" si="3">D8/F8</f>
        <v>#DIV/0!</v>
      </c>
      <c r="AB8" s="713" t="e">
        <f t="shared" ref="AB8:AB40" si="4">D8/H8</f>
        <v>#DIV/0!</v>
      </c>
      <c r="AC8" s="713" t="e">
        <f t="shared" ref="AC8:AC40" si="5">D8/J8</f>
        <v>#DIV/0!</v>
      </c>
    </row>
    <row r="9" spans="1:29" s="113" customFormat="1">
      <c r="A9" s="375" t="s">
        <v>2334</v>
      </c>
      <c r="B9" s="67" t="s">
        <v>2335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1"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713">
        <f t="shared" si="5"/>
        <v>1</v>
      </c>
    </row>
    <row r="10" spans="1:29" s="386" customFormat="1" ht="27">
      <c r="A10" s="380"/>
      <c r="B10" s="381" t="s">
        <v>2338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1"/>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1"/>
      <c r="Q11" s="1526"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6"/>
      <c r="M12" s="1047"/>
      <c r="N12" s="1047"/>
      <c r="O12" s="1048"/>
      <c r="P12" s="3401"/>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4"/>
      <c r="M13" s="1045"/>
      <c r="N13" s="1045"/>
      <c r="O13" s="1053"/>
      <c r="P13" s="3401"/>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4"/>
      <c r="M14" s="1045"/>
      <c r="N14" s="1045"/>
      <c r="O14" s="1053"/>
      <c r="P14" s="3401"/>
      <c r="Q14" s="1526">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57">
      <c r="A15" s="399" t="s">
        <v>2340</v>
      </c>
      <c r="B15" s="65" t="s">
        <v>2484</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6" t="s">
        <v>2341</v>
      </c>
      <c r="Q15" s="1535" t="str">
        <f t="shared" si="6"/>
        <v>产业集聚程度</v>
      </c>
      <c r="R15" s="714" t="s">
        <v>17</v>
      </c>
      <c r="S15" s="715">
        <f t="shared" si="0"/>
        <v>100</v>
      </c>
      <c r="T15" s="714" t="s">
        <v>17</v>
      </c>
      <c r="U15" s="715">
        <f t="shared" si="1"/>
        <v>100</v>
      </c>
      <c r="V15" s="714" t="s">
        <v>17</v>
      </c>
      <c r="W15" s="715">
        <f t="shared" si="2"/>
        <v>100</v>
      </c>
      <c r="X15" s="1538"/>
      <c r="Y15" s="3416" t="s">
        <v>2341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417"/>
      <c r="Q16" s="1535"/>
      <c r="R16" s="714"/>
      <c r="S16" s="715"/>
      <c r="T16" s="714"/>
      <c r="U16" s="715"/>
      <c r="V16" s="714"/>
      <c r="W16" s="715"/>
      <c r="X16" s="1538"/>
      <c r="Y16" s="3417"/>
      <c r="Z16" s="1539"/>
      <c r="AA16" s="1536">
        <v>1</v>
      </c>
      <c r="AB16" s="1536">
        <v>1</v>
      </c>
      <c r="AC16" s="1536">
        <v>1</v>
      </c>
    </row>
    <row r="17" spans="1:29" ht="85.5">
      <c r="A17" s="387"/>
      <c r="B17" s="410" t="s">
        <v>1944</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7"/>
      <c r="Q17" s="1535" t="str">
        <f>B17</f>
        <v>交通便捷度</v>
      </c>
      <c r="R17" s="714" t="s">
        <v>17</v>
      </c>
      <c r="S17" s="715">
        <f>F17</f>
        <v>100</v>
      </c>
      <c r="T17" s="714" t="s">
        <v>17</v>
      </c>
      <c r="U17" s="715">
        <f>H17</f>
        <v>100</v>
      </c>
      <c r="V17" s="714" t="s">
        <v>17</v>
      </c>
      <c r="W17" s="715">
        <f>J17</f>
        <v>100</v>
      </c>
      <c r="X17" s="1538"/>
      <c r="Y17" s="3417"/>
      <c r="Z17" s="1539" t="str">
        <f>Q17</f>
        <v>交通便捷度</v>
      </c>
      <c r="AA17" s="1536">
        <f t="shared" si="3"/>
        <v>1</v>
      </c>
      <c r="AB17" s="1536">
        <f t="shared" si="4"/>
        <v>1</v>
      </c>
      <c r="AC17" s="1536">
        <f t="shared" si="5"/>
        <v>1</v>
      </c>
    </row>
    <row r="18" spans="1:29" ht="15">
      <c r="A18" s="387"/>
      <c r="B18" s="415"/>
      <c r="C18" s="2083"/>
      <c r="D18" s="409"/>
      <c r="E18" s="2085"/>
      <c r="F18" s="412"/>
      <c r="G18" s="2084"/>
      <c r="H18" s="407"/>
      <c r="I18" s="2085"/>
      <c r="J18" s="407"/>
      <c r="K18" s="572"/>
      <c r="L18" s="1054"/>
      <c r="M18" s="1045"/>
      <c r="N18" s="1045"/>
      <c r="O18" s="1053"/>
      <c r="P18" s="3417"/>
      <c r="Q18" s="1535"/>
      <c r="R18" s="714"/>
      <c r="S18" s="715"/>
      <c r="T18" s="714"/>
      <c r="U18" s="715"/>
      <c r="V18" s="714"/>
      <c r="W18" s="715"/>
      <c r="X18" s="1538"/>
      <c r="Y18" s="3417"/>
      <c r="Z18" s="1539"/>
      <c r="AA18" s="1536">
        <v>1</v>
      </c>
      <c r="AB18" s="1536">
        <v>1</v>
      </c>
      <c r="AC18" s="1536">
        <v>1</v>
      </c>
    </row>
    <row r="19" spans="1:29" ht="42.75">
      <c r="A19" s="387"/>
      <c r="B19" s="410" t="s">
        <v>2469</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7"/>
      <c r="Q19" s="1535" t="str">
        <f>B19</f>
        <v>公共配套设施</v>
      </c>
      <c r="R19" s="714" t="s">
        <v>17</v>
      </c>
      <c r="S19" s="715">
        <f>F19</f>
        <v>100</v>
      </c>
      <c r="T19" s="714" t="s">
        <v>17</v>
      </c>
      <c r="U19" s="715">
        <f>H19</f>
        <v>100</v>
      </c>
      <c r="V19" s="714" t="s">
        <v>17</v>
      </c>
      <c r="W19" s="715">
        <f>J19</f>
        <v>100</v>
      </c>
      <c r="X19" s="1538"/>
      <c r="Y19" s="3417"/>
      <c r="Z19" s="1539" t="str">
        <f>Q19</f>
        <v>公共配套设施</v>
      </c>
      <c r="AA19" s="1536">
        <f t="shared" si="3"/>
        <v>1</v>
      </c>
      <c r="AB19" s="1536">
        <f t="shared" si="4"/>
        <v>1</v>
      </c>
      <c r="AC19" s="1536">
        <f t="shared" si="5"/>
        <v>1</v>
      </c>
    </row>
    <row r="20" spans="1:29" ht="15">
      <c r="A20" s="387"/>
      <c r="B20" s="415"/>
      <c r="C20" s="406"/>
      <c r="D20" s="407"/>
      <c r="E20" s="2080"/>
      <c r="F20" s="408"/>
      <c r="G20" s="2079"/>
      <c r="H20" s="407"/>
      <c r="I20" s="2080"/>
      <c r="J20" s="407"/>
      <c r="K20" s="572"/>
      <c r="L20" s="1054"/>
      <c r="M20" s="1045"/>
      <c r="N20" s="1045"/>
      <c r="O20" s="1053"/>
      <c r="P20" s="3417"/>
      <c r="Q20" s="1535"/>
      <c r="R20" s="714"/>
      <c r="S20" s="715"/>
      <c r="T20" s="714"/>
      <c r="U20" s="715"/>
      <c r="V20" s="714"/>
      <c r="W20" s="715"/>
      <c r="X20" s="1538"/>
      <c r="Y20" s="3417"/>
      <c r="Z20" s="1539"/>
      <c r="AA20" s="1536">
        <v>1</v>
      </c>
      <c r="AB20" s="1536">
        <v>1</v>
      </c>
      <c r="AC20" s="1536">
        <v>1</v>
      </c>
    </row>
    <row r="21" spans="1:29" ht="28.5">
      <c r="A21" s="387"/>
      <c r="B21" s="1293" t="s">
        <v>2470</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7"/>
      <c r="Q21" s="1535" t="str">
        <f>B21</f>
        <v>基础设施水平</v>
      </c>
      <c r="R21" s="714" t="s">
        <v>17</v>
      </c>
      <c r="S21" s="715">
        <f>F21</f>
        <v>100</v>
      </c>
      <c r="T21" s="714" t="s">
        <v>17</v>
      </c>
      <c r="U21" s="715">
        <f>H21</f>
        <v>100</v>
      </c>
      <c r="V21" s="714" t="s">
        <v>17</v>
      </c>
      <c r="W21" s="715">
        <f>J21</f>
        <v>100</v>
      </c>
      <c r="X21" s="1538"/>
      <c r="Y21" s="3417"/>
      <c r="Z21" s="1539" t="str">
        <f>Q21</f>
        <v>基础设施水平</v>
      </c>
      <c r="AA21" s="1536">
        <f t="shared" ref="AA21" si="8">D21/F21</f>
        <v>1</v>
      </c>
      <c r="AB21" s="1536">
        <f t="shared" ref="AB21" si="9">D21/H21</f>
        <v>1</v>
      </c>
      <c r="AC21" s="1536">
        <f t="shared" ref="AC21" si="10">D21/J21</f>
        <v>1</v>
      </c>
    </row>
    <row r="22" spans="1:29" ht="15">
      <c r="A22" s="387"/>
      <c r="B22" s="1293"/>
      <c r="C22" s="2083"/>
      <c r="D22" s="407"/>
      <c r="E22" s="406"/>
      <c r="F22" s="408"/>
      <c r="G22" s="406"/>
      <c r="H22" s="407"/>
      <c r="I22" s="406"/>
      <c r="J22" s="407"/>
      <c r="K22" s="1292"/>
      <c r="L22" s="1054"/>
      <c r="M22" s="1045"/>
      <c r="N22" s="1045"/>
      <c r="O22" s="1053"/>
      <c r="P22" s="3417"/>
      <c r="Q22" s="1535"/>
      <c r="R22" s="714"/>
      <c r="S22" s="715"/>
      <c r="T22" s="714"/>
      <c r="U22" s="715"/>
      <c r="V22" s="714"/>
      <c r="W22" s="715"/>
      <c r="X22" s="1538"/>
      <c r="Y22" s="3417"/>
      <c r="Z22" s="1539"/>
      <c r="AA22" s="1536">
        <v>1</v>
      </c>
      <c r="AB22" s="1536">
        <v>1</v>
      </c>
      <c r="AC22" s="1536">
        <v>1</v>
      </c>
    </row>
    <row r="23" spans="1:29" ht="71.25">
      <c r="A23" s="387"/>
      <c r="B23" s="410" t="s">
        <v>2471</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7"/>
      <c r="Q23" s="1535" t="str">
        <f>B23</f>
        <v>环境质量</v>
      </c>
      <c r="R23" s="714" t="s">
        <v>17</v>
      </c>
      <c r="S23" s="715">
        <f>F23</f>
        <v>100</v>
      </c>
      <c r="T23" s="714" t="s">
        <v>17</v>
      </c>
      <c r="U23" s="715">
        <f>H23</f>
        <v>100</v>
      </c>
      <c r="V23" s="714" t="s">
        <v>17</v>
      </c>
      <c r="W23" s="715">
        <f>J23</f>
        <v>100</v>
      </c>
      <c r="X23" s="1538"/>
      <c r="Y23" s="3417"/>
      <c r="Z23" s="1539" t="str">
        <f>Q23</f>
        <v>环境质量</v>
      </c>
      <c r="AA23" s="1536">
        <f t="shared" si="3"/>
        <v>1</v>
      </c>
      <c r="AB23" s="1536">
        <f t="shared" si="4"/>
        <v>1</v>
      </c>
      <c r="AC23" s="1536">
        <f t="shared" si="5"/>
        <v>1</v>
      </c>
    </row>
    <row r="24" spans="1:29" ht="15">
      <c r="A24" s="387"/>
      <c r="B24" s="1293"/>
      <c r="C24" s="406"/>
      <c r="D24" s="407"/>
      <c r="E24" s="2080"/>
      <c r="F24" s="408"/>
      <c r="G24" s="2079"/>
      <c r="H24" s="407"/>
      <c r="I24" s="2080"/>
      <c r="J24" s="407"/>
      <c r="K24" s="572"/>
      <c r="L24" s="1054"/>
      <c r="M24" s="1045"/>
      <c r="N24" s="1045"/>
      <c r="O24" s="1053"/>
      <c r="P24" s="3417"/>
      <c r="Q24" s="1535"/>
      <c r="R24" s="714"/>
      <c r="S24" s="715"/>
      <c r="T24" s="714"/>
      <c r="U24" s="715"/>
      <c r="V24" s="714"/>
      <c r="W24" s="715"/>
      <c r="X24" s="1538"/>
      <c r="Y24" s="3417"/>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7"/>
      <c r="Q25" s="1535">
        <f>B25</f>
        <v>111</v>
      </c>
      <c r="R25" s="714" t="s">
        <v>17</v>
      </c>
      <c r="S25" s="715">
        <f>F25</f>
        <v>100</v>
      </c>
      <c r="T25" s="714" t="s">
        <v>17</v>
      </c>
      <c r="U25" s="715">
        <f>H25</f>
        <v>100</v>
      </c>
      <c r="V25" s="714" t="s">
        <v>17</v>
      </c>
      <c r="W25" s="715">
        <f>J25</f>
        <v>100</v>
      </c>
      <c r="X25" s="1538"/>
      <c r="Y25" s="3417"/>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7"/>
      <c r="Q26" s="1535">
        <f t="shared" ref="Q26:Q40" si="11">B26</f>
        <v>111</v>
      </c>
      <c r="R26" s="714" t="s">
        <v>17</v>
      </c>
      <c r="S26" s="715">
        <f>F26</f>
        <v>100</v>
      </c>
      <c r="T26" s="714" t="s">
        <v>17</v>
      </c>
      <c r="U26" s="715">
        <f>H26</f>
        <v>100</v>
      </c>
      <c r="V26" s="714" t="s">
        <v>17</v>
      </c>
      <c r="W26" s="715">
        <f>J26</f>
        <v>100</v>
      </c>
      <c r="X26" s="1538"/>
      <c r="Y26" s="3417"/>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7"/>
      <c r="Q27" s="1526">
        <f t="shared" si="11"/>
        <v>111</v>
      </c>
      <c r="R27" s="710" t="s">
        <v>17</v>
      </c>
      <c r="S27" s="711">
        <f>F27</f>
        <v>100</v>
      </c>
      <c r="T27" s="710" t="s">
        <v>17</v>
      </c>
      <c r="U27" s="711">
        <f>H27</f>
        <v>100</v>
      </c>
      <c r="V27" s="710" t="s">
        <v>17</v>
      </c>
      <c r="W27" s="711">
        <f>J27</f>
        <v>100</v>
      </c>
      <c r="X27" s="712"/>
      <c r="Y27" s="3417"/>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7"/>
      <c r="Q28" s="1535">
        <f t="shared" si="11"/>
        <v>111</v>
      </c>
      <c r="R28" s="714" t="s">
        <v>17</v>
      </c>
      <c r="S28" s="715">
        <f t="shared" ref="S28:S40" si="12">F28</f>
        <v>100</v>
      </c>
      <c r="T28" s="714" t="s">
        <v>17</v>
      </c>
      <c r="U28" s="715">
        <f t="shared" ref="U28:U40" si="13">H28</f>
        <v>100</v>
      </c>
      <c r="V28" s="714" t="s">
        <v>17</v>
      </c>
      <c r="W28" s="715">
        <f t="shared" ref="W28:W40" si="14">J28</f>
        <v>100</v>
      </c>
      <c r="X28" s="1538"/>
      <c r="Y28" s="3417"/>
      <c r="Z28" s="1539">
        <f t="shared" ref="Z28:Z40" si="15">Q28</f>
        <v>111</v>
      </c>
      <c r="AA28" s="1536">
        <f t="shared" si="3"/>
        <v>1</v>
      </c>
      <c r="AB28" s="1536">
        <f t="shared" si="4"/>
        <v>1</v>
      </c>
      <c r="AC28" s="1536">
        <f t="shared" si="5"/>
        <v>1</v>
      </c>
    </row>
    <row r="29" spans="1:29" ht="28.5">
      <c r="A29" s="425" t="s">
        <v>2344</v>
      </c>
      <c r="B29" s="67" t="s">
        <v>2474</v>
      </c>
      <c r="C29" s="2149"/>
      <c r="D29" s="426">
        <v>100</v>
      </c>
      <c r="E29" s="2149"/>
      <c r="F29" s="420">
        <f>SUMIF(88:88,E29,89:89)-SUMIF(88:88,C29,89:89)+100</f>
        <v>100</v>
      </c>
      <c r="G29" s="2149"/>
      <c r="H29" s="394">
        <f>SUMIF(88:88,G29,89:89)-SUMIF(88:88,C29,89:89)+100</f>
        <v>100</v>
      </c>
      <c r="I29" s="2149"/>
      <c r="J29" s="426">
        <f>SUMIF(88:88,I29,89:89)-SUMIF(88:88,C29,89:89)+100</f>
        <v>100</v>
      </c>
      <c r="K29" s="569"/>
      <c r="L29" s="1054"/>
      <c r="M29" s="1045"/>
      <c r="N29" s="1045"/>
      <c r="O29" s="1053"/>
      <c r="P29" s="3418" t="s">
        <v>2346</v>
      </c>
      <c r="Q29" s="1535" t="str">
        <f t="shared" si="11"/>
        <v>建筑类型</v>
      </c>
      <c r="R29" s="714" t="s">
        <v>17</v>
      </c>
      <c r="S29" s="715">
        <f t="shared" si="12"/>
        <v>100</v>
      </c>
      <c r="T29" s="714" t="s">
        <v>17</v>
      </c>
      <c r="U29" s="715">
        <f t="shared" si="13"/>
        <v>100</v>
      </c>
      <c r="V29" s="714" t="s">
        <v>17</v>
      </c>
      <c r="W29" s="715">
        <f t="shared" si="14"/>
        <v>100</v>
      </c>
      <c r="X29" s="1538"/>
      <c r="Y29" s="3419" t="s">
        <v>2346</v>
      </c>
      <c r="Z29" s="1539" t="str">
        <f t="shared" si="15"/>
        <v>建筑类型</v>
      </c>
      <c r="AA29" s="1536">
        <f t="shared" si="3"/>
        <v>1</v>
      </c>
      <c r="AB29" s="1536">
        <f t="shared" si="4"/>
        <v>1</v>
      </c>
      <c r="AC29" s="1536">
        <f t="shared" si="5"/>
        <v>1</v>
      </c>
    </row>
    <row r="30" spans="1:29" s="430" customFormat="1" ht="15">
      <c r="A30" s="427"/>
      <c r="B30" s="381" t="s">
        <v>2347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9"/>
      <c r="Q30" s="716" t="str">
        <f t="shared" si="11"/>
        <v>项目建筑规模</v>
      </c>
      <c r="R30" s="717" t="s">
        <v>17</v>
      </c>
      <c r="S30" s="718" t="e">
        <f t="shared" si="12"/>
        <v>#N/A</v>
      </c>
      <c r="T30" s="717" t="s">
        <v>17</v>
      </c>
      <c r="U30" s="718" t="e">
        <f t="shared" si="13"/>
        <v>#N/A</v>
      </c>
      <c r="V30" s="717" t="s">
        <v>17</v>
      </c>
      <c r="W30" s="718" t="e">
        <f t="shared" si="14"/>
        <v>#N/A</v>
      </c>
      <c r="X30" s="719"/>
      <c r="Y30" s="3419"/>
      <c r="Z30" s="720" t="str">
        <f t="shared" si="15"/>
        <v>项目建筑规模</v>
      </c>
      <c r="AA30" s="1536" t="e">
        <f t="shared" si="3"/>
        <v>#N/A</v>
      </c>
      <c r="AB30" s="1536" t="e">
        <f t="shared" si="4"/>
        <v>#N/A</v>
      </c>
      <c r="AC30" s="1536" t="e">
        <f t="shared" si="5"/>
        <v>#N/A</v>
      </c>
    </row>
    <row r="31" spans="1:29" ht="15">
      <c r="A31" s="431"/>
      <c r="B31" s="381" t="s">
        <v>2348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9"/>
      <c r="Q31" s="1535" t="str">
        <f t="shared" si="11"/>
        <v>建筑结构</v>
      </c>
      <c r="R31" s="714" t="s">
        <v>17</v>
      </c>
      <c r="S31" s="715">
        <f t="shared" si="12"/>
        <v>100</v>
      </c>
      <c r="T31" s="714" t="s">
        <v>17</v>
      </c>
      <c r="U31" s="715">
        <f t="shared" si="13"/>
        <v>100</v>
      </c>
      <c r="V31" s="714" t="s">
        <v>17</v>
      </c>
      <c r="W31" s="715">
        <f t="shared" si="14"/>
        <v>100</v>
      </c>
      <c r="X31" s="1538"/>
      <c r="Y31" s="3419"/>
      <c r="Z31" s="1539" t="str">
        <f t="shared" si="15"/>
        <v>建筑结构</v>
      </c>
      <c r="AA31" s="1536">
        <f t="shared" si="3"/>
        <v>1</v>
      </c>
      <c r="AB31" s="1536">
        <f t="shared" si="4"/>
        <v>1</v>
      </c>
      <c r="AC31" s="1536">
        <f t="shared" si="5"/>
        <v>1</v>
      </c>
    </row>
    <row r="32" spans="1:29" ht="15">
      <c r="A32" s="431"/>
      <c r="B32" s="381" t="s">
        <v>2442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9"/>
      <c r="Q32" s="1535" t="str">
        <f t="shared" si="11"/>
        <v>公共部分装修</v>
      </c>
      <c r="R32" s="714" t="s">
        <v>17</v>
      </c>
      <c r="S32" s="715">
        <f t="shared" si="12"/>
        <v>100</v>
      </c>
      <c r="T32" s="714" t="s">
        <v>17</v>
      </c>
      <c r="U32" s="715">
        <f t="shared" si="13"/>
        <v>100</v>
      </c>
      <c r="V32" s="714" t="s">
        <v>17</v>
      </c>
      <c r="W32" s="715">
        <f t="shared" si="14"/>
        <v>100</v>
      </c>
      <c r="X32" s="1538"/>
      <c r="Y32" s="3419"/>
      <c r="Z32" s="1539" t="str">
        <f t="shared" si="15"/>
        <v>公共部分装修</v>
      </c>
      <c r="AA32" s="1536">
        <f t="shared" si="3"/>
        <v>1</v>
      </c>
      <c r="AB32" s="1536">
        <f t="shared" si="4"/>
        <v>1</v>
      </c>
      <c r="AC32" s="1536">
        <f t="shared" si="5"/>
        <v>1</v>
      </c>
    </row>
    <row r="33" spans="1:29" ht="15">
      <c r="A33" s="431"/>
      <c r="B33" s="381" t="s">
        <v>2443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9"/>
      <c r="Q33" s="1535" t="str">
        <f t="shared" si="11"/>
        <v>成新度</v>
      </c>
      <c r="R33" s="714" t="s">
        <v>17</v>
      </c>
      <c r="S33" s="715" t="e">
        <f t="shared" si="12"/>
        <v>#N/A</v>
      </c>
      <c r="T33" s="714" t="s">
        <v>17</v>
      </c>
      <c r="U33" s="715" t="e">
        <f t="shared" si="13"/>
        <v>#N/A</v>
      </c>
      <c r="V33" s="714" t="s">
        <v>17</v>
      </c>
      <c r="W33" s="715" t="e">
        <f t="shared" si="14"/>
        <v>#N/A</v>
      </c>
      <c r="X33" s="1538"/>
      <c r="Y33" s="3419"/>
      <c r="Z33" s="1539" t="str">
        <f t="shared" si="15"/>
        <v>成新度</v>
      </c>
      <c r="AA33" s="1536" t="e">
        <f t="shared" si="3"/>
        <v>#N/A</v>
      </c>
      <c r="AB33" s="1536" t="e">
        <f t="shared" si="4"/>
        <v>#N/A</v>
      </c>
      <c r="AC33" s="1536" t="e">
        <f t="shared" si="5"/>
        <v>#N/A</v>
      </c>
    </row>
    <row r="34" spans="1:29" s="113" customFormat="1" ht="15">
      <c r="A34" s="432"/>
      <c r="B34" s="381" t="s">
        <v>2476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9"/>
      <c r="Q34" s="1526" t="str">
        <f t="shared" si="11"/>
        <v>物业管理</v>
      </c>
      <c r="R34" s="710" t="s">
        <v>17</v>
      </c>
      <c r="S34" s="711">
        <f t="shared" si="12"/>
        <v>100</v>
      </c>
      <c r="T34" s="710" t="s">
        <v>17</v>
      </c>
      <c r="U34" s="711">
        <f t="shared" si="13"/>
        <v>100</v>
      </c>
      <c r="V34" s="710" t="s">
        <v>17</v>
      </c>
      <c r="W34" s="711">
        <f t="shared" si="14"/>
        <v>100</v>
      </c>
      <c r="X34" s="712"/>
      <c r="Y34" s="3419"/>
      <c r="Z34" s="55" t="str">
        <f t="shared" si="15"/>
        <v>物业管理</v>
      </c>
      <c r="AA34" s="713">
        <f t="shared" si="3"/>
        <v>1</v>
      </c>
      <c r="AB34" s="713">
        <f t="shared" si="4"/>
        <v>1</v>
      </c>
      <c r="AC34" s="713">
        <f t="shared" si="5"/>
        <v>1</v>
      </c>
    </row>
    <row r="35" spans="1:29" ht="15">
      <c r="A35" s="431"/>
      <c r="B35" s="381" t="s">
        <v>2444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9" t="s">
        <v>2346</v>
      </c>
      <c r="Q35" s="1535" t="str">
        <f t="shared" si="11"/>
        <v>市政基础设施</v>
      </c>
      <c r="R35" s="714" t="s">
        <v>17</v>
      </c>
      <c r="S35" s="715">
        <f t="shared" si="12"/>
        <v>100</v>
      </c>
      <c r="T35" s="714" t="s">
        <v>17</v>
      </c>
      <c r="U35" s="715">
        <f t="shared" si="13"/>
        <v>100</v>
      </c>
      <c r="V35" s="714" t="s">
        <v>17</v>
      </c>
      <c r="W35" s="715">
        <f t="shared" si="14"/>
        <v>100</v>
      </c>
      <c r="X35" s="1538"/>
      <c r="Y35" s="3419" t="s">
        <v>2346</v>
      </c>
      <c r="Z35" s="1539" t="str">
        <f t="shared" si="15"/>
        <v>市政基础设施</v>
      </c>
      <c r="AA35" s="1536">
        <f t="shared" si="3"/>
        <v>1</v>
      </c>
      <c r="AB35" s="1536">
        <f t="shared" si="4"/>
        <v>1</v>
      </c>
      <c r="AC35" s="1536">
        <f t="shared" si="5"/>
        <v>1</v>
      </c>
    </row>
    <row r="36" spans="1:29" ht="15">
      <c r="A36" s="431"/>
      <c r="B36" s="381" t="s">
        <v>2449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9"/>
      <c r="Q36" s="1535" t="str">
        <f t="shared" si="11"/>
        <v>内部装修</v>
      </c>
      <c r="R36" s="714" t="s">
        <v>17</v>
      </c>
      <c r="S36" s="715">
        <f t="shared" si="12"/>
        <v>100</v>
      </c>
      <c r="T36" s="714" t="s">
        <v>17</v>
      </c>
      <c r="U36" s="715">
        <f t="shared" si="13"/>
        <v>100</v>
      </c>
      <c r="V36" s="714" t="s">
        <v>17</v>
      </c>
      <c r="W36" s="715">
        <f t="shared" si="14"/>
        <v>100</v>
      </c>
      <c r="X36" s="1538"/>
      <c r="Y36" s="3419"/>
      <c r="Z36" s="1539" t="str">
        <f t="shared" si="15"/>
        <v>内部装修</v>
      </c>
      <c r="AA36" s="1536">
        <f t="shared" si="3"/>
        <v>1</v>
      </c>
      <c r="AB36" s="1536">
        <f t="shared" si="4"/>
        <v>1</v>
      </c>
      <c r="AC36" s="1536">
        <f t="shared" si="5"/>
        <v>1</v>
      </c>
    </row>
    <row r="37" spans="1:29" ht="15">
      <c r="A37" s="431"/>
      <c r="B37" s="381" t="s">
        <v>2485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9"/>
      <c r="Q37" s="1535" t="str">
        <f t="shared" si="11"/>
        <v>内部装修状况</v>
      </c>
      <c r="R37" s="714" t="s">
        <v>17</v>
      </c>
      <c r="S37" s="715">
        <f t="shared" si="12"/>
        <v>100</v>
      </c>
      <c r="T37" s="714" t="s">
        <v>17</v>
      </c>
      <c r="U37" s="715">
        <f t="shared" si="13"/>
        <v>100</v>
      </c>
      <c r="V37" s="714" t="s">
        <v>17</v>
      </c>
      <c r="W37" s="715">
        <f t="shared" si="14"/>
        <v>100</v>
      </c>
      <c r="X37" s="1538"/>
      <c r="Y37" s="3419"/>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9"/>
      <c r="Q38" s="716">
        <f t="shared" si="11"/>
        <v>111</v>
      </c>
      <c r="R38" s="717" t="s">
        <v>17</v>
      </c>
      <c r="S38" s="718">
        <f t="shared" si="12"/>
        <v>100</v>
      </c>
      <c r="T38" s="717" t="s">
        <v>17</v>
      </c>
      <c r="U38" s="718">
        <f t="shared" si="13"/>
        <v>100</v>
      </c>
      <c r="V38" s="717" t="s">
        <v>17</v>
      </c>
      <c r="W38" s="718">
        <f t="shared" si="14"/>
        <v>100</v>
      </c>
      <c r="X38" s="719"/>
      <c r="Y38" s="3419"/>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9"/>
      <c r="Q39" s="1535">
        <f t="shared" si="11"/>
        <v>111</v>
      </c>
      <c r="R39" s="714" t="s">
        <v>17</v>
      </c>
      <c r="S39" s="715">
        <f t="shared" si="12"/>
        <v>100</v>
      </c>
      <c r="T39" s="714" t="s">
        <v>17</v>
      </c>
      <c r="U39" s="715">
        <f t="shared" si="13"/>
        <v>100</v>
      </c>
      <c r="V39" s="714" t="s">
        <v>17</v>
      </c>
      <c r="W39" s="715">
        <f t="shared" si="14"/>
        <v>100</v>
      </c>
      <c r="X39" s="1538"/>
      <c r="Y39" s="3419"/>
      <c r="Z39" s="1539">
        <f t="shared" si="15"/>
        <v>111</v>
      </c>
      <c r="AA39" s="1536">
        <f t="shared" si="3"/>
        <v>1</v>
      </c>
      <c r="AB39" s="1536">
        <f t="shared" si="4"/>
        <v>1</v>
      </c>
      <c r="AC39" s="1536">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6"/>
      <c r="Q40" s="1535">
        <f t="shared" si="11"/>
        <v>111</v>
      </c>
      <c r="R40" s="714" t="s">
        <v>17</v>
      </c>
      <c r="S40" s="715">
        <f t="shared" si="12"/>
        <v>100</v>
      </c>
      <c r="T40" s="714" t="s">
        <v>17</v>
      </c>
      <c r="U40" s="715">
        <f t="shared" si="13"/>
        <v>100</v>
      </c>
      <c r="V40" s="714" t="s">
        <v>17</v>
      </c>
      <c r="W40" s="715">
        <f t="shared" si="14"/>
        <v>100</v>
      </c>
      <c r="X40" s="1538"/>
      <c r="Y40" s="3466"/>
      <c r="Z40" s="1539">
        <f t="shared" si="15"/>
        <v>111</v>
      </c>
      <c r="AA40" s="1536">
        <f t="shared" si="3"/>
        <v>1</v>
      </c>
      <c r="AB40" s="1536">
        <f t="shared" si="4"/>
        <v>1</v>
      </c>
      <c r="AC40" s="1536">
        <f t="shared" si="5"/>
        <v>1</v>
      </c>
    </row>
    <row r="41" spans="1:29" ht="15">
      <c r="A41" s="438" t="s">
        <v>2358</v>
      </c>
      <c r="B41" s="439"/>
      <c r="C41" s="1315" t="s">
        <v>1</v>
      </c>
      <c r="D41" s="1316"/>
      <c r="E41" s="1317"/>
      <c r="F41" s="1318"/>
      <c r="G41" s="1319"/>
      <c r="H41" s="1320"/>
      <c r="I41" s="1317"/>
      <c r="J41" s="1320"/>
      <c r="K41" s="723"/>
      <c r="L41" s="1057"/>
      <c r="M41" s="1058"/>
      <c r="N41" s="1045"/>
      <c r="O41" s="1058"/>
      <c r="P41" s="3401" t="str">
        <f>A41</f>
        <v>成交单价（元/平方米）</v>
      </c>
      <c r="Q41" s="3401"/>
      <c r="R41" s="3462">
        <f>E41</f>
        <v>0</v>
      </c>
      <c r="S41" s="3462"/>
      <c r="T41" s="3462">
        <f>G41</f>
        <v>0</v>
      </c>
      <c r="U41" s="3462"/>
      <c r="V41" s="3462">
        <f>I41</f>
        <v>0</v>
      </c>
      <c r="W41" s="3462"/>
      <c r="X41" s="699"/>
      <c r="Y41" s="721"/>
      <c r="Z41" s="699"/>
      <c r="AA41" s="699"/>
      <c r="AB41" s="699"/>
      <c r="AC41" s="699"/>
    </row>
    <row r="42" spans="1:29" ht="15.75" thickBot="1">
      <c r="A42" s="445" t="s">
        <v>2450</v>
      </c>
      <c r="B42" s="446"/>
      <c r="C42" s="1321" t="e">
        <f>R43</f>
        <v>#DIV/0!</v>
      </c>
      <c r="D42" s="2534" t="s">
        <v>2840</v>
      </c>
      <c r="E42" s="1322" t="e">
        <f>R42</f>
        <v>#DIV/0!</v>
      </c>
      <c r="F42" s="2535"/>
      <c r="G42" s="1321" t="e">
        <f>T42</f>
        <v>#DIV/0!</v>
      </c>
      <c r="H42" s="2535"/>
      <c r="I42" s="1322" t="e">
        <f>V42</f>
        <v>#DIV/0!</v>
      </c>
      <c r="J42" s="2535"/>
      <c r="K42" s="2537">
        <f>F42+H42+J42</f>
        <v>0</v>
      </c>
      <c r="L42" s="1057"/>
      <c r="M42" s="1058"/>
      <c r="N42" s="1045"/>
      <c r="O42" s="1058"/>
      <c r="P42" s="3401" t="str">
        <f>A42</f>
        <v>比较价值（元/平方米）</v>
      </c>
      <c r="Q42" s="340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2451</v>
      </c>
      <c r="B43" s="450"/>
      <c r="C43" s="1324" t="e">
        <f>R43</f>
        <v>#DIV/0!</v>
      </c>
      <c r="D43" s="1324"/>
      <c r="E43" s="1324"/>
      <c r="F43" s="1324"/>
      <c r="G43" s="1324"/>
      <c r="H43" s="1324"/>
      <c r="I43" s="1324"/>
      <c r="J43" s="1324"/>
      <c r="K43" s="724"/>
      <c r="L43" s="1057"/>
      <c r="M43" s="1058"/>
      <c r="N43" s="1058"/>
      <c r="O43" s="1058"/>
      <c r="P43" s="3421" t="str">
        <f>A43</f>
        <v>估价对象XX用房的比较价值（楼面单价，元/平方米）</v>
      </c>
      <c r="Q43" s="3422"/>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2455</v>
      </c>
      <c r="B51" s="699"/>
      <c r="C51" s="704"/>
      <c r="D51" s="704"/>
      <c r="E51" s="704"/>
      <c r="F51" s="705"/>
      <c r="G51" s="705"/>
      <c r="H51" s="704"/>
      <c r="I51" s="704"/>
      <c r="J51" s="704"/>
      <c r="K51" s="1072"/>
      <c r="L51" s="1073"/>
      <c r="M51" s="1071"/>
      <c r="N51" s="1071"/>
      <c r="O51" s="1071"/>
      <c r="P51" s="460"/>
      <c r="Q51" s="461"/>
    </row>
    <row r="52" spans="1:17" s="465" customFormat="1" ht="15">
      <c r="A52" s="462" t="s">
        <v>2329</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2366</v>
      </c>
      <c r="B54" s="473"/>
      <c r="C54" s="474"/>
      <c r="D54" s="475"/>
      <c r="E54" s="475"/>
      <c r="F54" s="475"/>
      <c r="G54" s="475"/>
      <c r="H54" s="475"/>
      <c r="I54" s="475"/>
      <c r="J54" s="475"/>
      <c r="K54" s="475"/>
      <c r="L54" s="475"/>
      <c r="M54" s="476"/>
      <c r="N54" s="2990"/>
      <c r="O54" s="2991"/>
      <c r="P54" s="461"/>
      <c r="Q54" s="461"/>
    </row>
    <row r="55" spans="1:17" s="113" customFormat="1" ht="15">
      <c r="A55" s="478" t="s">
        <v>2331</v>
      </c>
      <c r="B55" s="467"/>
      <c r="C55" s="479" t="s">
        <v>2433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2369</v>
      </c>
      <c r="B57" s="485" t="s">
        <v>2335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2338</v>
      </c>
      <c r="C59" s="496" t="s">
        <v>2370</v>
      </c>
      <c r="D59" s="496" t="s">
        <v>2371</v>
      </c>
      <c r="E59" s="496" t="s">
        <v>2372</v>
      </c>
      <c r="F59" s="496" t="s">
        <v>2373</v>
      </c>
      <c r="G59" s="496" t="s">
        <v>2374</v>
      </c>
      <c r="H59" s="496" t="s">
        <v>2375</v>
      </c>
      <c r="I59" s="496" t="s">
        <v>2376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2340</v>
      </c>
      <c r="B70" s="485" t="s">
        <v>2486</v>
      </c>
      <c r="C70" s="530" t="s">
        <v>2378</v>
      </c>
      <c r="D70" s="530" t="s">
        <v>2379</v>
      </c>
      <c r="E70" s="530" t="s">
        <v>2380</v>
      </c>
      <c r="F70" s="530" t="s">
        <v>2381</v>
      </c>
      <c r="G70" s="530" t="s">
        <v>2382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2383</v>
      </c>
      <c r="C72" s="535" t="s">
        <v>2378</v>
      </c>
      <c r="D72" s="535" t="s">
        <v>2379</v>
      </c>
      <c r="E72" s="535" t="s">
        <v>2380</v>
      </c>
      <c r="F72" s="535" t="s">
        <v>2381</v>
      </c>
      <c r="G72" s="535" t="s">
        <v>2382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2384</v>
      </c>
      <c r="C74" s="535" t="s">
        <v>2378</v>
      </c>
      <c r="D74" s="535" t="s">
        <v>2379</v>
      </c>
      <c r="E74" s="535" t="s">
        <v>2380</v>
      </c>
      <c r="F74" s="535" t="s">
        <v>2381</v>
      </c>
      <c r="G74" s="535" t="s">
        <v>2382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2470</v>
      </c>
      <c r="C76" s="616" t="s">
        <v>2456</v>
      </c>
      <c r="D76" s="616" t="s">
        <v>2457</v>
      </c>
      <c r="E76" s="616" t="s">
        <v>2458</v>
      </c>
      <c r="F76" s="616" t="s">
        <v>2459</v>
      </c>
      <c r="G76" s="616" t="s">
        <v>2460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2479</v>
      </c>
      <c r="C78" s="535" t="s">
        <v>2378</v>
      </c>
      <c r="D78" s="535" t="s">
        <v>2379</v>
      </c>
      <c r="E78" s="535" t="s">
        <v>2380</v>
      </c>
      <c r="F78" s="535" t="s">
        <v>2381</v>
      </c>
      <c r="G78" s="535" t="s">
        <v>2382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0"/>
      <c r="B87" s="526"/>
      <c r="C87" s="527"/>
      <c r="D87" s="527"/>
      <c r="E87" s="527"/>
      <c r="F87" s="527"/>
      <c r="G87" s="548"/>
      <c r="H87" s="548"/>
      <c r="I87" s="548"/>
      <c r="J87" s="548"/>
      <c r="K87" s="548"/>
      <c r="L87" s="548"/>
      <c r="M87" s="549"/>
      <c r="N87" s="1065"/>
      <c r="O87" s="1065"/>
      <c r="P87" s="45"/>
      <c r="Q87" s="461"/>
    </row>
    <row r="88" spans="1:17">
      <c r="A88" s="484" t="s">
        <v>2344</v>
      </c>
      <c r="B88" s="485" t="s">
        <v>2393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2395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2397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2398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2399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2401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2487</v>
      </c>
      <c r="C106" s="535" t="s">
        <v>2378</v>
      </c>
      <c r="D106" s="535" t="s">
        <v>2379</v>
      </c>
      <c r="E106" s="535" t="s">
        <v>2380</v>
      </c>
      <c r="F106" s="535" t="s">
        <v>2381</v>
      </c>
      <c r="G106" s="535" t="s">
        <v>2382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0"/>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393"/>
      <c r="F1" s="2061"/>
      <c r="G1" s="1394" t="s">
        <v>2424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2146</v>
      </c>
      <c r="B2" s="1325" t="e">
        <f ca="1">IF(C2="——",IF(B37="元/平方米",ROUND(C39*D3/10000,0),ROUND(F3*C39/10000,0)),IF(B37="元/平方米",ROUND(C39*D3/10000,0),ROUND(F3*C39/10000,0))-D2)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2425</v>
      </c>
      <c r="D3" s="359">
        <f>SUMIF('数据-汇总表'!$C19:$C33,D1,'数据-汇总表'!$E19:$E33)</f>
        <v>0</v>
      </c>
      <c r="E3" s="360" t="s">
        <v>2489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2426</v>
      </c>
      <c r="B4" s="362"/>
      <c r="C4" s="3402" t="s">
        <v>2427</v>
      </c>
      <c r="D4" s="3403"/>
      <c r="E4" s="3404" t="s">
        <v>2428</v>
      </c>
      <c r="F4" s="3405"/>
      <c r="G4" s="3402" t="s">
        <v>2429</v>
      </c>
      <c r="H4" s="3403"/>
      <c r="I4" s="3402" t="s">
        <v>2430</v>
      </c>
      <c r="J4" s="3403"/>
      <c r="K4" s="567" t="s">
        <v>2431</v>
      </c>
      <c r="L4" s="2935"/>
      <c r="M4" s="2936"/>
      <c r="N4" s="2936"/>
      <c r="O4" s="2936"/>
      <c r="P4" s="3406" t="s">
        <v>2432</v>
      </c>
      <c r="Q4" s="3407"/>
      <c r="R4" s="3389" t="s">
        <v>2428</v>
      </c>
      <c r="S4" s="3390"/>
      <c r="T4" s="3389" t="s">
        <v>2429</v>
      </c>
      <c r="U4" s="3390"/>
      <c r="V4" s="3414" t="s">
        <v>2430</v>
      </c>
      <c r="W4" s="3414"/>
      <c r="X4" s="1538"/>
      <c r="Y4" s="3389" t="s">
        <v>2432</v>
      </c>
      <c r="Z4" s="3390"/>
      <c r="AA4" s="3384" t="s">
        <v>2428</v>
      </c>
      <c r="AB4" s="3385" t="s">
        <v>2429</v>
      </c>
      <c r="AC4" s="3384" t="s">
        <v>2430</v>
      </c>
    </row>
    <row r="5" spans="1:29" ht="15">
      <c r="A5" s="364"/>
      <c r="B5" s="365"/>
      <c r="C5" s="3395" t="s">
        <v>2323</v>
      </c>
      <c r="D5" s="3396"/>
      <c r="E5" s="3393" t="s">
        <v>2324</v>
      </c>
      <c r="F5" s="3394"/>
      <c r="G5" s="3395" t="s">
        <v>2325</v>
      </c>
      <c r="H5" s="3396"/>
      <c r="I5" s="3395" t="s">
        <v>2326</v>
      </c>
      <c r="J5" s="3396"/>
      <c r="K5" s="567"/>
      <c r="L5" s="2935"/>
      <c r="M5" s="2936"/>
      <c r="N5" s="2936"/>
      <c r="O5" s="2936"/>
      <c r="P5" s="3408"/>
      <c r="Q5" s="3409"/>
      <c r="R5" s="3391"/>
      <c r="S5" s="3392"/>
      <c r="T5" s="3391"/>
      <c r="U5" s="3392"/>
      <c r="V5" s="3414"/>
      <c r="W5" s="3414"/>
      <c r="X5" s="1538"/>
      <c r="Y5" s="3391"/>
      <c r="Z5" s="3392"/>
      <c r="AA5" s="3385"/>
      <c r="AB5" s="3385"/>
      <c r="AC5" s="3385"/>
    </row>
    <row r="6" spans="1:29" ht="15.75" thickBot="1">
      <c r="A6" s="366"/>
      <c r="B6" s="367"/>
      <c r="C6" s="3397" t="s">
        <v>2327</v>
      </c>
      <c r="D6" s="3398"/>
      <c r="E6" s="3399" t="s">
        <v>2327</v>
      </c>
      <c r="F6" s="3400"/>
      <c r="G6" s="3397" t="s">
        <v>2327</v>
      </c>
      <c r="H6" s="3398"/>
      <c r="I6" s="3397" t="s">
        <v>2327</v>
      </c>
      <c r="J6" s="3398"/>
      <c r="K6" s="567" t="s">
        <v>2328</v>
      </c>
      <c r="L6" s="2935"/>
      <c r="M6" s="2936"/>
      <c r="N6" s="2936"/>
      <c r="O6" s="2936"/>
      <c r="P6" s="3410"/>
      <c r="Q6" s="3411"/>
      <c r="R6" s="3391"/>
      <c r="S6" s="3392"/>
      <c r="T6" s="3412"/>
      <c r="U6" s="3413"/>
      <c r="V6" s="3414"/>
      <c r="W6" s="3414"/>
      <c r="X6" s="1538"/>
      <c r="Y6" s="3412"/>
      <c r="Z6" s="3413"/>
      <c r="AA6" s="3386"/>
      <c r="AB6" s="3386"/>
      <c r="AC6" s="3386"/>
    </row>
    <row r="7" spans="1:29" s="113" customFormat="1" ht="15.75" thickBot="1">
      <c r="A7" s="368" t="s">
        <v>2329</v>
      </c>
      <c r="B7" s="369"/>
      <c r="C7" s="370">
        <f>'数据-取费表'!B2</f>
        <v>44314</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87" t="s">
        <v>2330</v>
      </c>
      <c r="Q7" s="3415"/>
      <c r="R7" s="710" t="s">
        <v>17</v>
      </c>
      <c r="S7" s="711">
        <f t="shared" ref="S7:S14" si="0">F7</f>
        <v>0</v>
      </c>
      <c r="T7" s="710" t="s">
        <v>17</v>
      </c>
      <c r="U7" s="711">
        <f t="shared" ref="U7:U14" si="1">H7</f>
        <v>0</v>
      </c>
      <c r="V7" s="710" t="s">
        <v>17</v>
      </c>
      <c r="W7" s="711">
        <f t="shared" ref="W7:W14" si="2">J7</f>
        <v>0</v>
      </c>
      <c r="X7" s="712"/>
      <c r="Y7" s="3387" t="s">
        <v>2330</v>
      </c>
      <c r="Z7" s="3388"/>
      <c r="AA7" s="713" t="e">
        <f>D7/F7</f>
        <v>#DIV/0!</v>
      </c>
      <c r="AB7" s="713" t="e">
        <f>D7/H7</f>
        <v>#DIV/0!</v>
      </c>
      <c r="AC7" s="713" t="e">
        <f>D7/J7</f>
        <v>#DIV/0!</v>
      </c>
    </row>
    <row r="8" spans="1:29" s="113" customFormat="1" ht="15.75" thickBot="1">
      <c r="A8" s="368" t="s">
        <v>2331</v>
      </c>
      <c r="B8" s="369"/>
      <c r="C8" s="374" t="s">
        <v>2433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87" t="s">
        <v>2333</v>
      </c>
      <c r="Q8" s="3388"/>
      <c r="R8" s="710" t="s">
        <v>17</v>
      </c>
      <c r="S8" s="711">
        <f t="shared" si="0"/>
        <v>0</v>
      </c>
      <c r="T8" s="710" t="s">
        <v>17</v>
      </c>
      <c r="U8" s="711">
        <f t="shared" si="1"/>
        <v>0</v>
      </c>
      <c r="V8" s="710" t="s">
        <v>17</v>
      </c>
      <c r="W8" s="711">
        <f t="shared" si="2"/>
        <v>0</v>
      </c>
      <c r="X8" s="712"/>
      <c r="Y8" s="3387" t="s">
        <v>2333</v>
      </c>
      <c r="Z8" s="3388"/>
      <c r="AA8" s="713" t="e">
        <f t="shared" ref="AA8:AA36" si="3">D8/F8</f>
        <v>#DIV/0!</v>
      </c>
      <c r="AB8" s="713" t="e">
        <f t="shared" ref="AB8:AB36" si="4">D8/H8</f>
        <v>#DIV/0!</v>
      </c>
      <c r="AC8" s="713" t="e">
        <f t="shared" ref="AC8:AC36" si="5">D8/J8</f>
        <v>#DIV/0!</v>
      </c>
    </row>
    <row r="9" spans="1:29" s="113" customFormat="1">
      <c r="A9" s="64" t="s">
        <v>2334</v>
      </c>
      <c r="B9" s="596" t="s">
        <v>2335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401" t="s">
        <v>2336</v>
      </c>
      <c r="Q9" s="1526" t="str">
        <f t="shared" ref="Q9:Q14" si="6">B9</f>
        <v>用途</v>
      </c>
      <c r="R9" s="710" t="s">
        <v>17</v>
      </c>
      <c r="S9" s="711">
        <f t="shared" si="0"/>
        <v>100</v>
      </c>
      <c r="T9" s="710" t="s">
        <v>17</v>
      </c>
      <c r="U9" s="711">
        <f t="shared" si="1"/>
        <v>100</v>
      </c>
      <c r="V9" s="710" t="s">
        <v>17</v>
      </c>
      <c r="W9" s="711">
        <f t="shared" si="2"/>
        <v>100</v>
      </c>
      <c r="X9" s="712"/>
      <c r="Y9" s="3348" t="s">
        <v>2337</v>
      </c>
      <c r="Z9" s="55" t="str">
        <f t="shared" ref="Z9:Z14" si="7">Q9</f>
        <v>用途</v>
      </c>
      <c r="AA9" s="713">
        <f t="shared" si="3"/>
        <v>1</v>
      </c>
      <c r="AB9" s="713">
        <f t="shared" si="4"/>
        <v>1</v>
      </c>
      <c r="AC9" s="713">
        <f t="shared" si="5"/>
        <v>1</v>
      </c>
    </row>
    <row r="10" spans="1:29" s="386" customFormat="1" ht="27">
      <c r="A10" s="597"/>
      <c r="B10" s="598" t="s">
        <v>2338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401"/>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401"/>
      <c r="Q11" s="1526">
        <f t="shared" si="6"/>
        <v>111</v>
      </c>
      <c r="R11" s="710" t="s">
        <v>17</v>
      </c>
      <c r="S11" s="711">
        <f t="shared" si="0"/>
        <v>100</v>
      </c>
      <c r="T11" s="710" t="s">
        <v>17</v>
      </c>
      <c r="U11" s="711">
        <f t="shared" si="1"/>
        <v>100</v>
      </c>
      <c r="V11" s="710" t="s">
        <v>17</v>
      </c>
      <c r="W11" s="711">
        <f t="shared" si="2"/>
        <v>100</v>
      </c>
      <c r="X11" s="712"/>
      <c r="Y11" s="33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401"/>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401"/>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28.25">
      <c r="A14" s="361" t="s">
        <v>2340</v>
      </c>
      <c r="B14" s="58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416" t="s">
        <v>2341</v>
      </c>
      <c r="Q14" s="1535" t="str">
        <f t="shared" si="6"/>
        <v>交通便捷度</v>
      </c>
      <c r="R14" s="714" t="s">
        <v>17</v>
      </c>
      <c r="S14" s="715">
        <f t="shared" si="0"/>
        <v>100</v>
      </c>
      <c r="T14" s="714" t="s">
        <v>17</v>
      </c>
      <c r="U14" s="715">
        <f t="shared" si="1"/>
        <v>100</v>
      </c>
      <c r="V14" s="714" t="s">
        <v>17</v>
      </c>
      <c r="W14" s="715">
        <f t="shared" si="2"/>
        <v>100</v>
      </c>
      <c r="X14" s="1538"/>
      <c r="Y14" s="3416" t="s">
        <v>2341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2"/>
      <c r="M15" s="2936"/>
      <c r="N15" s="2936"/>
      <c r="O15" s="2936"/>
      <c r="P15" s="3417"/>
      <c r="Q15" s="1535"/>
      <c r="R15" s="714"/>
      <c r="S15" s="715"/>
      <c r="T15" s="714"/>
      <c r="U15" s="715"/>
      <c r="V15" s="714"/>
      <c r="W15" s="715"/>
      <c r="X15" s="1538"/>
      <c r="Y15" s="3417"/>
      <c r="Z15" s="1539"/>
      <c r="AA15" s="1536">
        <v>1</v>
      </c>
      <c r="AB15" s="1536">
        <v>1</v>
      </c>
      <c r="AC15" s="1536">
        <v>1</v>
      </c>
    </row>
    <row r="16" spans="1:29" ht="42.75">
      <c r="A16" s="364"/>
      <c r="B16" s="587" t="s">
        <v>2469</v>
      </c>
      <c r="C16" s="2082"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417"/>
      <c r="Q16" s="1535" t="str">
        <f>B16</f>
        <v>公共配套设施</v>
      </c>
      <c r="R16" s="714" t="s">
        <v>17</v>
      </c>
      <c r="S16" s="715">
        <f>F16</f>
        <v>100</v>
      </c>
      <c r="T16" s="714" t="s">
        <v>17</v>
      </c>
      <c r="U16" s="715">
        <f>H16</f>
        <v>100</v>
      </c>
      <c r="V16" s="714" t="s">
        <v>17</v>
      </c>
      <c r="W16" s="715">
        <f>J16</f>
        <v>100</v>
      </c>
      <c r="X16" s="1538"/>
      <c r="Y16" s="3417"/>
      <c r="Z16" s="1539" t="str">
        <f>Q16</f>
        <v>公共配套设施</v>
      </c>
      <c r="AA16" s="1536">
        <f t="shared" si="3"/>
        <v>1</v>
      </c>
      <c r="AB16" s="1536">
        <f t="shared" si="4"/>
        <v>1</v>
      </c>
      <c r="AC16" s="1536">
        <f t="shared" si="5"/>
        <v>1</v>
      </c>
    </row>
    <row r="17" spans="1:29" ht="15">
      <c r="A17" s="364"/>
      <c r="B17" s="588"/>
      <c r="C17" s="2083"/>
      <c r="D17" s="407"/>
      <c r="E17" s="406"/>
      <c r="F17" s="408"/>
      <c r="G17" s="406"/>
      <c r="H17" s="407"/>
      <c r="I17" s="406"/>
      <c r="J17" s="407"/>
      <c r="K17" s="572"/>
      <c r="L17" s="2942"/>
      <c r="M17" s="2936"/>
      <c r="N17" s="2936"/>
      <c r="O17" s="2936"/>
      <c r="P17" s="3417"/>
      <c r="Q17" s="1535"/>
      <c r="R17" s="714"/>
      <c r="S17" s="715"/>
      <c r="T17" s="714"/>
      <c r="U17" s="715"/>
      <c r="V17" s="714"/>
      <c r="W17" s="715"/>
      <c r="X17" s="1538"/>
      <c r="Y17" s="3417"/>
      <c r="Z17" s="1539"/>
      <c r="AA17" s="1536">
        <v>1</v>
      </c>
      <c r="AB17" s="1536">
        <v>1</v>
      </c>
      <c r="AC17" s="1536">
        <v>1</v>
      </c>
    </row>
    <row r="18" spans="1:29" ht="42.75">
      <c r="A18" s="364"/>
      <c r="B18" s="589" t="s">
        <v>2470</v>
      </c>
      <c r="C18" s="2082" t="str">
        <f>IF(B1="工业",估价对象房地状况!G6,估价对象房地状况!C8)</f>
        <v>估价对象所在区域基础设施水平较高</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417"/>
      <c r="Q18" s="1535" t="str">
        <f>B18</f>
        <v>基础设施水平</v>
      </c>
      <c r="R18" s="714" t="s">
        <v>17</v>
      </c>
      <c r="S18" s="715">
        <f>F18</f>
        <v>100</v>
      </c>
      <c r="T18" s="714" t="s">
        <v>17</v>
      </c>
      <c r="U18" s="715">
        <f>H18</f>
        <v>100</v>
      </c>
      <c r="V18" s="714" t="s">
        <v>17</v>
      </c>
      <c r="W18" s="715">
        <f>J18</f>
        <v>100</v>
      </c>
      <c r="X18" s="1538"/>
      <c r="Y18" s="3417"/>
      <c r="Z18" s="1539" t="str">
        <f>Q18</f>
        <v>基础设施水平</v>
      </c>
      <c r="AA18" s="1536">
        <f t="shared" ref="AA18" si="8">D18/F18</f>
        <v>1</v>
      </c>
      <c r="AB18" s="1536">
        <f t="shared" ref="AB18" si="9">D18/H18</f>
        <v>1</v>
      </c>
      <c r="AC18" s="1536">
        <f t="shared" ref="AC18" si="10">D18/J18</f>
        <v>1</v>
      </c>
    </row>
    <row r="19" spans="1:29" ht="15">
      <c r="A19" s="364"/>
      <c r="B19" s="589"/>
      <c r="C19" s="2083"/>
      <c r="D19" s="409"/>
      <c r="E19" s="2083"/>
      <c r="F19" s="412"/>
      <c r="G19" s="2083"/>
      <c r="H19" s="407"/>
      <c r="I19" s="406"/>
      <c r="J19" s="407"/>
      <c r="K19" s="1292"/>
      <c r="L19" s="2942"/>
      <c r="M19" s="2936"/>
      <c r="N19" s="2936"/>
      <c r="O19" s="2936"/>
      <c r="P19" s="3417"/>
      <c r="Q19" s="1535"/>
      <c r="R19" s="714"/>
      <c r="S19" s="715"/>
      <c r="T19" s="714"/>
      <c r="U19" s="715"/>
      <c r="V19" s="714"/>
      <c r="W19" s="715"/>
      <c r="X19" s="1538"/>
      <c r="Y19" s="3417"/>
      <c r="Z19" s="1539"/>
      <c r="AA19" s="1536">
        <v>1</v>
      </c>
      <c r="AB19" s="1536">
        <v>1</v>
      </c>
      <c r="AC19" s="1536">
        <v>1</v>
      </c>
    </row>
    <row r="20" spans="1:29" ht="85.5">
      <c r="A20" s="364"/>
      <c r="B20" s="587" t="s">
        <v>2491</v>
      </c>
      <c r="C20" s="2082" t="str">
        <f>IF(B1="工业",估价对象房地状况!G7,估价对象房地状况!C9)</f>
        <v>区域自然环境：南海子公园、旧宫公园、市民公园；人文环境；综合评价环境状况一般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417"/>
      <c r="Q20" s="1535" t="str">
        <f>B20</f>
        <v>自然及人文环境</v>
      </c>
      <c r="R20" s="714" t="s">
        <v>17</v>
      </c>
      <c r="S20" s="715">
        <f>F20</f>
        <v>100</v>
      </c>
      <c r="T20" s="714" t="s">
        <v>17</v>
      </c>
      <c r="U20" s="715">
        <f>H20</f>
        <v>100</v>
      </c>
      <c r="V20" s="714" t="s">
        <v>17</v>
      </c>
      <c r="W20" s="715">
        <f>J20</f>
        <v>100</v>
      </c>
      <c r="X20" s="1538"/>
      <c r="Y20" s="3417"/>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2"/>
      <c r="M21" s="2936"/>
      <c r="N21" s="2936"/>
      <c r="O21" s="2936"/>
      <c r="P21" s="3417"/>
      <c r="Q21" s="1535"/>
      <c r="R21" s="714"/>
      <c r="S21" s="715"/>
      <c r="T21" s="714"/>
      <c r="U21" s="715"/>
      <c r="V21" s="714"/>
      <c r="W21" s="715"/>
      <c r="X21" s="1538"/>
      <c r="Y21" s="3417"/>
      <c r="Z21" s="1539"/>
      <c r="AA21" s="1536">
        <v>1</v>
      </c>
      <c r="AB21" s="1536">
        <v>1</v>
      </c>
      <c r="AC21" s="1536">
        <v>1</v>
      </c>
    </row>
    <row r="22" spans="1:29" ht="15">
      <c r="A22" s="364"/>
      <c r="B22" s="587" t="s">
        <v>2492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417"/>
      <c r="Q22" s="1535" t="str">
        <f>B22</f>
        <v>楼层</v>
      </c>
      <c r="R22" s="714" t="s">
        <v>17</v>
      </c>
      <c r="S22" s="715">
        <f>F22</f>
        <v>100</v>
      </c>
      <c r="T22" s="714" t="s">
        <v>17</v>
      </c>
      <c r="U22" s="715">
        <f>H22</f>
        <v>100</v>
      </c>
      <c r="V22" s="714" t="s">
        <v>17</v>
      </c>
      <c r="W22" s="715">
        <f>J22</f>
        <v>100</v>
      </c>
      <c r="X22" s="1538"/>
      <c r="Y22" s="3417"/>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417"/>
      <c r="Q23" s="1535">
        <f>B23</f>
        <v>111</v>
      </c>
      <c r="R23" s="714" t="s">
        <v>17</v>
      </c>
      <c r="S23" s="715">
        <f>F23</f>
        <v>100</v>
      </c>
      <c r="T23" s="714" t="s">
        <v>17</v>
      </c>
      <c r="U23" s="715">
        <f>H23</f>
        <v>100</v>
      </c>
      <c r="V23" s="714" t="s">
        <v>17</v>
      </c>
      <c r="W23" s="715">
        <f>J23</f>
        <v>100</v>
      </c>
      <c r="X23" s="1538"/>
      <c r="Y23" s="3417"/>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417"/>
      <c r="Q24" s="1535">
        <f t="shared" ref="Q24:Q36" si="11">B24</f>
        <v>111</v>
      </c>
      <c r="R24" s="714" t="s">
        <v>17</v>
      </c>
      <c r="S24" s="715">
        <f>F24</f>
        <v>100</v>
      </c>
      <c r="T24" s="714" t="s">
        <v>17</v>
      </c>
      <c r="U24" s="715">
        <f>H24</f>
        <v>100</v>
      </c>
      <c r="V24" s="714" t="s">
        <v>17</v>
      </c>
      <c r="W24" s="715">
        <f>J24</f>
        <v>100</v>
      </c>
      <c r="X24" s="1538"/>
      <c r="Y24" s="3417"/>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417"/>
      <c r="Q25" s="1526">
        <f t="shared" si="11"/>
        <v>111</v>
      </c>
      <c r="R25" s="710" t="s">
        <v>17</v>
      </c>
      <c r="S25" s="711">
        <f>F25</f>
        <v>100</v>
      </c>
      <c r="T25" s="710" t="s">
        <v>17</v>
      </c>
      <c r="U25" s="711">
        <f>H25</f>
        <v>100</v>
      </c>
      <c r="V25" s="710" t="s">
        <v>17</v>
      </c>
      <c r="W25" s="711">
        <f>J25</f>
        <v>100</v>
      </c>
      <c r="X25" s="712"/>
      <c r="Y25" s="3417"/>
      <c r="Z25" s="55">
        <f>Q25</f>
        <v>111</v>
      </c>
      <c r="AA25" s="1536">
        <f>D25/F25</f>
        <v>1</v>
      </c>
      <c r="AB25" s="1536">
        <f>D25/H25</f>
        <v>1</v>
      </c>
      <c r="AC25" s="1536">
        <f>D25/J25</f>
        <v>1</v>
      </c>
    </row>
    <row r="26" spans="1:29" ht="28.5">
      <c r="A26" s="608" t="s">
        <v>2344</v>
      </c>
      <c r="B26" s="66" t="s">
        <v>2493</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418" t="s">
        <v>2346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419" t="s">
        <v>2346</v>
      </c>
      <c r="Z26" s="1539" t="str">
        <f t="shared" ref="Z26:Z36" si="15">Q26</f>
        <v>配套类型</v>
      </c>
      <c r="AA26" s="1536">
        <f t="shared" si="3"/>
        <v>1</v>
      </c>
      <c r="AB26" s="1536">
        <f t="shared" si="4"/>
        <v>1</v>
      </c>
      <c r="AC26" s="1536">
        <f t="shared" si="5"/>
        <v>1</v>
      </c>
    </row>
    <row r="27" spans="1:29" s="430" customFormat="1" ht="15">
      <c r="A27" s="609"/>
      <c r="B27" s="610" t="s">
        <v>2494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419"/>
      <c r="Q27" s="716" t="str">
        <f t="shared" si="11"/>
        <v>项目停车位配比</v>
      </c>
      <c r="R27" s="717" t="s">
        <v>17</v>
      </c>
      <c r="S27" s="718">
        <f t="shared" si="12"/>
        <v>100</v>
      </c>
      <c r="T27" s="717" t="s">
        <v>17</v>
      </c>
      <c r="U27" s="718">
        <f t="shared" si="13"/>
        <v>100</v>
      </c>
      <c r="V27" s="717" t="s">
        <v>17</v>
      </c>
      <c r="W27" s="718">
        <f t="shared" si="14"/>
        <v>100</v>
      </c>
      <c r="X27" s="719"/>
      <c r="Y27" s="3419"/>
      <c r="Z27" s="720" t="str">
        <f t="shared" si="15"/>
        <v>项目停车位配比</v>
      </c>
      <c r="AA27" s="1536">
        <f t="shared" si="3"/>
        <v>1</v>
      </c>
      <c r="AB27" s="1536">
        <f t="shared" si="4"/>
        <v>1</v>
      </c>
      <c r="AC27" s="1536">
        <f t="shared" si="5"/>
        <v>1</v>
      </c>
    </row>
    <row r="28" spans="1:29" ht="15">
      <c r="A28" s="612"/>
      <c r="B28" s="610" t="s">
        <v>2495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419"/>
      <c r="Q28" s="1535" t="str">
        <f t="shared" si="11"/>
        <v>公共部分装修</v>
      </c>
      <c r="R28" s="714" t="s">
        <v>17</v>
      </c>
      <c r="S28" s="715">
        <f t="shared" si="12"/>
        <v>100</v>
      </c>
      <c r="T28" s="714" t="s">
        <v>17</v>
      </c>
      <c r="U28" s="715">
        <f t="shared" si="13"/>
        <v>100</v>
      </c>
      <c r="V28" s="714" t="s">
        <v>17</v>
      </c>
      <c r="W28" s="715">
        <f t="shared" si="14"/>
        <v>100</v>
      </c>
      <c r="X28" s="1538"/>
      <c r="Y28" s="3419"/>
      <c r="Z28" s="1539" t="str">
        <f t="shared" si="15"/>
        <v>公共部分装修</v>
      </c>
      <c r="AA28" s="1536">
        <f t="shared" si="3"/>
        <v>1</v>
      </c>
      <c r="AB28" s="1536">
        <f t="shared" si="4"/>
        <v>1</v>
      </c>
      <c r="AC28" s="1536">
        <f t="shared" si="5"/>
        <v>1</v>
      </c>
    </row>
    <row r="29" spans="1:29" ht="15">
      <c r="A29" s="612"/>
      <c r="B29" s="610" t="s">
        <v>2496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419"/>
      <c r="Q29" s="1535" t="str">
        <f t="shared" si="11"/>
        <v>成新率</v>
      </c>
      <c r="R29" s="714" t="s">
        <v>17</v>
      </c>
      <c r="S29" s="715" t="e">
        <f t="shared" si="12"/>
        <v>#N/A</v>
      </c>
      <c r="T29" s="714" t="s">
        <v>17</v>
      </c>
      <c r="U29" s="715" t="e">
        <f t="shared" si="13"/>
        <v>#N/A</v>
      </c>
      <c r="V29" s="714" t="s">
        <v>17</v>
      </c>
      <c r="W29" s="715" t="e">
        <f t="shared" si="14"/>
        <v>#N/A</v>
      </c>
      <c r="X29" s="1538"/>
      <c r="Y29" s="3419"/>
      <c r="Z29" s="1539" t="str">
        <f t="shared" si="15"/>
        <v>成新率</v>
      </c>
      <c r="AA29" s="1536" t="e">
        <f t="shared" si="3"/>
        <v>#N/A</v>
      </c>
      <c r="AB29" s="1536" t="e">
        <f t="shared" si="4"/>
        <v>#N/A</v>
      </c>
      <c r="AC29" s="1536" t="e">
        <f t="shared" si="5"/>
        <v>#N/A</v>
      </c>
    </row>
    <row r="30" spans="1:29" ht="15">
      <c r="A30" s="612"/>
      <c r="B30" s="610" t="s">
        <v>2497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419"/>
      <c r="Q30" s="1535" t="str">
        <f t="shared" si="11"/>
        <v>物业等级</v>
      </c>
      <c r="R30" s="714" t="s">
        <v>17</v>
      </c>
      <c r="S30" s="715">
        <f t="shared" si="12"/>
        <v>100</v>
      </c>
      <c r="T30" s="714" t="s">
        <v>17</v>
      </c>
      <c r="U30" s="715">
        <f t="shared" si="13"/>
        <v>100</v>
      </c>
      <c r="V30" s="714" t="s">
        <v>17</v>
      </c>
      <c r="W30" s="715">
        <f t="shared" si="14"/>
        <v>100</v>
      </c>
      <c r="X30" s="1538"/>
      <c r="Y30" s="3419"/>
      <c r="Z30" s="1539" t="str">
        <f t="shared" si="15"/>
        <v>物业等级</v>
      </c>
      <c r="AA30" s="1536">
        <f t="shared" si="3"/>
        <v>1</v>
      </c>
      <c r="AB30" s="1536">
        <f t="shared" si="4"/>
        <v>1</v>
      </c>
      <c r="AC30" s="1536">
        <f t="shared" si="5"/>
        <v>1</v>
      </c>
    </row>
    <row r="31" spans="1:29" s="113" customFormat="1" ht="15">
      <c r="A31" s="614"/>
      <c r="B31" s="610" t="s">
        <v>2498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419"/>
      <c r="Q31" s="1526" t="str">
        <f t="shared" si="11"/>
        <v>停车位面积</v>
      </c>
      <c r="R31" s="710" t="s">
        <v>17</v>
      </c>
      <c r="S31" s="711" t="e">
        <f t="shared" si="12"/>
        <v>#N/A</v>
      </c>
      <c r="T31" s="710" t="s">
        <v>17</v>
      </c>
      <c r="U31" s="711" t="e">
        <f t="shared" si="13"/>
        <v>#N/A</v>
      </c>
      <c r="V31" s="710" t="s">
        <v>17</v>
      </c>
      <c r="W31" s="711" t="e">
        <f t="shared" si="14"/>
        <v>#N/A</v>
      </c>
      <c r="X31" s="712"/>
      <c r="Y31" s="3419"/>
      <c r="Z31" s="55" t="str">
        <f t="shared" si="15"/>
        <v>停车位面积</v>
      </c>
      <c r="AA31" s="713" t="e">
        <f t="shared" si="3"/>
        <v>#N/A</v>
      </c>
      <c r="AB31" s="713" t="e">
        <f t="shared" si="4"/>
        <v>#N/A</v>
      </c>
      <c r="AC31" s="713" t="e">
        <f t="shared" si="5"/>
        <v>#N/A</v>
      </c>
    </row>
    <row r="32" spans="1:29" ht="15">
      <c r="A32" s="612"/>
      <c r="B32" s="610" t="s">
        <v>2499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419" t="s">
        <v>2346</v>
      </c>
      <c r="Q32" s="1535" t="str">
        <f t="shared" si="11"/>
        <v>车位类型</v>
      </c>
      <c r="R32" s="714" t="s">
        <v>17</v>
      </c>
      <c r="S32" s="715">
        <f t="shared" si="12"/>
        <v>100</v>
      </c>
      <c r="T32" s="714" t="s">
        <v>17</v>
      </c>
      <c r="U32" s="715">
        <f t="shared" si="13"/>
        <v>100</v>
      </c>
      <c r="V32" s="714" t="s">
        <v>17</v>
      </c>
      <c r="W32" s="715">
        <f t="shared" si="14"/>
        <v>100</v>
      </c>
      <c r="X32" s="1538"/>
      <c r="Y32" s="3419" t="s">
        <v>2346</v>
      </c>
      <c r="Z32" s="1539" t="str">
        <f t="shared" si="15"/>
        <v>车位类型</v>
      </c>
      <c r="AA32" s="1536">
        <f t="shared" si="3"/>
        <v>1</v>
      </c>
      <c r="AB32" s="1536">
        <f t="shared" si="4"/>
        <v>1</v>
      </c>
      <c r="AC32" s="1536">
        <f t="shared" si="5"/>
        <v>1</v>
      </c>
    </row>
    <row r="33" spans="1:29" ht="15">
      <c r="A33" s="612"/>
      <c r="B33" s="610" t="s">
        <v>2500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419"/>
      <c r="Q33" s="1535" t="str">
        <f t="shared" si="11"/>
        <v>是否直接入户</v>
      </c>
      <c r="R33" s="714" t="s">
        <v>17</v>
      </c>
      <c r="S33" s="715">
        <f t="shared" si="12"/>
        <v>100</v>
      </c>
      <c r="T33" s="714" t="s">
        <v>17</v>
      </c>
      <c r="U33" s="715">
        <f t="shared" si="13"/>
        <v>100</v>
      </c>
      <c r="V33" s="714" t="s">
        <v>17</v>
      </c>
      <c r="W33" s="715">
        <f t="shared" si="14"/>
        <v>100</v>
      </c>
      <c r="X33" s="1538"/>
      <c r="Y33" s="3419"/>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419"/>
      <c r="Q34" s="1535">
        <f t="shared" si="11"/>
        <v>111</v>
      </c>
      <c r="R34" s="714" t="s">
        <v>17</v>
      </c>
      <c r="S34" s="715">
        <f t="shared" si="12"/>
        <v>100</v>
      </c>
      <c r="T34" s="714" t="s">
        <v>17</v>
      </c>
      <c r="U34" s="715">
        <f t="shared" si="13"/>
        <v>100</v>
      </c>
      <c r="V34" s="714" t="s">
        <v>17</v>
      </c>
      <c r="W34" s="715">
        <f t="shared" si="14"/>
        <v>100</v>
      </c>
      <c r="X34" s="1538"/>
      <c r="Y34" s="3419"/>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419"/>
      <c r="Q35" s="716">
        <f t="shared" si="11"/>
        <v>111</v>
      </c>
      <c r="R35" s="717" t="s">
        <v>17</v>
      </c>
      <c r="S35" s="718">
        <f t="shared" si="12"/>
        <v>100</v>
      </c>
      <c r="T35" s="717" t="s">
        <v>17</v>
      </c>
      <c r="U35" s="718">
        <f t="shared" si="13"/>
        <v>100</v>
      </c>
      <c r="V35" s="717" t="s">
        <v>17</v>
      </c>
      <c r="W35" s="718">
        <f t="shared" si="14"/>
        <v>100</v>
      </c>
      <c r="X35" s="719"/>
      <c r="Y35" s="3419"/>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419"/>
      <c r="Q36" s="1535">
        <f t="shared" si="11"/>
        <v>111</v>
      </c>
      <c r="R36" s="714" t="s">
        <v>17</v>
      </c>
      <c r="S36" s="715">
        <f t="shared" si="12"/>
        <v>100</v>
      </c>
      <c r="T36" s="714" t="s">
        <v>17</v>
      </c>
      <c r="U36" s="715">
        <f t="shared" si="13"/>
        <v>100</v>
      </c>
      <c r="V36" s="714" t="s">
        <v>17</v>
      </c>
      <c r="W36" s="715">
        <f t="shared" si="14"/>
        <v>100</v>
      </c>
      <c r="X36" s="1538"/>
      <c r="Y36" s="3419"/>
      <c r="Z36" s="1539">
        <f t="shared" si="15"/>
        <v>111</v>
      </c>
      <c r="AA36" s="1536">
        <f t="shared" si="3"/>
        <v>1</v>
      </c>
      <c r="AB36" s="1536">
        <f t="shared" si="4"/>
        <v>1</v>
      </c>
      <c r="AC36" s="1536">
        <f t="shared" si="5"/>
        <v>1</v>
      </c>
    </row>
    <row r="37" spans="1:29" ht="15">
      <c r="A37" s="438" t="s">
        <v>2501</v>
      </c>
      <c r="B37" s="2155" t="s">
        <v>2502</v>
      </c>
      <c r="C37" s="1315" t="s">
        <v>1</v>
      </c>
      <c r="D37" s="1316"/>
      <c r="E37" s="1317"/>
      <c r="F37" s="1318"/>
      <c r="G37" s="1319"/>
      <c r="H37" s="1320"/>
      <c r="I37" s="1317"/>
      <c r="J37" s="1320"/>
      <c r="K37" s="576"/>
      <c r="L37" s="2944"/>
      <c r="M37" s="2945"/>
      <c r="N37" s="2936"/>
      <c r="O37" s="2945"/>
      <c r="P37" s="3401" t="str">
        <f>A37</f>
        <v>成交单价</v>
      </c>
      <c r="Q37" s="3401"/>
      <c r="R37" s="3462">
        <f>E37</f>
        <v>0</v>
      </c>
      <c r="S37" s="3462"/>
      <c r="T37" s="3462">
        <f>G37</f>
        <v>0</v>
      </c>
      <c r="U37" s="3462"/>
      <c r="V37" s="3462">
        <f>I37</f>
        <v>0</v>
      </c>
      <c r="W37" s="3462"/>
      <c r="X37" s="699"/>
      <c r="Y37" s="721"/>
      <c r="Z37" s="699"/>
      <c r="AA37" s="699"/>
      <c r="AB37" s="699"/>
      <c r="AC37" s="699"/>
    </row>
    <row r="38" spans="1:29" ht="15.75" thickBot="1">
      <c r="A38" s="445" t="s">
        <v>2503</v>
      </c>
      <c r="B38" s="446" t="str">
        <f>B37</f>
        <v>元/车位</v>
      </c>
      <c r="C38" s="1321" t="e">
        <f>R39</f>
        <v>#DIV/0!</v>
      </c>
      <c r="D38" s="2534" t="s">
        <v>2840</v>
      </c>
      <c r="E38" s="1322" t="e">
        <f>R38</f>
        <v>#DIV/0!</v>
      </c>
      <c r="F38" s="2535"/>
      <c r="G38" s="1321" t="e">
        <f>T38</f>
        <v>#DIV/0!</v>
      </c>
      <c r="H38" s="2535"/>
      <c r="I38" s="1322" t="e">
        <f>V38</f>
        <v>#DIV/0!</v>
      </c>
      <c r="J38" s="2535"/>
      <c r="K38" s="2537">
        <f>F38+H38+J38</f>
        <v>0</v>
      </c>
      <c r="L38" s="2944"/>
      <c r="M38" s="2945"/>
      <c r="N38" s="2945"/>
      <c r="O38" s="2945"/>
      <c r="P38" s="3401" t="str">
        <f>A38</f>
        <v>比较价值（元/平方米）</v>
      </c>
      <c r="Q38" s="340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2504</v>
      </c>
      <c r="B39" s="450"/>
      <c r="C39" s="1324" t="e">
        <f>R39</f>
        <v>#DIV/0!</v>
      </c>
      <c r="D39" s="1324"/>
      <c r="E39" s="1324"/>
      <c r="F39" s="1324"/>
      <c r="G39" s="1324"/>
      <c r="H39" s="1324"/>
      <c r="I39" s="1324"/>
      <c r="J39" s="1324"/>
      <c r="K39" s="577"/>
      <c r="L39" s="2944"/>
      <c r="M39" s="2945"/>
      <c r="N39" s="2945"/>
      <c r="O39" s="2945"/>
      <c r="P39" s="3421" t="str">
        <f>A39</f>
        <v>估价对象XX用房的比较价值（楼面单价，元/平方米）</v>
      </c>
      <c r="Q39" s="3422"/>
      <c r="R39" s="3484" t="e">
        <f>IF(F1="售价",ROUND(IF(D38="简单平均",AVERAGE(R38:W38),R38*F38+T38*H38+V38*J38),0),ROUND(IF(D38="简单平均",AVERAGE(R38:V38),R38*F38+T38*H38+V38*J38),1))</f>
        <v>#DIV/0!</v>
      </c>
      <c r="S39" s="3484"/>
      <c r="T39" s="3484"/>
      <c r="U39" s="3484"/>
      <c r="V39" s="3484"/>
      <c r="W39" s="348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2508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2509</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2366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2331</v>
      </c>
      <c r="B51" s="467"/>
      <c r="C51" s="479" t="s">
        <v>2433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2369</v>
      </c>
      <c r="B53" s="485" t="s">
        <v>2335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2338</v>
      </c>
      <c r="C55" s="496" t="s">
        <v>2370</v>
      </c>
      <c r="D55" s="496" t="s">
        <v>2371</v>
      </c>
      <c r="E55" s="496" t="s">
        <v>2372</v>
      </c>
      <c r="F55" s="496" t="s">
        <v>2373</v>
      </c>
      <c r="G55" s="496" t="s">
        <v>2374</v>
      </c>
      <c r="H55" s="496" t="s">
        <v>2375</v>
      </c>
      <c r="I55" s="496" t="s">
        <v>2376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2340</v>
      </c>
      <c r="B63" s="485" t="s">
        <v>2383</v>
      </c>
      <c r="C63" s="530" t="s">
        <v>2378</v>
      </c>
      <c r="D63" s="530" t="s">
        <v>2379</v>
      </c>
      <c r="E63" s="530" t="s">
        <v>2380</v>
      </c>
      <c r="F63" s="530" t="s">
        <v>2381</v>
      </c>
      <c r="G63" s="530" t="s">
        <v>2382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2384</v>
      </c>
      <c r="C65" s="535" t="s">
        <v>2378</v>
      </c>
      <c r="D65" s="535" t="s">
        <v>2379</v>
      </c>
      <c r="E65" s="535" t="s">
        <v>2380</v>
      </c>
      <c r="F65" s="535" t="s">
        <v>2381</v>
      </c>
      <c r="G65" s="535" t="s">
        <v>2382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2470</v>
      </c>
      <c r="C67" s="616" t="s">
        <v>2456</v>
      </c>
      <c r="D67" s="616" t="s">
        <v>2457</v>
      </c>
      <c r="E67" s="616" t="s">
        <v>2458</v>
      </c>
      <c r="F67" s="616" t="s">
        <v>2459</v>
      </c>
      <c r="G67" s="616" t="s">
        <v>2460</v>
      </c>
      <c r="H67" s="496"/>
      <c r="I67" s="496"/>
      <c r="J67" s="496"/>
      <c r="K67" s="496"/>
      <c r="L67" s="496"/>
      <c r="M67" s="1291"/>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2390</v>
      </c>
      <c r="C69" s="535" t="s">
        <v>2378</v>
      </c>
      <c r="D69" s="535" t="s">
        <v>2379</v>
      </c>
      <c r="E69" s="535" t="s">
        <v>2380</v>
      </c>
      <c r="F69" s="535" t="s">
        <v>2381</v>
      </c>
      <c r="G69" s="535" t="s">
        <v>2382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2510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2344</v>
      </c>
      <c r="B79" s="485" t="s">
        <v>2511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2512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2397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2514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2516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2517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2488</v>
      </c>
      <c r="B1" s="1390"/>
      <c r="C1" s="1391" t="s">
        <v>2311</v>
      </c>
      <c r="D1" s="1392"/>
      <c r="E1" s="1401"/>
      <c r="F1" s="2061"/>
      <c r="G1" s="1402" t="s">
        <v>2424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5" t="e">
        <f ca="1">IF(C2="——",ROUND(C37*D3/10000,0),ROUND(C37*D3/10000,0)-D2)</f>
        <v>#DIV/0!</v>
      </c>
      <c r="C2" s="2063"/>
      <c r="D2" s="1038" t="e">
        <f ca="1">SUMIF(INDIRECT("'"&amp;F2&amp;"'"&amp;"!A:A"),"承租人权益价值",INDIRECT("'"&amp;F2&amp;"'"&amp;"!c:c"))</f>
        <v>#REF!</v>
      </c>
      <c r="E2" s="2064" t="s">
        <v>2147</v>
      </c>
      <c r="F2" s="2065"/>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2425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402" t="s">
        <v>2427</v>
      </c>
      <c r="D4" s="3403"/>
      <c r="E4" s="3404" t="s">
        <v>2428</v>
      </c>
      <c r="F4" s="3405"/>
      <c r="G4" s="3402" t="s">
        <v>2429</v>
      </c>
      <c r="H4" s="3403"/>
      <c r="I4" s="3402" t="s">
        <v>2430</v>
      </c>
      <c r="J4" s="3403"/>
      <c r="K4" s="567" t="s">
        <v>2431</v>
      </c>
      <c r="L4" s="2935"/>
      <c r="M4" s="2936"/>
      <c r="N4" s="2936"/>
      <c r="O4" s="2936"/>
      <c r="P4" s="3406" t="s">
        <v>2432</v>
      </c>
      <c r="Q4" s="3407"/>
      <c r="R4" s="3389" t="s">
        <v>2428</v>
      </c>
      <c r="S4" s="3390"/>
      <c r="T4" s="3389" t="s">
        <v>2429</v>
      </c>
      <c r="U4" s="3390"/>
      <c r="V4" s="3414" t="s">
        <v>2430</v>
      </c>
      <c r="W4" s="3414"/>
      <c r="X4" s="1538"/>
      <c r="Y4" s="3389" t="s">
        <v>2432</v>
      </c>
      <c r="Z4" s="3390"/>
      <c r="AA4" s="3384" t="s">
        <v>2428</v>
      </c>
      <c r="AB4" s="3385" t="s">
        <v>2429</v>
      </c>
      <c r="AC4" s="3384" t="s">
        <v>2430</v>
      </c>
    </row>
    <row r="5" spans="1:29" ht="15">
      <c r="A5" s="364"/>
      <c r="B5" s="365"/>
      <c r="C5" s="3395" t="s">
        <v>2323</v>
      </c>
      <c r="D5" s="3396"/>
      <c r="E5" s="3393" t="s">
        <v>2324</v>
      </c>
      <c r="F5" s="3394"/>
      <c r="G5" s="3395" t="s">
        <v>2325</v>
      </c>
      <c r="H5" s="3396"/>
      <c r="I5" s="3395" t="s">
        <v>2326</v>
      </c>
      <c r="J5" s="3396"/>
      <c r="K5" s="567"/>
      <c r="L5" s="2935"/>
      <c r="M5" s="2936"/>
      <c r="N5" s="2936"/>
      <c r="O5" s="2936"/>
      <c r="P5" s="3408"/>
      <c r="Q5" s="3409"/>
      <c r="R5" s="3391"/>
      <c r="S5" s="3392"/>
      <c r="T5" s="3391"/>
      <c r="U5" s="3392"/>
      <c r="V5" s="3414"/>
      <c r="W5" s="3414"/>
      <c r="X5" s="1538"/>
      <c r="Y5" s="3391"/>
      <c r="Z5" s="3392"/>
      <c r="AA5" s="3385"/>
      <c r="AB5" s="3385"/>
      <c r="AC5" s="3385"/>
    </row>
    <row r="6" spans="1:29" ht="15.75" thickBot="1">
      <c r="A6" s="366"/>
      <c r="B6" s="367"/>
      <c r="C6" s="3397" t="s">
        <v>2327</v>
      </c>
      <c r="D6" s="3398"/>
      <c r="E6" s="3399" t="s">
        <v>2327</v>
      </c>
      <c r="F6" s="3400"/>
      <c r="G6" s="3397" t="s">
        <v>2327</v>
      </c>
      <c r="H6" s="3398"/>
      <c r="I6" s="3397" t="s">
        <v>2327</v>
      </c>
      <c r="J6" s="3398"/>
      <c r="K6" s="567" t="s">
        <v>2328</v>
      </c>
      <c r="L6" s="2935"/>
      <c r="M6" s="2936"/>
      <c r="N6" s="2936"/>
      <c r="O6" s="2936"/>
      <c r="P6" s="3410"/>
      <c r="Q6" s="3411"/>
      <c r="R6" s="3391"/>
      <c r="S6" s="3392"/>
      <c r="T6" s="3412"/>
      <c r="U6" s="3413"/>
      <c r="V6" s="3414"/>
      <c r="W6" s="3414"/>
      <c r="X6" s="1538"/>
      <c r="Y6" s="3412"/>
      <c r="Z6" s="3413"/>
      <c r="AA6" s="3386"/>
      <c r="AB6" s="3386"/>
      <c r="AC6" s="3386"/>
    </row>
    <row r="7" spans="1:29" s="113" customFormat="1" ht="15.75" thickBot="1">
      <c r="A7" s="368" t="s">
        <v>2329</v>
      </c>
      <c r="B7" s="369"/>
      <c r="C7" s="370">
        <f>'数据-取费表'!B2</f>
        <v>44314</v>
      </c>
      <c r="D7" s="371">
        <v>100</v>
      </c>
      <c r="E7" s="372"/>
      <c r="F7" s="373">
        <f>SUMIF(46:46,YEAR(E7)&amp;"-"&amp;MONTH(E7),47:47)</f>
        <v>0</v>
      </c>
      <c r="G7" s="2156"/>
      <c r="H7" s="371">
        <f>SUMIF(46:46,YEAR(G7)&amp;"-"&amp;MONTH(G7),47:47)</f>
        <v>0</v>
      </c>
      <c r="I7" s="372"/>
      <c r="J7" s="371">
        <f>SUMIF(46:46,YEAR(I7)&amp;"-"&amp;MONTH(I7),47:47)</f>
        <v>0</v>
      </c>
      <c r="K7" s="568"/>
      <c r="L7" s="2937"/>
      <c r="M7" s="2938"/>
      <c r="N7" s="2938"/>
      <c r="O7" s="2938"/>
      <c r="P7" s="3387" t="s">
        <v>2330</v>
      </c>
      <c r="Q7" s="3415"/>
      <c r="R7" s="710" t="s">
        <v>17</v>
      </c>
      <c r="S7" s="711">
        <f t="shared" ref="S7:S14" si="0">F7</f>
        <v>0</v>
      </c>
      <c r="T7" s="710" t="s">
        <v>17</v>
      </c>
      <c r="U7" s="711">
        <f t="shared" ref="U7:U14" si="1">H7</f>
        <v>0</v>
      </c>
      <c r="V7" s="710" t="s">
        <v>17</v>
      </c>
      <c r="W7" s="711">
        <f t="shared" ref="W7:W14" si="2">J7</f>
        <v>0</v>
      </c>
      <c r="X7" s="712"/>
      <c r="Y7" s="3387" t="s">
        <v>2330</v>
      </c>
      <c r="Z7" s="3388"/>
      <c r="AA7" s="713" t="e">
        <f>D7/F7</f>
        <v>#DIV/0!</v>
      </c>
      <c r="AB7" s="713" t="e">
        <f>D7/H7</f>
        <v>#DIV/0!</v>
      </c>
      <c r="AC7" s="713" t="e">
        <f>D7/J7</f>
        <v>#DIV/0!</v>
      </c>
    </row>
    <row r="8" spans="1:29" s="113" customFormat="1" ht="15.75" thickBot="1">
      <c r="A8" s="368" t="s">
        <v>2331</v>
      </c>
      <c r="B8" s="369"/>
      <c r="C8" s="374" t="s">
        <v>2433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87" t="s">
        <v>2333</v>
      </c>
      <c r="Q8" s="3388"/>
      <c r="R8" s="710" t="s">
        <v>17</v>
      </c>
      <c r="S8" s="711">
        <f t="shared" si="0"/>
        <v>0</v>
      </c>
      <c r="T8" s="710" t="s">
        <v>17</v>
      </c>
      <c r="U8" s="711">
        <f t="shared" si="1"/>
        <v>0</v>
      </c>
      <c r="V8" s="710" t="s">
        <v>17</v>
      </c>
      <c r="W8" s="711">
        <f t="shared" si="2"/>
        <v>0</v>
      </c>
      <c r="X8" s="712"/>
      <c r="Y8" s="3387" t="s">
        <v>2333</v>
      </c>
      <c r="Z8" s="3388"/>
      <c r="AA8" s="713" t="e">
        <f t="shared" ref="AA8:AA34" si="3">D8/F8</f>
        <v>#DIV/0!</v>
      </c>
      <c r="AB8" s="713" t="e">
        <f t="shared" ref="AB8:AB34" si="4">D8/H8</f>
        <v>#DIV/0!</v>
      </c>
      <c r="AC8" s="713" t="e">
        <f t="shared" ref="AC8:AC34" si="5">D8/J8</f>
        <v>#DIV/0!</v>
      </c>
    </row>
    <row r="9" spans="1:29" s="113" customFormat="1">
      <c r="A9" s="375" t="s">
        <v>2334</v>
      </c>
      <c r="B9" s="67" t="s">
        <v>2335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401" t="s">
        <v>2336</v>
      </c>
      <c r="Q9" s="1526" t="str">
        <f t="shared" ref="Q9:Q14" si="6">B9</f>
        <v>用途</v>
      </c>
      <c r="R9" s="710" t="s">
        <v>17</v>
      </c>
      <c r="S9" s="711">
        <f t="shared" si="0"/>
        <v>100</v>
      </c>
      <c r="T9" s="710" t="s">
        <v>17</v>
      </c>
      <c r="U9" s="711">
        <f t="shared" si="1"/>
        <v>100</v>
      </c>
      <c r="V9" s="710" t="s">
        <v>17</v>
      </c>
      <c r="W9" s="711">
        <f t="shared" si="2"/>
        <v>100</v>
      </c>
      <c r="X9" s="712"/>
      <c r="Y9" s="3348" t="s">
        <v>2337</v>
      </c>
      <c r="Z9" s="55" t="str">
        <f t="shared" ref="Z9:Z14" si="7">Q9</f>
        <v>用途</v>
      </c>
      <c r="AA9" s="713">
        <f t="shared" si="3"/>
        <v>1</v>
      </c>
      <c r="AB9" s="713">
        <f t="shared" si="4"/>
        <v>1</v>
      </c>
      <c r="AC9" s="713">
        <f t="shared" si="5"/>
        <v>1</v>
      </c>
    </row>
    <row r="10" spans="1:29" s="386" customFormat="1" ht="27">
      <c r="A10" s="380"/>
      <c r="B10" s="381" t="s">
        <v>2338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401"/>
      <c r="Q10" s="1526"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401"/>
      <c r="Q11" s="1526">
        <f t="shared" si="6"/>
        <v>111</v>
      </c>
      <c r="R11" s="710" t="s">
        <v>17</v>
      </c>
      <c r="S11" s="711">
        <f t="shared" si="0"/>
        <v>100</v>
      </c>
      <c r="T11" s="710" t="s">
        <v>17</v>
      </c>
      <c r="U11" s="711">
        <f t="shared" si="1"/>
        <v>100</v>
      </c>
      <c r="V11" s="710" t="s">
        <v>17</v>
      </c>
      <c r="W11" s="711">
        <f t="shared" si="2"/>
        <v>100</v>
      </c>
      <c r="X11" s="712"/>
      <c r="Y11" s="3348"/>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401"/>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2"/>
      <c r="M13" s="2936"/>
      <c r="N13" s="2936"/>
      <c r="O13" s="2994"/>
      <c r="P13" s="3401"/>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28.25">
      <c r="A14" s="399" t="s">
        <v>2340</v>
      </c>
      <c r="B14" s="65" t="s">
        <v>2490</v>
      </c>
      <c r="C14" s="2153" t="str">
        <f>IF(B1="工业",估价对象房地状况!G4,估价对象房地状况!C6)</f>
        <v>估价对象周边道路状况、公共交通通达情况：341、453、555等公交线路及地铁八号线经过、停车便捷程度较好，综合评价交通便捷度较好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416" t="s">
        <v>2341</v>
      </c>
      <c r="Q14" s="1535" t="str">
        <f t="shared" si="6"/>
        <v>交通便捷度</v>
      </c>
      <c r="R14" s="714" t="s">
        <v>17</v>
      </c>
      <c r="S14" s="715">
        <f t="shared" si="0"/>
        <v>100</v>
      </c>
      <c r="T14" s="714" t="s">
        <v>17</v>
      </c>
      <c r="U14" s="715">
        <f t="shared" si="1"/>
        <v>100</v>
      </c>
      <c r="V14" s="714" t="s">
        <v>17</v>
      </c>
      <c r="W14" s="715">
        <f t="shared" si="2"/>
        <v>100</v>
      </c>
      <c r="X14" s="1538"/>
      <c r="Y14" s="3416" t="s">
        <v>2341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2"/>
      <c r="M15" s="2936"/>
      <c r="N15" s="2936"/>
      <c r="O15" s="2994"/>
      <c r="P15" s="3417"/>
      <c r="Q15" s="1535"/>
      <c r="R15" s="714"/>
      <c r="S15" s="715"/>
      <c r="T15" s="714"/>
      <c r="U15" s="715"/>
      <c r="V15" s="714"/>
      <c r="W15" s="715"/>
      <c r="X15" s="1538"/>
      <c r="Y15" s="3417"/>
      <c r="Z15" s="1539"/>
      <c r="AA15" s="1536">
        <v>1</v>
      </c>
      <c r="AB15" s="1536">
        <v>1</v>
      </c>
      <c r="AC15" s="1536">
        <v>1</v>
      </c>
    </row>
    <row r="16" spans="1:29" ht="42.75">
      <c r="A16" s="387"/>
      <c r="B16" s="410" t="s">
        <v>2469</v>
      </c>
      <c r="C16" s="2082"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417"/>
      <c r="Q16" s="1535" t="str">
        <f>B16</f>
        <v>公共配套设施</v>
      </c>
      <c r="R16" s="714" t="s">
        <v>17</v>
      </c>
      <c r="S16" s="715">
        <f>F16</f>
        <v>100</v>
      </c>
      <c r="T16" s="714" t="s">
        <v>17</v>
      </c>
      <c r="U16" s="715">
        <f>H16</f>
        <v>100</v>
      </c>
      <c r="V16" s="714" t="s">
        <v>17</v>
      </c>
      <c r="W16" s="715">
        <f>J16</f>
        <v>100</v>
      </c>
      <c r="X16" s="1538"/>
      <c r="Y16" s="3417"/>
      <c r="Z16" s="1539" t="str">
        <f>Q16</f>
        <v>公共配套设施</v>
      </c>
      <c r="AA16" s="1536">
        <f t="shared" si="3"/>
        <v>1</v>
      </c>
      <c r="AB16" s="1536">
        <f t="shared" si="4"/>
        <v>1</v>
      </c>
      <c r="AC16" s="1536">
        <f t="shared" si="5"/>
        <v>1</v>
      </c>
    </row>
    <row r="17" spans="1:29" ht="15">
      <c r="A17" s="387"/>
      <c r="B17" s="415"/>
      <c r="C17" s="2083"/>
      <c r="D17" s="407"/>
      <c r="E17" s="406"/>
      <c r="F17" s="408"/>
      <c r="G17" s="406"/>
      <c r="H17" s="407"/>
      <c r="I17" s="406"/>
      <c r="J17" s="407"/>
      <c r="K17" s="572"/>
      <c r="L17" s="2942"/>
      <c r="M17" s="2936"/>
      <c r="N17" s="2936"/>
      <c r="O17" s="2994"/>
      <c r="P17" s="3417"/>
      <c r="Q17" s="1535"/>
      <c r="R17" s="714"/>
      <c r="S17" s="715"/>
      <c r="T17" s="714"/>
      <c r="U17" s="715"/>
      <c r="V17" s="714"/>
      <c r="W17" s="715"/>
      <c r="X17" s="1538"/>
      <c r="Y17" s="3417"/>
      <c r="Z17" s="1539"/>
      <c r="AA17" s="1536">
        <v>1</v>
      </c>
      <c r="AB17" s="1536">
        <v>1</v>
      </c>
      <c r="AC17" s="1536">
        <v>1</v>
      </c>
    </row>
    <row r="18" spans="1:29" ht="42.75">
      <c r="A18" s="387"/>
      <c r="B18" s="1293" t="s">
        <v>2470</v>
      </c>
      <c r="C18" s="2082" t="str">
        <f>IF(B1="工业",估价对象房地状况!G6,估价对象房地状况!C8)</f>
        <v>估价对象所在区域基础设施水平较高</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417"/>
      <c r="Q18" s="1535" t="str">
        <f>B18</f>
        <v>基础设施水平</v>
      </c>
      <c r="R18" s="714" t="s">
        <v>17</v>
      </c>
      <c r="S18" s="715">
        <f>F18</f>
        <v>100</v>
      </c>
      <c r="T18" s="714" t="s">
        <v>17</v>
      </c>
      <c r="U18" s="715">
        <f>H18</f>
        <v>100</v>
      </c>
      <c r="V18" s="714" t="s">
        <v>17</v>
      </c>
      <c r="W18" s="715">
        <f>J18</f>
        <v>100</v>
      </c>
      <c r="X18" s="1538"/>
      <c r="Y18" s="3417"/>
      <c r="Z18" s="1539" t="str">
        <f>Q18</f>
        <v>基础设施水平</v>
      </c>
      <c r="AA18" s="1536">
        <f t="shared" ref="AA18" si="8">D18/F18</f>
        <v>1</v>
      </c>
      <c r="AB18" s="1536">
        <f t="shared" ref="AB18" si="9">D18/H18</f>
        <v>1</v>
      </c>
      <c r="AC18" s="1536">
        <f t="shared" ref="AC18" si="10">D18/J18</f>
        <v>1</v>
      </c>
    </row>
    <row r="19" spans="1:29" ht="15">
      <c r="A19" s="387"/>
      <c r="B19" s="1293"/>
      <c r="C19" s="2083"/>
      <c r="D19" s="409"/>
      <c r="E19" s="2083"/>
      <c r="F19" s="412"/>
      <c r="G19" s="2083"/>
      <c r="H19" s="407"/>
      <c r="I19" s="406"/>
      <c r="J19" s="407"/>
      <c r="K19" s="1292"/>
      <c r="L19" s="2942"/>
      <c r="M19" s="2936"/>
      <c r="N19" s="2936"/>
      <c r="O19" s="2994"/>
      <c r="P19" s="3417"/>
      <c r="Q19" s="1535"/>
      <c r="R19" s="714"/>
      <c r="S19" s="715"/>
      <c r="T19" s="714"/>
      <c r="U19" s="715"/>
      <c r="V19" s="714"/>
      <c r="W19" s="715"/>
      <c r="X19" s="1538"/>
      <c r="Y19" s="3417"/>
      <c r="Z19" s="1539"/>
      <c r="AA19" s="1536">
        <v>1</v>
      </c>
      <c r="AB19" s="1536">
        <v>1</v>
      </c>
      <c r="AC19" s="1536">
        <v>1</v>
      </c>
    </row>
    <row r="20" spans="1:29" ht="85.5">
      <c r="A20" s="387"/>
      <c r="B20" s="410" t="s">
        <v>2491</v>
      </c>
      <c r="C20" s="2082" t="str">
        <f>IF(B1="工业",估价对象房地状况!G7,估价对象房地状况!C9)</f>
        <v>区域自然环境：南海子公园、旧宫公园、市民公园；人文环境；综合评价环境状况一般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417"/>
      <c r="Q20" s="1535" t="str">
        <f>B20</f>
        <v>自然及人文环境</v>
      </c>
      <c r="R20" s="714" t="s">
        <v>17</v>
      </c>
      <c r="S20" s="715">
        <f>F20</f>
        <v>100</v>
      </c>
      <c r="T20" s="714" t="s">
        <v>17</v>
      </c>
      <c r="U20" s="715">
        <f>H20</f>
        <v>100</v>
      </c>
      <c r="V20" s="714" t="s">
        <v>17</v>
      </c>
      <c r="W20" s="715">
        <f>J20</f>
        <v>100</v>
      </c>
      <c r="X20" s="1538"/>
      <c r="Y20" s="3417"/>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2"/>
      <c r="M21" s="2936"/>
      <c r="N21" s="2936"/>
      <c r="O21" s="2994"/>
      <c r="P21" s="3417"/>
      <c r="Q21" s="1535"/>
      <c r="R21" s="714"/>
      <c r="S21" s="715"/>
      <c r="T21" s="714"/>
      <c r="U21" s="715"/>
      <c r="V21" s="714"/>
      <c r="W21" s="715"/>
      <c r="X21" s="1538"/>
      <c r="Y21" s="3417"/>
      <c r="Z21" s="1539"/>
      <c r="AA21" s="1536">
        <v>1</v>
      </c>
      <c r="AB21" s="1536">
        <v>1</v>
      </c>
      <c r="AC21" s="1536">
        <v>1</v>
      </c>
    </row>
    <row r="22" spans="1:29" ht="15">
      <c r="A22" s="387"/>
      <c r="B22" s="410" t="s">
        <v>2492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417"/>
      <c r="Q22" s="1535" t="str">
        <f>B22</f>
        <v>楼层</v>
      </c>
      <c r="R22" s="714" t="s">
        <v>17</v>
      </c>
      <c r="S22" s="715">
        <f>F22</f>
        <v>100</v>
      </c>
      <c r="T22" s="714" t="s">
        <v>17</v>
      </c>
      <c r="U22" s="715">
        <f>H22</f>
        <v>100</v>
      </c>
      <c r="V22" s="714" t="s">
        <v>17</v>
      </c>
      <c r="W22" s="715">
        <f>J22</f>
        <v>100</v>
      </c>
      <c r="X22" s="1538"/>
      <c r="Y22" s="3417"/>
      <c r="Z22" s="1539" t="str">
        <f>Q22</f>
        <v>楼层</v>
      </c>
      <c r="AA22" s="1536">
        <f t="shared" si="3"/>
        <v>1</v>
      </c>
      <c r="AB22" s="1536">
        <f t="shared" si="4"/>
        <v>1</v>
      </c>
      <c r="AC22" s="1536">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417"/>
      <c r="Q23" s="1535">
        <f>B23</f>
        <v>111</v>
      </c>
      <c r="R23" s="714" t="s">
        <v>17</v>
      </c>
      <c r="S23" s="715">
        <f>F23</f>
        <v>100</v>
      </c>
      <c r="T23" s="714" t="s">
        <v>17</v>
      </c>
      <c r="U23" s="715">
        <f>H23</f>
        <v>100</v>
      </c>
      <c r="V23" s="714" t="s">
        <v>17</v>
      </c>
      <c r="W23" s="715">
        <f>J23</f>
        <v>100</v>
      </c>
      <c r="X23" s="1538"/>
      <c r="Y23" s="3417"/>
      <c r="Z23" s="1539">
        <f>Q23</f>
        <v>111</v>
      </c>
      <c r="AA23" s="1536">
        <f t="shared" si="3"/>
        <v>1</v>
      </c>
      <c r="AB23" s="1536">
        <f t="shared" si="4"/>
        <v>1</v>
      </c>
      <c r="AC23" s="1536">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417"/>
      <c r="Q24" s="1535">
        <f t="shared" ref="Q24:Q34" si="11">B24</f>
        <v>111</v>
      </c>
      <c r="R24" s="714" t="s">
        <v>17</v>
      </c>
      <c r="S24" s="715">
        <f>F24</f>
        <v>100</v>
      </c>
      <c r="T24" s="714" t="s">
        <v>17</v>
      </c>
      <c r="U24" s="715">
        <f>H24</f>
        <v>100</v>
      </c>
      <c r="V24" s="714" t="s">
        <v>17</v>
      </c>
      <c r="W24" s="715">
        <f>J24</f>
        <v>100</v>
      </c>
      <c r="X24" s="1538"/>
      <c r="Y24" s="3417"/>
      <c r="Z24" s="1539">
        <f>Q24</f>
        <v>111</v>
      </c>
      <c r="AA24" s="1536">
        <f t="shared" si="3"/>
        <v>1</v>
      </c>
      <c r="AB24" s="1536">
        <f t="shared" si="4"/>
        <v>1</v>
      </c>
      <c r="AC24" s="1536">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37"/>
      <c r="M25" s="2938"/>
      <c r="N25" s="2938"/>
      <c r="O25" s="2992"/>
      <c r="P25" s="3417"/>
      <c r="Q25" s="1526">
        <f t="shared" si="11"/>
        <v>111</v>
      </c>
      <c r="R25" s="710" t="s">
        <v>17</v>
      </c>
      <c r="S25" s="711">
        <f>F25</f>
        <v>100</v>
      </c>
      <c r="T25" s="710" t="s">
        <v>17</v>
      </c>
      <c r="U25" s="711">
        <f>H25</f>
        <v>100</v>
      </c>
      <c r="V25" s="710" t="s">
        <v>17</v>
      </c>
      <c r="W25" s="711">
        <f>J25</f>
        <v>100</v>
      </c>
      <c r="X25" s="712"/>
      <c r="Y25" s="3417"/>
      <c r="Z25" s="55">
        <f>Q25</f>
        <v>111</v>
      </c>
      <c r="AA25" s="1536">
        <f>D25/F25</f>
        <v>1</v>
      </c>
      <c r="AB25" s="1536">
        <f>D25/H25</f>
        <v>1</v>
      </c>
      <c r="AC25" s="1536">
        <f>D25/J25</f>
        <v>1</v>
      </c>
    </row>
    <row r="26" spans="1:29" ht="28.5">
      <c r="A26" s="425" t="s">
        <v>2344</v>
      </c>
      <c r="B26" s="67" t="s">
        <v>2495</v>
      </c>
      <c r="C26" s="2149"/>
      <c r="D26" s="426">
        <v>100</v>
      </c>
      <c r="E26" s="2149"/>
      <c r="F26" s="623">
        <f>SUMIF(77:77,E26,78:78)-SUMIF(77:77,C26,78:78)+100</f>
        <v>100</v>
      </c>
      <c r="G26" s="2149"/>
      <c r="H26" s="426">
        <f>SUMIF(77:77,G26,78:78)-SUMIF(77:77,C26,78:78)+100</f>
        <v>100</v>
      </c>
      <c r="I26" s="2149"/>
      <c r="J26" s="426">
        <f>SUMIF(77:77,I26,78:78)-SUMIF(77:77,C26,78:78)+100</f>
        <v>100</v>
      </c>
      <c r="K26" s="569"/>
      <c r="L26" s="2942"/>
      <c r="M26" s="2936"/>
      <c r="N26" s="2936"/>
      <c r="O26" s="2994"/>
      <c r="P26" s="3418" t="s">
        <v>2346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419" t="s">
        <v>2346</v>
      </c>
      <c r="Z26" s="1539" t="str">
        <f t="shared" ref="Z26:Z34" si="15">Q26</f>
        <v>公共部分装修</v>
      </c>
      <c r="AA26" s="1536">
        <f t="shared" si="3"/>
        <v>1</v>
      </c>
      <c r="AB26" s="1536">
        <f t="shared" si="4"/>
        <v>1</v>
      </c>
      <c r="AC26" s="1536">
        <f t="shared" si="5"/>
        <v>1</v>
      </c>
    </row>
    <row r="27" spans="1:29" s="430" customFormat="1" ht="15">
      <c r="A27" s="427"/>
      <c r="B27" s="381" t="s">
        <v>2496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419"/>
      <c r="Q27" s="716" t="str">
        <f t="shared" si="11"/>
        <v>成新率</v>
      </c>
      <c r="R27" s="717" t="s">
        <v>17</v>
      </c>
      <c r="S27" s="718" t="e">
        <f t="shared" si="12"/>
        <v>#N/A</v>
      </c>
      <c r="T27" s="717" t="s">
        <v>17</v>
      </c>
      <c r="U27" s="718" t="e">
        <f t="shared" si="13"/>
        <v>#N/A</v>
      </c>
      <c r="V27" s="717" t="s">
        <v>17</v>
      </c>
      <c r="W27" s="718" t="e">
        <f t="shared" si="14"/>
        <v>#N/A</v>
      </c>
      <c r="X27" s="719"/>
      <c r="Y27" s="3419"/>
      <c r="Z27" s="720" t="str">
        <f t="shared" si="15"/>
        <v>成新率</v>
      </c>
      <c r="AA27" s="1536" t="e">
        <f t="shared" si="3"/>
        <v>#N/A</v>
      </c>
      <c r="AB27" s="1536" t="e">
        <f t="shared" si="4"/>
        <v>#N/A</v>
      </c>
      <c r="AC27" s="1536" t="e">
        <f t="shared" si="5"/>
        <v>#N/A</v>
      </c>
    </row>
    <row r="28" spans="1:29" ht="15">
      <c r="A28" s="431"/>
      <c r="B28" s="381" t="s">
        <v>2497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419"/>
      <c r="Q28" s="1535" t="str">
        <f t="shared" si="11"/>
        <v>物业等级</v>
      </c>
      <c r="R28" s="714" t="s">
        <v>17</v>
      </c>
      <c r="S28" s="715">
        <f t="shared" si="12"/>
        <v>100</v>
      </c>
      <c r="T28" s="714" t="s">
        <v>17</v>
      </c>
      <c r="U28" s="715">
        <f t="shared" si="13"/>
        <v>100</v>
      </c>
      <c r="V28" s="714" t="s">
        <v>17</v>
      </c>
      <c r="W28" s="715">
        <f t="shared" si="14"/>
        <v>100</v>
      </c>
      <c r="X28" s="1538"/>
      <c r="Y28" s="3419"/>
      <c r="Z28" s="1539" t="str">
        <f t="shared" si="15"/>
        <v>物业等级</v>
      </c>
      <c r="AA28" s="1536">
        <f t="shared" si="3"/>
        <v>1</v>
      </c>
      <c r="AB28" s="1536">
        <f t="shared" si="4"/>
        <v>1</v>
      </c>
      <c r="AC28" s="1536">
        <f t="shared" si="5"/>
        <v>1</v>
      </c>
    </row>
    <row r="29" spans="1:29" ht="15">
      <c r="A29" s="431"/>
      <c r="B29" s="381" t="s">
        <v>2518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419"/>
      <c r="Q29" s="1535" t="str">
        <f t="shared" si="11"/>
        <v>有无电梯</v>
      </c>
      <c r="R29" s="714" t="s">
        <v>17</v>
      </c>
      <c r="S29" s="715">
        <f t="shared" si="12"/>
        <v>100</v>
      </c>
      <c r="T29" s="714" t="s">
        <v>17</v>
      </c>
      <c r="U29" s="715">
        <f t="shared" si="13"/>
        <v>100</v>
      </c>
      <c r="V29" s="714" t="s">
        <v>17</v>
      </c>
      <c r="W29" s="715">
        <f t="shared" si="14"/>
        <v>100</v>
      </c>
      <c r="X29" s="1538"/>
      <c r="Y29" s="3419"/>
      <c r="Z29" s="1539" t="str">
        <f t="shared" si="15"/>
        <v>有无电梯</v>
      </c>
      <c r="AA29" s="1536">
        <f t="shared" si="3"/>
        <v>1</v>
      </c>
      <c r="AB29" s="1536">
        <f t="shared" si="4"/>
        <v>1</v>
      </c>
      <c r="AC29" s="1536">
        <f t="shared" si="5"/>
        <v>1</v>
      </c>
    </row>
    <row r="30" spans="1:29" ht="15">
      <c r="A30" s="431"/>
      <c r="B30" s="381" t="s">
        <v>2519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419"/>
      <c r="Q30" s="1535" t="str">
        <f t="shared" si="11"/>
        <v>建筑面积</v>
      </c>
      <c r="R30" s="714" t="s">
        <v>17</v>
      </c>
      <c r="S30" s="715" t="e">
        <f t="shared" si="12"/>
        <v>#N/A</v>
      </c>
      <c r="T30" s="714" t="s">
        <v>17</v>
      </c>
      <c r="U30" s="715" t="e">
        <f t="shared" si="13"/>
        <v>#N/A</v>
      </c>
      <c r="V30" s="714" t="s">
        <v>17</v>
      </c>
      <c r="W30" s="715" t="e">
        <f t="shared" si="14"/>
        <v>#N/A</v>
      </c>
      <c r="X30" s="1538"/>
      <c r="Y30" s="3419"/>
      <c r="Z30" s="1539" t="str">
        <f t="shared" si="15"/>
        <v>建筑面积</v>
      </c>
      <c r="AA30" s="1536" t="e">
        <f t="shared" si="3"/>
        <v>#N/A</v>
      </c>
      <c r="AB30" s="1536" t="e">
        <f t="shared" si="4"/>
        <v>#N/A</v>
      </c>
      <c r="AC30" s="1536" t="e">
        <f t="shared" si="5"/>
        <v>#N/A</v>
      </c>
    </row>
    <row r="31" spans="1:29" s="113" customFormat="1" ht="15">
      <c r="A31" s="432"/>
      <c r="B31" s="381" t="s">
        <v>2520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419"/>
      <c r="Q31" s="1526" t="str">
        <f t="shared" si="11"/>
        <v>是否封闭</v>
      </c>
      <c r="R31" s="710" t="s">
        <v>17</v>
      </c>
      <c r="S31" s="711">
        <f t="shared" si="12"/>
        <v>100</v>
      </c>
      <c r="T31" s="710" t="s">
        <v>17</v>
      </c>
      <c r="U31" s="711">
        <f t="shared" si="13"/>
        <v>100</v>
      </c>
      <c r="V31" s="710" t="s">
        <v>17</v>
      </c>
      <c r="W31" s="711">
        <f t="shared" si="14"/>
        <v>100</v>
      </c>
      <c r="X31" s="712"/>
      <c r="Y31" s="3419"/>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419" t="s">
        <v>2346</v>
      </c>
      <c r="Q32" s="1535">
        <f t="shared" si="11"/>
        <v>111</v>
      </c>
      <c r="R32" s="714" t="s">
        <v>17</v>
      </c>
      <c r="S32" s="715">
        <f t="shared" si="12"/>
        <v>100</v>
      </c>
      <c r="T32" s="714" t="s">
        <v>17</v>
      </c>
      <c r="U32" s="715">
        <f t="shared" si="13"/>
        <v>100</v>
      </c>
      <c r="V32" s="714" t="s">
        <v>17</v>
      </c>
      <c r="W32" s="715">
        <f t="shared" si="14"/>
        <v>100</v>
      </c>
      <c r="X32" s="1538"/>
      <c r="Y32" s="3419" t="s">
        <v>2346</v>
      </c>
      <c r="Z32" s="1539">
        <f t="shared" si="15"/>
        <v>111</v>
      </c>
      <c r="AA32" s="1536">
        <f t="shared" si="3"/>
        <v>1</v>
      </c>
      <c r="AB32" s="1536">
        <f t="shared" si="4"/>
        <v>1</v>
      </c>
      <c r="AC32" s="1536">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419"/>
      <c r="Q33" s="1535">
        <f t="shared" si="11"/>
        <v>111</v>
      </c>
      <c r="R33" s="714" t="s">
        <v>17</v>
      </c>
      <c r="S33" s="715">
        <f t="shared" si="12"/>
        <v>100</v>
      </c>
      <c r="T33" s="714" t="s">
        <v>17</v>
      </c>
      <c r="U33" s="715">
        <f t="shared" si="13"/>
        <v>100</v>
      </c>
      <c r="V33" s="714" t="s">
        <v>17</v>
      </c>
      <c r="W33" s="715">
        <f t="shared" si="14"/>
        <v>100</v>
      </c>
      <c r="X33" s="1538"/>
      <c r="Y33" s="3419"/>
      <c r="Z33" s="1539">
        <f t="shared" si="15"/>
        <v>111</v>
      </c>
      <c r="AA33" s="1536">
        <f t="shared" si="3"/>
        <v>1</v>
      </c>
      <c r="AB33" s="1536">
        <f t="shared" si="4"/>
        <v>1</v>
      </c>
      <c r="AC33" s="1536">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2"/>
      <c r="M34" s="2936"/>
      <c r="N34" s="2936"/>
      <c r="O34" s="2994"/>
      <c r="P34" s="3419"/>
      <c r="Q34" s="1535">
        <f t="shared" si="11"/>
        <v>111</v>
      </c>
      <c r="R34" s="714" t="s">
        <v>17</v>
      </c>
      <c r="S34" s="715">
        <f t="shared" si="12"/>
        <v>100</v>
      </c>
      <c r="T34" s="714" t="s">
        <v>17</v>
      </c>
      <c r="U34" s="715">
        <f t="shared" si="13"/>
        <v>100</v>
      </c>
      <c r="V34" s="714" t="s">
        <v>17</v>
      </c>
      <c r="W34" s="715">
        <f t="shared" si="14"/>
        <v>100</v>
      </c>
      <c r="X34" s="1538"/>
      <c r="Y34" s="3419"/>
      <c r="Z34" s="1539">
        <f t="shared" si="15"/>
        <v>111</v>
      </c>
      <c r="AA34" s="1536">
        <f t="shared" si="3"/>
        <v>1</v>
      </c>
      <c r="AB34" s="1536">
        <f t="shared" si="4"/>
        <v>1</v>
      </c>
      <c r="AC34" s="1536">
        <f t="shared" si="5"/>
        <v>1</v>
      </c>
    </row>
    <row r="35" spans="1:30" ht="15">
      <c r="A35" s="438" t="s">
        <v>2358</v>
      </c>
      <c r="B35" s="439"/>
      <c r="C35" s="1315" t="s">
        <v>1</v>
      </c>
      <c r="D35" s="1316"/>
      <c r="E35" s="1317"/>
      <c r="F35" s="1318"/>
      <c r="G35" s="1319"/>
      <c r="H35" s="1320"/>
      <c r="I35" s="1317"/>
      <c r="J35" s="1320"/>
      <c r="K35" s="723"/>
      <c r="L35" s="2944"/>
      <c r="M35" s="2945"/>
      <c r="N35" s="2936"/>
      <c r="O35" s="2945"/>
      <c r="P35" s="3401" t="str">
        <f>A35</f>
        <v>成交单价（元/平方米）</v>
      </c>
      <c r="Q35" s="3401"/>
      <c r="R35" s="3462">
        <f>E35</f>
        <v>0</v>
      </c>
      <c r="S35" s="3462"/>
      <c r="T35" s="3462">
        <f>G35</f>
        <v>0</v>
      </c>
      <c r="U35" s="3462"/>
      <c r="V35" s="3462">
        <f>I35</f>
        <v>0</v>
      </c>
      <c r="W35" s="3462"/>
      <c r="X35" s="699"/>
      <c r="Y35" s="721"/>
      <c r="Z35" s="699"/>
      <c r="AA35" s="699"/>
      <c r="AB35" s="699"/>
      <c r="AC35" s="699"/>
    </row>
    <row r="36" spans="1:30" ht="15.75" thickBot="1">
      <c r="A36" s="445" t="s">
        <v>2450</v>
      </c>
      <c r="B36" s="446"/>
      <c r="C36" s="1321" t="e">
        <f>R37</f>
        <v>#DIV/0!</v>
      </c>
      <c r="D36" s="2534" t="s">
        <v>2840</v>
      </c>
      <c r="E36" s="1322" t="e">
        <f>R36</f>
        <v>#DIV/0!</v>
      </c>
      <c r="F36" s="2535"/>
      <c r="G36" s="1321" t="e">
        <f>T36</f>
        <v>#DIV/0!</v>
      </c>
      <c r="H36" s="2535"/>
      <c r="I36" s="1322" t="e">
        <f>V36</f>
        <v>#DIV/0!</v>
      </c>
      <c r="J36" s="2535"/>
      <c r="K36" s="2537">
        <f>F36+H36+J36</f>
        <v>0</v>
      </c>
      <c r="L36" s="2944"/>
      <c r="M36" s="2945"/>
      <c r="N36" s="2936"/>
      <c r="O36" s="2945"/>
      <c r="P36" s="3401" t="str">
        <f>A36</f>
        <v>比较价值（元/平方米）</v>
      </c>
      <c r="Q36" s="340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2451</v>
      </c>
      <c r="B37" s="450"/>
      <c r="C37" s="1324" t="e">
        <f>R37</f>
        <v>#DIV/0!</v>
      </c>
      <c r="D37" s="1324"/>
      <c r="E37" s="1324"/>
      <c r="F37" s="1324"/>
      <c r="G37" s="1324"/>
      <c r="H37" s="1324"/>
      <c r="I37" s="1324"/>
      <c r="J37" s="1324"/>
      <c r="K37" s="724"/>
      <c r="L37" s="2944"/>
      <c r="M37" s="2945"/>
      <c r="N37" s="2945"/>
      <c r="O37" s="2945"/>
      <c r="P37" s="3421" t="str">
        <f>A37</f>
        <v>估价对象XX用房的比较价值（楼面单价，元/平方米）</v>
      </c>
      <c r="Q37" s="3422"/>
      <c r="R37" s="3484" t="e">
        <f>IF(F1="售价",ROUND(IF(D36="简单平均",AVERAGE(R36:W36),R36*F36+T36*H36+V36*J36),0),ROUND(IF(D36="简单平均",AVERAGE(R36:V36),R36*F36+T36*H36+V36*J36),1))</f>
        <v>#DIV/0!</v>
      </c>
      <c r="S37" s="3484"/>
      <c r="T37" s="3484"/>
      <c r="U37" s="3484"/>
      <c r="V37" s="3484"/>
      <c r="W37" s="348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2455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2329</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2366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2331</v>
      </c>
      <c r="B49" s="467"/>
      <c r="C49" s="479" t="s">
        <v>2433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2369</v>
      </c>
      <c r="B51" s="485" t="s">
        <v>2335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2338</v>
      </c>
      <c r="C53" s="496" t="s">
        <v>2370</v>
      </c>
      <c r="D53" s="496" t="s">
        <v>2371</v>
      </c>
      <c r="E53" s="496" t="s">
        <v>2372</v>
      </c>
      <c r="F53" s="496" t="s">
        <v>2373</v>
      </c>
      <c r="G53" s="496" t="s">
        <v>2374</v>
      </c>
      <c r="H53" s="496" t="s">
        <v>2375</v>
      </c>
      <c r="I53" s="496" t="s">
        <v>2376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2340</v>
      </c>
      <c r="B61" s="485" t="s">
        <v>2383</v>
      </c>
      <c r="C61" s="530" t="s">
        <v>2378</v>
      </c>
      <c r="D61" s="530" t="s">
        <v>2379</v>
      </c>
      <c r="E61" s="530" t="s">
        <v>2380</v>
      </c>
      <c r="F61" s="530" t="s">
        <v>2381</v>
      </c>
      <c r="G61" s="530" t="s">
        <v>2382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2521</v>
      </c>
      <c r="C63" s="535" t="s">
        <v>2378</v>
      </c>
      <c r="D63" s="535" t="s">
        <v>2379</v>
      </c>
      <c r="E63" s="535" t="s">
        <v>2380</v>
      </c>
      <c r="F63" s="535" t="s">
        <v>2381</v>
      </c>
      <c r="G63" s="535" t="s">
        <v>2382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2470</v>
      </c>
      <c r="C65" s="616" t="s">
        <v>2456</v>
      </c>
      <c r="D65" s="616" t="s">
        <v>2457</v>
      </c>
      <c r="E65" s="616" t="s">
        <v>2458</v>
      </c>
      <c r="F65" s="616" t="s">
        <v>2459</v>
      </c>
      <c r="G65" s="616" t="s">
        <v>2460</v>
      </c>
      <c r="H65" s="496"/>
      <c r="I65" s="496"/>
      <c r="J65" s="496"/>
      <c r="K65" s="496"/>
      <c r="L65" s="496"/>
      <c r="M65" s="1291"/>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2390</v>
      </c>
      <c r="C67" s="535" t="s">
        <v>2378</v>
      </c>
      <c r="D67" s="535" t="s">
        <v>2379</v>
      </c>
      <c r="E67" s="535" t="s">
        <v>2380</v>
      </c>
      <c r="F67" s="535" t="s">
        <v>2381</v>
      </c>
      <c r="G67" s="535" t="s">
        <v>2382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2510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2344</v>
      </c>
      <c r="B77" s="485" t="s">
        <v>2397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2514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2522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2524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2525</v>
      </c>
      <c r="B1" s="355"/>
      <c r="C1" s="356" t="s">
        <v>2576</v>
      </c>
      <c r="D1" s="695"/>
      <c r="E1" s="695"/>
      <c r="F1" s="694" t="s">
        <v>2424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2527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2426</v>
      </c>
      <c r="B4" s="362"/>
      <c r="C4" s="3402" t="s">
        <v>2427</v>
      </c>
      <c r="D4" s="3403"/>
      <c r="E4" s="3404" t="s">
        <v>2428</v>
      </c>
      <c r="F4" s="3405"/>
      <c r="G4" s="3402" t="s">
        <v>2429</v>
      </c>
      <c r="H4" s="3403"/>
      <c r="I4" s="3402" t="s">
        <v>2430</v>
      </c>
      <c r="J4" s="3403"/>
      <c r="K4" s="567" t="s">
        <v>2431</v>
      </c>
      <c r="L4" s="2935"/>
      <c r="M4" s="2936"/>
      <c r="N4" s="2936"/>
      <c r="O4" s="2936"/>
      <c r="P4" s="3406" t="s">
        <v>2432</v>
      </c>
      <c r="Q4" s="3407"/>
      <c r="R4" s="3389" t="s">
        <v>2428</v>
      </c>
      <c r="S4" s="3390"/>
      <c r="T4" s="3389" t="s">
        <v>2429</v>
      </c>
      <c r="U4" s="3390"/>
      <c r="V4" s="3414" t="s">
        <v>2430</v>
      </c>
      <c r="W4" s="3414"/>
      <c r="X4" s="1538"/>
      <c r="Y4" s="3389" t="s">
        <v>2432</v>
      </c>
      <c r="Z4" s="3390"/>
      <c r="AA4" s="3384" t="s">
        <v>2428</v>
      </c>
      <c r="AB4" s="3385" t="s">
        <v>2429</v>
      </c>
      <c r="AC4" s="3384" t="s">
        <v>2430</v>
      </c>
    </row>
    <row r="5" spans="1:29" ht="15">
      <c r="A5" s="364"/>
      <c r="B5" s="365"/>
      <c r="C5" s="3395" t="s">
        <v>2323</v>
      </c>
      <c r="D5" s="3396"/>
      <c r="E5" s="3393" t="s">
        <v>2324</v>
      </c>
      <c r="F5" s="3394"/>
      <c r="G5" s="3395" t="s">
        <v>2325</v>
      </c>
      <c r="H5" s="3396"/>
      <c r="I5" s="3395" t="s">
        <v>2326</v>
      </c>
      <c r="J5" s="3396"/>
      <c r="K5" s="567"/>
      <c r="L5" s="2935"/>
      <c r="M5" s="2936"/>
      <c r="N5" s="2936"/>
      <c r="O5" s="2936"/>
      <c r="P5" s="3408"/>
      <c r="Q5" s="3409"/>
      <c r="R5" s="3391"/>
      <c r="S5" s="3392"/>
      <c r="T5" s="3391"/>
      <c r="U5" s="3392"/>
      <c r="V5" s="3414"/>
      <c r="W5" s="3414"/>
      <c r="X5" s="1538"/>
      <c r="Y5" s="3391"/>
      <c r="Z5" s="3392"/>
      <c r="AA5" s="3385"/>
      <c r="AB5" s="3385"/>
      <c r="AC5" s="3385"/>
    </row>
    <row r="6" spans="1:29" ht="15.75" thickBot="1">
      <c r="A6" s="366"/>
      <c r="B6" s="367"/>
      <c r="C6" s="3485" t="s">
        <v>2577</v>
      </c>
      <c r="D6" s="3486"/>
      <c r="E6" s="3487" t="s">
        <v>2577</v>
      </c>
      <c r="F6" s="3488"/>
      <c r="G6" s="3485" t="s">
        <v>2577</v>
      </c>
      <c r="H6" s="3486"/>
      <c r="I6" s="3485" t="s">
        <v>2577</v>
      </c>
      <c r="J6" s="3486"/>
      <c r="K6" s="567" t="s">
        <v>2328</v>
      </c>
      <c r="L6" s="2935"/>
      <c r="M6" s="2936"/>
      <c r="N6" s="2936"/>
      <c r="O6" s="2936"/>
      <c r="P6" s="3410"/>
      <c r="Q6" s="3411"/>
      <c r="R6" s="3391"/>
      <c r="S6" s="3392"/>
      <c r="T6" s="3412"/>
      <c r="U6" s="3413"/>
      <c r="V6" s="3414"/>
      <c r="W6" s="3414"/>
      <c r="X6" s="1538"/>
      <c r="Y6" s="3412"/>
      <c r="Z6" s="3413"/>
      <c r="AA6" s="3386"/>
      <c r="AB6" s="3386"/>
      <c r="AC6" s="3386"/>
    </row>
    <row r="7" spans="1:29" s="113" customFormat="1" ht="15.75" thickBot="1">
      <c r="A7" s="368" t="s">
        <v>2329</v>
      </c>
      <c r="B7" s="369"/>
      <c r="C7" s="370">
        <f>'数据-取费表'!B2</f>
        <v>44314</v>
      </c>
      <c r="D7" s="371">
        <v>100</v>
      </c>
      <c r="E7" s="372"/>
      <c r="F7" s="373">
        <f>SUMIF(65:65,YEAR(E7)&amp;"-"&amp;INT((MONTH(E7)+2)/3),66:66)</f>
        <v>0</v>
      </c>
      <c r="G7" s="2156"/>
      <c r="H7" s="371">
        <f>SUMIF(65:65,YEAR(G7)&amp;"-"&amp;INT((MONTH(G7)+2)/3),66:66)</f>
        <v>0</v>
      </c>
      <c r="I7" s="2156"/>
      <c r="J7" s="371">
        <f>SUMIF(65:65,YEAR(I7)&amp;"-"&amp;INT((MONTH(I7)+2)/3),66:66)</f>
        <v>0</v>
      </c>
      <c r="K7" s="568"/>
      <c r="L7" s="2937"/>
      <c r="M7" s="2938"/>
      <c r="N7" s="2938"/>
      <c r="O7" s="2938"/>
      <c r="P7" s="3387" t="s">
        <v>2330</v>
      </c>
      <c r="Q7" s="3415"/>
      <c r="R7" s="710" t="s">
        <v>17</v>
      </c>
      <c r="S7" s="711">
        <f t="shared" ref="S7:S15" si="0">F7</f>
        <v>0</v>
      </c>
      <c r="T7" s="710" t="s">
        <v>17</v>
      </c>
      <c r="U7" s="711">
        <f t="shared" ref="U7:U15" si="1">H7</f>
        <v>0</v>
      </c>
      <c r="V7" s="710" t="s">
        <v>17</v>
      </c>
      <c r="W7" s="711">
        <f t="shared" ref="W7:W15" si="2">J7</f>
        <v>0</v>
      </c>
      <c r="X7" s="712"/>
      <c r="Y7" s="3387" t="s">
        <v>2330</v>
      </c>
      <c r="Z7" s="3388"/>
      <c r="AA7" s="713" t="e">
        <f>D7/F7</f>
        <v>#DIV/0!</v>
      </c>
      <c r="AB7" s="713" t="e">
        <f>D7/H7</f>
        <v>#DIV/0!</v>
      </c>
      <c r="AC7" s="713" t="e">
        <f>D7/J7</f>
        <v>#DIV/0!</v>
      </c>
    </row>
    <row r="8" spans="1:29" s="113" customFormat="1" ht="15.75" thickBot="1">
      <c r="A8" s="368" t="s">
        <v>2331</v>
      </c>
      <c r="B8" s="369"/>
      <c r="C8" s="374" t="s">
        <v>2332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87" t="s">
        <v>2333</v>
      </c>
      <c r="Q8" s="3388"/>
      <c r="R8" s="710" t="s">
        <v>17</v>
      </c>
      <c r="S8" s="711">
        <f t="shared" si="0"/>
        <v>0</v>
      </c>
      <c r="T8" s="710" t="s">
        <v>17</v>
      </c>
      <c r="U8" s="711">
        <f t="shared" si="1"/>
        <v>0</v>
      </c>
      <c r="V8" s="710" t="s">
        <v>17</v>
      </c>
      <c r="W8" s="711">
        <f t="shared" si="2"/>
        <v>0</v>
      </c>
      <c r="X8" s="712"/>
      <c r="Y8" s="3387" t="s">
        <v>2333</v>
      </c>
      <c r="Z8" s="3388"/>
      <c r="AA8" s="713" t="e">
        <f t="shared" ref="AA8:AA40" si="3">D8/F8</f>
        <v>#DIV/0!</v>
      </c>
      <c r="AB8" s="713" t="e">
        <f t="shared" ref="AB8:AB40" si="4">D8/H8</f>
        <v>#DIV/0!</v>
      </c>
      <c r="AC8" s="713" t="e">
        <f t="shared" ref="AC8:AC40" si="5">D8/J8</f>
        <v>#DIV/0!</v>
      </c>
    </row>
    <row r="9" spans="1:29" s="113" customFormat="1">
      <c r="A9" s="375" t="s">
        <v>2334</v>
      </c>
      <c r="B9" s="67" t="s">
        <v>2335</v>
      </c>
      <c r="C9" s="2159"/>
      <c r="D9" s="131">
        <v>100</v>
      </c>
      <c r="E9" s="2159"/>
      <c r="F9" s="131">
        <f>SUMIF(70:70,E9,71:71)-SUMIF(70:70,C9,71:71)+100</f>
        <v>100</v>
      </c>
      <c r="G9" s="2159"/>
      <c r="H9" s="131">
        <f>SUMIF(70:70,G9,71:71)-SUMIF(70:70,C9,71:71)+100</f>
        <v>100</v>
      </c>
      <c r="I9" s="2159"/>
      <c r="J9" s="131">
        <f>SUMIF(70:70,I9,71:71)-SUMIF(70:70,C9,71:71)+100</f>
        <v>100</v>
      </c>
      <c r="K9" s="568"/>
      <c r="L9" s="2937"/>
      <c r="M9" s="2938"/>
      <c r="N9" s="2938"/>
      <c r="O9" s="2992"/>
      <c r="P9" s="3401" t="s">
        <v>2336</v>
      </c>
      <c r="Q9" s="1526" t="str">
        <f t="shared" ref="Q9:Q15" si="6">B9</f>
        <v>用途</v>
      </c>
      <c r="R9" s="710" t="s">
        <v>17</v>
      </c>
      <c r="S9" s="711">
        <f t="shared" si="0"/>
        <v>100</v>
      </c>
      <c r="T9" s="710" t="s">
        <v>17</v>
      </c>
      <c r="U9" s="711">
        <f t="shared" si="1"/>
        <v>100</v>
      </c>
      <c r="V9" s="710" t="s">
        <v>17</v>
      </c>
      <c r="W9" s="711">
        <f t="shared" si="2"/>
        <v>100</v>
      </c>
      <c r="X9" s="712"/>
      <c r="Y9" s="3348" t="s">
        <v>2337</v>
      </c>
      <c r="Z9" s="55" t="str">
        <f t="shared" ref="Z9:Z15" si="7">Q9</f>
        <v>用途</v>
      </c>
      <c r="AA9" s="713">
        <f t="shared" si="3"/>
        <v>1</v>
      </c>
      <c r="AB9" s="713">
        <f t="shared" si="4"/>
        <v>1</v>
      </c>
      <c r="AC9" s="713">
        <f t="shared" si="5"/>
        <v>1</v>
      </c>
    </row>
    <row r="10" spans="1:29" s="386" customFormat="1" ht="27">
      <c r="A10" s="380"/>
      <c r="B10" s="381" t="s">
        <v>2338</v>
      </c>
      <c r="C10" s="391"/>
      <c r="D10" s="132">
        <v>100</v>
      </c>
      <c r="E10" s="391"/>
      <c r="F10" s="132">
        <f>ROUND(100/'数据-取费表'!G16,0)</f>
        <v>101</v>
      </c>
      <c r="G10" s="391"/>
      <c r="H10" s="132">
        <f>ROUND(100/'数据-取费表'!G16,0)</f>
        <v>101</v>
      </c>
      <c r="I10" s="391"/>
      <c r="J10" s="132">
        <f>ROUND(100/'数据-取费表'!G16,0)</f>
        <v>101</v>
      </c>
      <c r="K10" s="628"/>
      <c r="L10" s="2939"/>
      <c r="M10" s="2940"/>
      <c r="N10" s="2940"/>
      <c r="O10" s="2993"/>
      <c r="P10" s="3401"/>
      <c r="Q10" s="1526" t="str">
        <f t="shared" si="6"/>
        <v>土地使用年限（年）</v>
      </c>
      <c r="R10" s="710" t="s">
        <v>17</v>
      </c>
      <c r="S10" s="711">
        <f t="shared" si="0"/>
        <v>101</v>
      </c>
      <c r="T10" s="710" t="s">
        <v>17</v>
      </c>
      <c r="U10" s="711">
        <f t="shared" si="1"/>
        <v>101</v>
      </c>
      <c r="V10" s="710" t="s">
        <v>17</v>
      </c>
      <c r="W10" s="711">
        <f t="shared" si="2"/>
        <v>101</v>
      </c>
      <c r="X10" s="712"/>
      <c r="Y10" s="3348"/>
      <c r="Z10" s="55" t="str">
        <f t="shared" si="7"/>
        <v>土地使用年限（年）</v>
      </c>
      <c r="AA10" s="713">
        <f t="shared" si="3"/>
        <v>0.99009900990099009</v>
      </c>
      <c r="AB10" s="713">
        <f t="shared" si="4"/>
        <v>0.99009900990099009</v>
      </c>
      <c r="AC10" s="713">
        <f t="shared" si="5"/>
        <v>0.99009900990099009</v>
      </c>
    </row>
    <row r="11" spans="1:29" ht="15">
      <c r="A11" s="387"/>
      <c r="B11" s="381" t="s">
        <v>2339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401"/>
      <c r="Q11" s="1526"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401"/>
      <c r="Q12" s="1526">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401"/>
      <c r="Q13" s="1526">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401"/>
      <c r="Q14" s="1526">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57">
      <c r="A15" s="399" t="s">
        <v>2340</v>
      </c>
      <c r="B15" s="585" t="s">
        <v>2578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416" t="s">
        <v>2341</v>
      </c>
      <c r="Q15" s="1535" t="str">
        <f t="shared" si="6"/>
        <v>产业集聚程度</v>
      </c>
      <c r="R15" s="714" t="s">
        <v>17</v>
      </c>
      <c r="S15" s="715">
        <f t="shared" si="0"/>
        <v>100</v>
      </c>
      <c r="T15" s="714" t="s">
        <v>17</v>
      </c>
      <c r="U15" s="715">
        <f t="shared" si="1"/>
        <v>100</v>
      </c>
      <c r="V15" s="714" t="s">
        <v>17</v>
      </c>
      <c r="W15" s="715">
        <f t="shared" si="2"/>
        <v>100</v>
      </c>
      <c r="X15" s="1538"/>
      <c r="Y15" s="3416" t="s">
        <v>2341</v>
      </c>
      <c r="Z15" s="1539" t="str">
        <f t="shared" si="7"/>
        <v>产业集聚程度</v>
      </c>
      <c r="AA15" s="1536">
        <f t="shared" si="3"/>
        <v>1</v>
      </c>
      <c r="AB15" s="1536">
        <f t="shared" si="4"/>
        <v>1</v>
      </c>
      <c r="AC15" s="1536">
        <f t="shared" si="5"/>
        <v>1</v>
      </c>
    </row>
    <row r="16" spans="1:29" ht="15">
      <c r="A16" s="387"/>
      <c r="B16" s="586"/>
      <c r="C16" s="406"/>
      <c r="D16" s="407"/>
      <c r="E16" s="2086"/>
      <c r="F16" s="407"/>
      <c r="G16" s="2086"/>
      <c r="H16" s="409"/>
      <c r="I16" s="2086"/>
      <c r="J16" s="407"/>
      <c r="K16" s="628"/>
      <c r="L16" s="2942"/>
      <c r="M16" s="2936"/>
      <c r="N16" s="2936"/>
      <c r="O16" s="2994"/>
      <c r="P16" s="3417"/>
      <c r="Q16" s="1535"/>
      <c r="R16" s="714"/>
      <c r="S16" s="715"/>
      <c r="T16" s="714"/>
      <c r="U16" s="715"/>
      <c r="V16" s="714"/>
      <c r="W16" s="715"/>
      <c r="X16" s="1538"/>
      <c r="Y16" s="3417"/>
      <c r="Z16" s="1539"/>
      <c r="AA16" s="1536">
        <v>1</v>
      </c>
      <c r="AB16" s="1536">
        <v>1</v>
      </c>
      <c r="AC16" s="1536">
        <v>1</v>
      </c>
    </row>
    <row r="17" spans="1:29" ht="85.5">
      <c r="A17" s="387"/>
      <c r="B17" s="587" t="s">
        <v>2490</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417"/>
      <c r="Q17" s="1535" t="str">
        <f>B17</f>
        <v>交通便捷度</v>
      </c>
      <c r="R17" s="714" t="s">
        <v>17</v>
      </c>
      <c r="S17" s="715">
        <f>F17</f>
        <v>100</v>
      </c>
      <c r="T17" s="714" t="s">
        <v>17</v>
      </c>
      <c r="U17" s="715">
        <f>H17</f>
        <v>100</v>
      </c>
      <c r="V17" s="714" t="s">
        <v>17</v>
      </c>
      <c r="W17" s="715">
        <f>J17</f>
        <v>100</v>
      </c>
      <c r="X17" s="1538"/>
      <c r="Y17" s="3417"/>
      <c r="Z17" s="1539" t="str">
        <f>Q17</f>
        <v>交通便捷度</v>
      </c>
      <c r="AA17" s="1536">
        <f t="shared" si="3"/>
        <v>1</v>
      </c>
      <c r="AB17" s="1536">
        <f t="shared" si="4"/>
        <v>1</v>
      </c>
      <c r="AC17" s="1536">
        <f t="shared" si="5"/>
        <v>1</v>
      </c>
    </row>
    <row r="18" spans="1:29" ht="15">
      <c r="A18" s="387"/>
      <c r="B18" s="588"/>
      <c r="C18" s="406"/>
      <c r="D18" s="407"/>
      <c r="E18" s="2080"/>
      <c r="F18" s="407"/>
      <c r="G18" s="2080"/>
      <c r="H18" s="407"/>
      <c r="I18" s="2079"/>
      <c r="J18" s="407"/>
      <c r="K18" s="628"/>
      <c r="L18" s="2942"/>
      <c r="M18" s="2936"/>
      <c r="N18" s="2936"/>
      <c r="O18" s="2994"/>
      <c r="P18" s="3417"/>
      <c r="Q18" s="1535"/>
      <c r="R18" s="714"/>
      <c r="S18" s="715"/>
      <c r="T18" s="714"/>
      <c r="U18" s="715"/>
      <c r="V18" s="714"/>
      <c r="W18" s="715"/>
      <c r="X18" s="1538"/>
      <c r="Y18" s="3417"/>
      <c r="Z18" s="1539"/>
      <c r="AA18" s="1536">
        <v>1</v>
      </c>
      <c r="AB18" s="1536">
        <v>1</v>
      </c>
      <c r="AC18" s="1536">
        <v>1</v>
      </c>
    </row>
    <row r="19" spans="1:29" ht="15">
      <c r="A19" s="387"/>
      <c r="B19" s="587" t="s">
        <v>2528</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417"/>
      <c r="Q19" s="1535" t="str">
        <f t="shared" ref="Q19:Q33" si="8">B19</f>
        <v>区域土地利用方向</v>
      </c>
      <c r="R19" s="714" t="s">
        <v>17</v>
      </c>
      <c r="S19" s="715">
        <f>F19</f>
        <v>100</v>
      </c>
      <c r="T19" s="714" t="s">
        <v>17</v>
      </c>
      <c r="U19" s="715">
        <f>H19</f>
        <v>100</v>
      </c>
      <c r="V19" s="714" t="s">
        <v>17</v>
      </c>
      <c r="W19" s="715">
        <f>J19</f>
        <v>100</v>
      </c>
      <c r="X19" s="1538"/>
      <c r="Y19" s="3417"/>
      <c r="Z19" s="1539" t="str">
        <f>Q19</f>
        <v>区域土地利用方向</v>
      </c>
      <c r="AA19" s="1536">
        <f t="shared" si="3"/>
        <v>1</v>
      </c>
      <c r="AB19" s="1536">
        <f t="shared" si="4"/>
        <v>1</v>
      </c>
      <c r="AC19" s="1536">
        <f t="shared" si="5"/>
        <v>1</v>
      </c>
    </row>
    <row r="20" spans="1:29" ht="15">
      <c r="A20" s="364"/>
      <c r="B20" s="588"/>
      <c r="C20" s="406"/>
      <c r="D20" s="407"/>
      <c r="E20" s="2080"/>
      <c r="F20" s="407"/>
      <c r="G20" s="2080"/>
      <c r="H20" s="407"/>
      <c r="I20" s="2080"/>
      <c r="J20" s="407"/>
      <c r="K20" s="751"/>
      <c r="L20" s="2942"/>
      <c r="M20" s="2936"/>
      <c r="N20" s="2936"/>
      <c r="O20" s="2994"/>
      <c r="P20" s="3417"/>
      <c r="Q20" s="1535"/>
      <c r="R20" s="714"/>
      <c r="S20" s="715"/>
      <c r="T20" s="714"/>
      <c r="U20" s="715"/>
      <c r="V20" s="714"/>
      <c r="W20" s="715"/>
      <c r="X20" s="1538"/>
      <c r="Y20" s="3417"/>
      <c r="Z20" s="1539"/>
      <c r="AA20" s="1536"/>
      <c r="AB20" s="1536"/>
      <c r="AC20" s="1536"/>
    </row>
    <row r="21" spans="1:29" ht="71.25">
      <c r="A21" s="364"/>
      <c r="B21" s="587" t="s">
        <v>2579</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417"/>
      <c r="Q21" s="1535" t="str">
        <f t="shared" si="8"/>
        <v>环境状况</v>
      </c>
      <c r="R21" s="714" t="s">
        <v>17</v>
      </c>
      <c r="S21" s="715">
        <f>F21</f>
        <v>100</v>
      </c>
      <c r="T21" s="714" t="s">
        <v>17</v>
      </c>
      <c r="U21" s="715">
        <f>H21</f>
        <v>100</v>
      </c>
      <c r="V21" s="714" t="s">
        <v>17</v>
      </c>
      <c r="W21" s="715">
        <f>J21</f>
        <v>100</v>
      </c>
      <c r="X21" s="1538"/>
      <c r="Y21" s="3417"/>
      <c r="Z21" s="1539" t="str">
        <f>Q21</f>
        <v>环境状况</v>
      </c>
      <c r="AA21" s="1536">
        <f t="shared" si="3"/>
        <v>1</v>
      </c>
      <c r="AB21" s="1536">
        <f t="shared" si="4"/>
        <v>1</v>
      </c>
      <c r="AC21" s="1536">
        <f t="shared" si="5"/>
        <v>1</v>
      </c>
    </row>
    <row r="22" spans="1:29" ht="15">
      <c r="A22" s="364"/>
      <c r="B22" s="588"/>
      <c r="C22" s="406"/>
      <c r="D22" s="407"/>
      <c r="E22" s="2086"/>
      <c r="F22" s="407"/>
      <c r="G22" s="2086"/>
      <c r="H22" s="407"/>
      <c r="I22" s="406"/>
      <c r="J22" s="407"/>
      <c r="K22" s="628"/>
      <c r="L22" s="2942"/>
      <c r="M22" s="2936"/>
      <c r="N22" s="2936"/>
      <c r="O22" s="2994"/>
      <c r="P22" s="3417"/>
      <c r="Q22" s="1535"/>
      <c r="R22" s="714"/>
      <c r="S22" s="715"/>
      <c r="T22" s="714"/>
      <c r="U22" s="715"/>
      <c r="V22" s="714"/>
      <c r="W22" s="715"/>
      <c r="X22" s="1538"/>
      <c r="Y22" s="3417"/>
      <c r="Z22" s="1539"/>
      <c r="AA22" s="1536">
        <v>1</v>
      </c>
      <c r="AB22" s="1536">
        <v>1</v>
      </c>
      <c r="AC22" s="1536">
        <v>1</v>
      </c>
    </row>
    <row r="23" spans="1:29" s="113" customFormat="1" ht="42.75">
      <c r="A23" s="605"/>
      <c r="B23" s="589" t="s">
        <v>2435</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417"/>
      <c r="Q23" s="1526" t="str">
        <f t="shared" si="8"/>
        <v>公共配套设施</v>
      </c>
      <c r="R23" s="710" t="s">
        <v>17</v>
      </c>
      <c r="S23" s="711">
        <f>F23</f>
        <v>100</v>
      </c>
      <c r="T23" s="710" t="s">
        <v>17</v>
      </c>
      <c r="U23" s="711">
        <f>H23</f>
        <v>100</v>
      </c>
      <c r="V23" s="710" t="s">
        <v>17</v>
      </c>
      <c r="W23" s="711">
        <f>J23</f>
        <v>100</v>
      </c>
      <c r="X23" s="712"/>
      <c r="Y23" s="3417"/>
      <c r="Z23" s="55" t="str">
        <f>Q23</f>
        <v>公共配套设施</v>
      </c>
      <c r="AA23" s="1536">
        <f>D23/F23</f>
        <v>1</v>
      </c>
      <c r="AB23" s="1536">
        <f>D23/H23</f>
        <v>1</v>
      </c>
      <c r="AC23" s="1536">
        <f>D23/J23</f>
        <v>1</v>
      </c>
    </row>
    <row r="24" spans="1:29" s="113" customFormat="1" ht="15">
      <c r="A24" s="605"/>
      <c r="B24" s="588"/>
      <c r="C24" s="2160"/>
      <c r="D24" s="407"/>
      <c r="E24" s="2086"/>
      <c r="F24" s="407"/>
      <c r="G24" s="2086"/>
      <c r="H24" s="407"/>
      <c r="I24" s="406"/>
      <c r="J24" s="407"/>
      <c r="K24" s="628"/>
      <c r="L24" s="2937"/>
      <c r="M24" s="2938"/>
      <c r="N24" s="2938"/>
      <c r="O24" s="2992"/>
      <c r="P24" s="3417"/>
      <c r="Q24" s="1526"/>
      <c r="R24" s="710"/>
      <c r="S24" s="711"/>
      <c r="T24" s="710"/>
      <c r="U24" s="711"/>
      <c r="V24" s="710"/>
      <c r="W24" s="711"/>
      <c r="X24" s="712"/>
      <c r="Y24" s="3417"/>
      <c r="Z24" s="55"/>
      <c r="AA24" s="713">
        <v>1</v>
      </c>
      <c r="AB24" s="713">
        <v>1</v>
      </c>
      <c r="AC24" s="713">
        <v>1</v>
      </c>
    </row>
    <row r="25" spans="1:29" s="113" customFormat="1" ht="28.5">
      <c r="A25" s="605"/>
      <c r="B25" s="589" t="s">
        <v>2436</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417"/>
      <c r="Q25" s="1526" t="str">
        <f t="shared" ref="Q25" si="9">B25</f>
        <v>基础设施水平</v>
      </c>
      <c r="R25" s="710" t="s">
        <v>17</v>
      </c>
      <c r="S25" s="711">
        <f>F25</f>
        <v>100</v>
      </c>
      <c r="T25" s="710" t="s">
        <v>17</v>
      </c>
      <c r="U25" s="711">
        <f>H25</f>
        <v>100</v>
      </c>
      <c r="V25" s="710" t="s">
        <v>17</v>
      </c>
      <c r="W25" s="711">
        <f>J25</f>
        <v>100</v>
      </c>
      <c r="X25" s="712"/>
      <c r="Y25" s="3417"/>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37"/>
      <c r="M26" s="2938"/>
      <c r="N26" s="2938"/>
      <c r="O26" s="2992"/>
      <c r="P26" s="3417"/>
      <c r="Q26" s="1526"/>
      <c r="R26" s="710"/>
      <c r="S26" s="711"/>
      <c r="T26" s="710"/>
      <c r="U26" s="711"/>
      <c r="V26" s="710"/>
      <c r="W26" s="711"/>
      <c r="X26" s="712"/>
      <c r="Y26" s="3417"/>
      <c r="Z26" s="55"/>
      <c r="AA26" s="713">
        <v>1</v>
      </c>
      <c r="AB26" s="713">
        <v>1</v>
      </c>
      <c r="AC26" s="713">
        <v>1</v>
      </c>
    </row>
    <row r="27" spans="1:29" ht="15">
      <c r="A27" s="387"/>
      <c r="B27" s="588" t="s">
        <v>2437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417"/>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417"/>
      <c r="Z27" s="1539" t="str">
        <f t="shared" ref="Z27:Z40" si="13">Q27</f>
        <v>临街状况</v>
      </c>
      <c r="AA27" s="1536">
        <f t="shared" si="3"/>
        <v>1</v>
      </c>
      <c r="AB27" s="1536">
        <f t="shared" si="4"/>
        <v>1</v>
      </c>
      <c r="AC27" s="1536">
        <f t="shared" si="5"/>
        <v>1</v>
      </c>
    </row>
    <row r="28" spans="1:29" ht="27">
      <c r="A28" s="387"/>
      <c r="B28" s="589" t="s">
        <v>2472</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417"/>
      <c r="Q28" s="1535" t="str">
        <f t="shared" si="8"/>
        <v>毗邻道路的类型与等级</v>
      </c>
      <c r="R28" s="714" t="s">
        <v>17</v>
      </c>
      <c r="S28" s="715">
        <f t="shared" si="10"/>
        <v>100</v>
      </c>
      <c r="T28" s="714" t="s">
        <v>17</v>
      </c>
      <c r="U28" s="715">
        <f t="shared" si="11"/>
        <v>100</v>
      </c>
      <c r="V28" s="714" t="s">
        <v>17</v>
      </c>
      <c r="W28" s="715">
        <f t="shared" si="12"/>
        <v>100</v>
      </c>
      <c r="X28" s="1538"/>
      <c r="Y28" s="3417"/>
      <c r="Z28" s="1539" t="str">
        <f t="shared" si="13"/>
        <v>毗邻道路的类型与等级</v>
      </c>
      <c r="AA28" s="1536">
        <f t="shared" si="3"/>
        <v>1</v>
      </c>
      <c r="AB28" s="1536">
        <f t="shared" si="4"/>
        <v>1</v>
      </c>
      <c r="AC28" s="1536">
        <f t="shared" si="5"/>
        <v>1</v>
      </c>
    </row>
    <row r="29" spans="1:29" ht="15">
      <c r="A29" s="387"/>
      <c r="B29" s="588"/>
      <c r="C29" s="406"/>
      <c r="D29" s="407"/>
      <c r="E29" s="2086"/>
      <c r="F29" s="407"/>
      <c r="G29" s="2086"/>
      <c r="H29" s="407"/>
      <c r="I29" s="2086"/>
      <c r="J29" s="407"/>
      <c r="K29" s="570"/>
      <c r="L29" s="2942"/>
      <c r="M29" s="2936"/>
      <c r="N29" s="2936"/>
      <c r="O29" s="2994"/>
      <c r="P29" s="3417"/>
      <c r="Q29" s="1535"/>
      <c r="R29" s="714"/>
      <c r="S29" s="715"/>
      <c r="T29" s="714"/>
      <c r="U29" s="715"/>
      <c r="V29" s="714"/>
      <c r="W29" s="715"/>
      <c r="X29" s="1538"/>
      <c r="Y29" s="3417"/>
      <c r="Z29" s="1539"/>
      <c r="AA29" s="1536">
        <v>1</v>
      </c>
      <c r="AB29" s="1536">
        <v>1</v>
      </c>
      <c r="AC29" s="1536">
        <v>1</v>
      </c>
    </row>
    <row r="30" spans="1:29" ht="15">
      <c r="A30" s="387"/>
      <c r="B30" s="610" t="s">
        <v>2530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417"/>
      <c r="Q30" s="1535" t="str">
        <f t="shared" si="8"/>
        <v>土地级别</v>
      </c>
      <c r="R30" s="714" t="s">
        <v>17</v>
      </c>
      <c r="S30" s="715">
        <f t="shared" si="10"/>
        <v>100</v>
      </c>
      <c r="T30" s="714" t="s">
        <v>17</v>
      </c>
      <c r="U30" s="715">
        <f t="shared" si="11"/>
        <v>100</v>
      </c>
      <c r="V30" s="714" t="s">
        <v>17</v>
      </c>
      <c r="W30" s="715">
        <f t="shared" si="12"/>
        <v>100</v>
      </c>
      <c r="X30" s="1538"/>
      <c r="Y30" s="3417"/>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417"/>
      <c r="Q31" s="1535">
        <f t="shared" si="8"/>
        <v>111</v>
      </c>
      <c r="R31" s="714" t="s">
        <v>17</v>
      </c>
      <c r="S31" s="715">
        <f t="shared" si="10"/>
        <v>100</v>
      </c>
      <c r="T31" s="714" t="s">
        <v>17</v>
      </c>
      <c r="U31" s="715">
        <f t="shared" si="11"/>
        <v>100</v>
      </c>
      <c r="V31" s="714" t="s">
        <v>17</v>
      </c>
      <c r="W31" s="715">
        <f t="shared" si="12"/>
        <v>100</v>
      </c>
      <c r="X31" s="1538"/>
      <c r="Y31" s="3417"/>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418" t="s">
        <v>2346</v>
      </c>
      <c r="Q32" s="1535">
        <f t="shared" si="8"/>
        <v>111</v>
      </c>
      <c r="R32" s="714" t="s">
        <v>17</v>
      </c>
      <c r="S32" s="715">
        <f t="shared" si="10"/>
        <v>100</v>
      </c>
      <c r="T32" s="714" t="s">
        <v>17</v>
      </c>
      <c r="U32" s="715">
        <f t="shared" si="11"/>
        <v>100</v>
      </c>
      <c r="V32" s="714" t="s">
        <v>17</v>
      </c>
      <c r="W32" s="715">
        <f t="shared" si="12"/>
        <v>100</v>
      </c>
      <c r="X32" s="1538"/>
      <c r="Y32" s="3419" t="s">
        <v>2346</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419"/>
      <c r="Q33" s="1535">
        <f t="shared" si="8"/>
        <v>111</v>
      </c>
      <c r="R33" s="717" t="s">
        <v>17</v>
      </c>
      <c r="S33" s="718">
        <f t="shared" si="10"/>
        <v>100</v>
      </c>
      <c r="T33" s="717" t="s">
        <v>17</v>
      </c>
      <c r="U33" s="718">
        <f t="shared" si="11"/>
        <v>100</v>
      </c>
      <c r="V33" s="717" t="s">
        <v>17</v>
      </c>
      <c r="W33" s="718">
        <f t="shared" si="12"/>
        <v>100</v>
      </c>
      <c r="X33" s="719"/>
      <c r="Y33" s="3419"/>
      <c r="Z33" s="720">
        <f t="shared" si="13"/>
        <v>111</v>
      </c>
      <c r="AA33" s="1536">
        <f t="shared" si="3"/>
        <v>1</v>
      </c>
      <c r="AB33" s="1536">
        <f t="shared" si="4"/>
        <v>1</v>
      </c>
      <c r="AC33" s="1536">
        <f t="shared" si="5"/>
        <v>1</v>
      </c>
    </row>
    <row r="34" spans="1:31" ht="15">
      <c r="A34" s="399" t="s">
        <v>2344</v>
      </c>
      <c r="B34" s="415" t="s">
        <v>2531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419"/>
      <c r="Q34" s="1535" t="str">
        <f>B34</f>
        <v>宗地面积</v>
      </c>
      <c r="R34" s="714" t="s">
        <v>17</v>
      </c>
      <c r="S34" s="715" t="e">
        <f t="shared" si="10"/>
        <v>#N/A</v>
      </c>
      <c r="T34" s="714" t="s">
        <v>17</v>
      </c>
      <c r="U34" s="715" t="e">
        <f t="shared" si="11"/>
        <v>#N/A</v>
      </c>
      <c r="V34" s="714" t="s">
        <v>17</v>
      </c>
      <c r="W34" s="715" t="e">
        <f t="shared" si="12"/>
        <v>#N/A</v>
      </c>
      <c r="X34" s="1538"/>
      <c r="Y34" s="3419"/>
      <c r="Z34" s="1539" t="str">
        <f t="shared" si="13"/>
        <v>宗地面积</v>
      </c>
      <c r="AA34" s="1536" t="e">
        <f t="shared" si="3"/>
        <v>#N/A</v>
      </c>
      <c r="AB34" s="1536" t="e">
        <f t="shared" si="4"/>
        <v>#N/A</v>
      </c>
      <c r="AC34" s="1536" t="e">
        <f t="shared" si="5"/>
        <v>#N/A</v>
      </c>
    </row>
    <row r="35" spans="1:31" ht="15">
      <c r="A35" s="431"/>
      <c r="B35" s="381" t="s">
        <v>2532</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2"/>
      <c r="M35" s="2936"/>
      <c r="N35" s="2936"/>
      <c r="O35" s="2994"/>
      <c r="P35" s="3419"/>
      <c r="Q35" s="1535" t="str">
        <f t="shared" ref="Q35:Q40" si="14">B35</f>
        <v>宗地形状</v>
      </c>
      <c r="R35" s="714" t="s">
        <v>17</v>
      </c>
      <c r="S35" s="715">
        <f t="shared" si="10"/>
        <v>100</v>
      </c>
      <c r="T35" s="714" t="s">
        <v>17</v>
      </c>
      <c r="U35" s="715">
        <f t="shared" si="11"/>
        <v>100</v>
      </c>
      <c r="V35" s="714" t="s">
        <v>17</v>
      </c>
      <c r="W35" s="715">
        <f t="shared" si="12"/>
        <v>100</v>
      </c>
      <c r="X35" s="1538"/>
      <c r="Y35" s="3419"/>
      <c r="Z35" s="1539" t="str">
        <f t="shared" si="13"/>
        <v>宗地形状</v>
      </c>
      <c r="AA35" s="1536">
        <f t="shared" si="3"/>
        <v>1</v>
      </c>
      <c r="AB35" s="1536">
        <f t="shared" si="4"/>
        <v>1</v>
      </c>
      <c r="AC35" s="1536">
        <f t="shared" si="5"/>
        <v>1</v>
      </c>
    </row>
    <row r="36" spans="1:31" s="113" customFormat="1" ht="15">
      <c r="A36" s="432"/>
      <c r="B36" s="381" t="s">
        <v>2534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37"/>
      <c r="M36" s="2938"/>
      <c r="N36" s="2938"/>
      <c r="O36" s="2992"/>
      <c r="P36" s="3419"/>
      <c r="Q36" s="1535" t="str">
        <f t="shared" si="14"/>
        <v>宗地开发程度</v>
      </c>
      <c r="R36" s="710" t="s">
        <v>17</v>
      </c>
      <c r="S36" s="711">
        <f t="shared" si="10"/>
        <v>100</v>
      </c>
      <c r="T36" s="710" t="s">
        <v>17</v>
      </c>
      <c r="U36" s="711">
        <f t="shared" si="11"/>
        <v>100</v>
      </c>
      <c r="V36" s="710" t="s">
        <v>17</v>
      </c>
      <c r="W36" s="711">
        <f t="shared" si="12"/>
        <v>100</v>
      </c>
      <c r="X36" s="712"/>
      <c r="Y36" s="3419"/>
      <c r="Z36" s="55" t="str">
        <f t="shared" si="13"/>
        <v>宗地开发程度</v>
      </c>
      <c r="AA36" s="713">
        <f t="shared" si="3"/>
        <v>1</v>
      </c>
      <c r="AB36" s="713">
        <f t="shared" si="4"/>
        <v>1</v>
      </c>
      <c r="AC36" s="713">
        <f t="shared" si="5"/>
        <v>1</v>
      </c>
    </row>
    <row r="37" spans="1:31" ht="15">
      <c r="A37" s="431"/>
      <c r="B37" s="381" t="s">
        <v>2535</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2"/>
      <c r="M37" s="2936"/>
      <c r="N37" s="2936"/>
      <c r="O37" s="2994"/>
      <c r="P37" s="3419" t="s">
        <v>2346</v>
      </c>
      <c r="Q37" s="1535" t="str">
        <f t="shared" si="14"/>
        <v>工程地质条件</v>
      </c>
      <c r="R37" s="714" t="s">
        <v>17</v>
      </c>
      <c r="S37" s="715">
        <f t="shared" si="10"/>
        <v>100</v>
      </c>
      <c r="T37" s="714" t="s">
        <v>17</v>
      </c>
      <c r="U37" s="715">
        <f t="shared" si="11"/>
        <v>100</v>
      </c>
      <c r="V37" s="714" t="s">
        <v>17</v>
      </c>
      <c r="W37" s="715">
        <f t="shared" si="12"/>
        <v>100</v>
      </c>
      <c r="X37" s="1538"/>
      <c r="Y37" s="3419" t="s">
        <v>2346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419"/>
      <c r="Q38" s="1535">
        <f t="shared" si="14"/>
        <v>111</v>
      </c>
      <c r="R38" s="714" t="s">
        <v>17</v>
      </c>
      <c r="S38" s="715">
        <f t="shared" si="10"/>
        <v>100</v>
      </c>
      <c r="T38" s="714" t="s">
        <v>17</v>
      </c>
      <c r="U38" s="715">
        <f t="shared" si="11"/>
        <v>100</v>
      </c>
      <c r="V38" s="714" t="s">
        <v>17</v>
      </c>
      <c r="W38" s="715">
        <f t="shared" si="12"/>
        <v>100</v>
      </c>
      <c r="X38" s="1538"/>
      <c r="Y38" s="3419"/>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419"/>
      <c r="Q39" s="1535">
        <f t="shared" si="14"/>
        <v>111</v>
      </c>
      <c r="R39" s="714" t="s">
        <v>17</v>
      </c>
      <c r="S39" s="715">
        <f t="shared" si="10"/>
        <v>100</v>
      </c>
      <c r="T39" s="714" t="s">
        <v>17</v>
      </c>
      <c r="U39" s="715">
        <f t="shared" si="11"/>
        <v>100</v>
      </c>
      <c r="V39" s="714" t="s">
        <v>17</v>
      </c>
      <c r="W39" s="715">
        <f t="shared" si="12"/>
        <v>100</v>
      </c>
      <c r="X39" s="1538"/>
      <c r="Y39" s="3419"/>
      <c r="Z39" s="1539">
        <f t="shared" si="13"/>
        <v>111</v>
      </c>
      <c r="AA39" s="1536">
        <f t="shared" si="3"/>
        <v>1</v>
      </c>
      <c r="AB39" s="1536">
        <f t="shared" si="4"/>
        <v>1</v>
      </c>
      <c r="AC39" s="1536">
        <f t="shared" si="5"/>
        <v>1</v>
      </c>
    </row>
    <row r="40" spans="1:31" s="430" customFormat="1" ht="15.75" thickBot="1">
      <c r="A40" s="427"/>
      <c r="B40" s="1296">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419"/>
      <c r="Q40" s="1535">
        <f t="shared" si="14"/>
        <v>111</v>
      </c>
      <c r="R40" s="717" t="s">
        <v>17</v>
      </c>
      <c r="S40" s="718">
        <f t="shared" si="10"/>
        <v>100</v>
      </c>
      <c r="T40" s="717" t="s">
        <v>17</v>
      </c>
      <c r="U40" s="718">
        <f t="shared" si="11"/>
        <v>100</v>
      </c>
      <c r="V40" s="717" t="s">
        <v>17</v>
      </c>
      <c r="W40" s="718">
        <f t="shared" si="12"/>
        <v>100</v>
      </c>
      <c r="X40" s="719"/>
      <c r="Y40" s="3419"/>
      <c r="Z40" s="720">
        <f t="shared" si="13"/>
        <v>111</v>
      </c>
      <c r="AA40" s="1536">
        <f t="shared" si="3"/>
        <v>1</v>
      </c>
      <c r="AB40" s="1536">
        <f t="shared" si="4"/>
        <v>1</v>
      </c>
      <c r="AC40" s="1536">
        <f t="shared" si="5"/>
        <v>1</v>
      </c>
    </row>
    <row r="41" spans="1:31" ht="15">
      <c r="A41" s="438" t="s">
        <v>2501</v>
      </c>
      <c r="B41" s="2164" t="s">
        <v>2580</v>
      </c>
      <c r="C41" s="638" t="s">
        <v>1</v>
      </c>
      <c r="D41" s="440"/>
      <c r="E41" s="441"/>
      <c r="F41" s="442"/>
      <c r="G41" s="443"/>
      <c r="H41" s="444"/>
      <c r="I41" s="441"/>
      <c r="J41" s="444"/>
      <c r="K41" s="723"/>
      <c r="L41" s="2944"/>
      <c r="M41" s="2936"/>
      <c r="N41" s="2936"/>
      <c r="O41" s="2945"/>
      <c r="P41" s="3401" t="str">
        <f>A41</f>
        <v>成交单价</v>
      </c>
      <c r="Q41" s="3401"/>
      <c r="R41" s="3414">
        <f>E41</f>
        <v>0</v>
      </c>
      <c r="S41" s="3414"/>
      <c r="T41" s="3414">
        <f>G41</f>
        <v>0</v>
      </c>
      <c r="U41" s="3414"/>
      <c r="V41" s="3414">
        <f>I41</f>
        <v>0</v>
      </c>
      <c r="W41" s="3414"/>
      <c r="X41" s="699"/>
      <c r="Y41" s="721"/>
      <c r="Z41" s="699"/>
      <c r="AA41" s="699"/>
      <c r="AB41" s="699"/>
      <c r="AC41" s="699"/>
    </row>
    <row r="42" spans="1:31" ht="15.75" thickBot="1">
      <c r="A42" s="445" t="s">
        <v>2450</v>
      </c>
      <c r="B42" s="639"/>
      <c r="C42" s="448" t="e">
        <f>R43</f>
        <v>#DIV/0!</v>
      </c>
      <c r="D42" s="2534" t="s">
        <v>2840</v>
      </c>
      <c r="E42" s="448" t="e">
        <f>R42</f>
        <v>#DIV/0!</v>
      </c>
      <c r="F42" s="2535"/>
      <c r="G42" s="447" t="e">
        <f>T42</f>
        <v>#DIV/0!</v>
      </c>
      <c r="H42" s="2535"/>
      <c r="I42" s="448" t="e">
        <f>V42</f>
        <v>#DIV/0!</v>
      </c>
      <c r="J42" s="2535"/>
      <c r="K42" s="2537">
        <f>F42+H42+J42</f>
        <v>0</v>
      </c>
      <c r="L42" s="2944"/>
      <c r="M42" s="2936"/>
      <c r="N42" s="2936"/>
      <c r="O42" s="2945"/>
      <c r="P42" s="3401" t="str">
        <f>A42</f>
        <v>比较价值（元/平方米）</v>
      </c>
      <c r="Q42" s="3401"/>
      <c r="R42" s="3420" t="e">
        <f>ROUND(PRODUCT(R41,AA7:AA40),0)</f>
        <v>#DIV/0!</v>
      </c>
      <c r="S42" s="3420"/>
      <c r="T42" s="3420" t="e">
        <f>ROUND(PRODUCT(T41,AB7:AB40),0)</f>
        <v>#DIV/0!</v>
      </c>
      <c r="U42" s="3420"/>
      <c r="V42" s="3420" t="e">
        <f>ROUND(PRODUCT(V41,AC7:AC40),0)</f>
        <v>#DIV/0!</v>
      </c>
      <c r="W42" s="3420"/>
      <c r="X42" s="699"/>
      <c r="Y42" s="699"/>
      <c r="Z42" s="699"/>
      <c r="AA42" s="699"/>
      <c r="AB42" s="699"/>
      <c r="AC42" s="699"/>
    </row>
    <row r="43" spans="1:31" ht="15.75" thickBot="1">
      <c r="A43" s="449" t="s">
        <v>2451</v>
      </c>
      <c r="B43" s="450"/>
      <c r="C43" s="451" t="e">
        <f>R43</f>
        <v>#DIV/0!</v>
      </c>
      <c r="D43" s="451"/>
      <c r="E43" s="451"/>
      <c r="F43" s="451"/>
      <c r="G43" s="451"/>
      <c r="H43" s="451"/>
      <c r="I43" s="451"/>
      <c r="J43" s="451"/>
      <c r="K43" s="724"/>
      <c r="L43" s="2944"/>
      <c r="M43" s="2936"/>
      <c r="N43" s="2936"/>
      <c r="O43" s="2945"/>
      <c r="P43" s="3421" t="str">
        <f>A43</f>
        <v>估价对象XX用房的比较价值（楼面单价，元/平方米）</v>
      </c>
      <c r="Q43" s="3422"/>
      <c r="R43" s="3423" t="e">
        <f>ROUND(IF(D42="简单平均",AVERAGE(R42:W42),R42*F42+T42*H42+V42*J42),0)</f>
        <v>#DIV/0!</v>
      </c>
      <c r="S43" s="3423"/>
      <c r="T43" s="3423"/>
      <c r="U43" s="3423"/>
      <c r="V43" s="3423"/>
      <c r="W43" s="3423"/>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2538</v>
      </c>
      <c r="B50" s="641" t="s">
        <v>2539</v>
      </c>
      <c r="C50" s="2165" t="s">
        <v>2540</v>
      </c>
      <c r="D50" s="2166" t="s">
        <v>2541</v>
      </c>
      <c r="E50" s="642" t="s">
        <v>2542</v>
      </c>
      <c r="F50" s="643" t="s">
        <v>2543</v>
      </c>
      <c r="G50" s="3402" t="s">
        <v>2544</v>
      </c>
      <c r="H50" s="3424"/>
      <c r="I50" s="1539" t="s">
        <v>2581</v>
      </c>
      <c r="J50" s="1539">
        <f>项目基本情况!F35</f>
        <v>0</v>
      </c>
      <c r="K50" s="2168" t="s">
        <v>2546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2547</v>
      </c>
      <c r="B51" s="645" t="e">
        <f>C43</f>
        <v>#DIV/0!</v>
      </c>
      <c r="C51" s="646">
        <v>1</v>
      </c>
      <c r="D51" s="1075">
        <v>1</v>
      </c>
      <c r="E51" s="646">
        <f>'数据-汇总表'!E8+'数据-汇总表'!E9</f>
        <v>101252.65000000002</v>
      </c>
      <c r="F51" s="647" t="e">
        <f t="shared" ref="F51:F60" si="15">ROUND(B51*E51/10000,0)</f>
        <v>#DIV/0!</v>
      </c>
      <c r="G51" s="3425"/>
      <c r="H51" s="3401"/>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2548</v>
      </c>
      <c r="B52" s="224" t="e">
        <f>ROUND($C$43*C52*D52,0)</f>
        <v>#DIV/0!</v>
      </c>
      <c r="C52" s="176">
        <f t="shared" ref="C52:C60" si="16">IF($C$50="北京市系数",I52,J52)</f>
        <v>0</v>
      </c>
      <c r="D52" s="1076">
        <v>0.25</v>
      </c>
      <c r="E52" s="650"/>
      <c r="F52" s="647" t="e">
        <f t="shared" si="15"/>
        <v>#DIV/0!</v>
      </c>
      <c r="G52" s="3426" t="s">
        <v>2549</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2550</v>
      </c>
      <c r="B53" s="224" t="e">
        <f t="shared" ref="B53:B60" si="17">ROUND($C$43*C53*D53,0)</f>
        <v>#DIV/0!</v>
      </c>
      <c r="C53" s="176">
        <f t="shared" si="16"/>
        <v>0</v>
      </c>
      <c r="D53" s="1076">
        <v>0.25</v>
      </c>
      <c r="E53" s="650"/>
      <c r="F53" s="647" t="e">
        <f t="shared" si="15"/>
        <v>#DIV/0!</v>
      </c>
      <c r="G53" s="3426"/>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2551</v>
      </c>
      <c r="B54" s="224" t="e">
        <f t="shared" si="17"/>
        <v>#DIV/0!</v>
      </c>
      <c r="C54" s="176">
        <f t="shared" si="16"/>
        <v>0</v>
      </c>
      <c r="D54" s="1076">
        <v>0.25</v>
      </c>
      <c r="E54" s="650"/>
      <c r="F54" s="647" t="e">
        <f t="shared" si="15"/>
        <v>#DIV/0!</v>
      </c>
      <c r="G54" s="3426"/>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2552</v>
      </c>
      <c r="B55" s="224" t="e">
        <f t="shared" si="17"/>
        <v>#DIV/0!</v>
      </c>
      <c r="C55" s="176">
        <f t="shared" si="16"/>
        <v>0</v>
      </c>
      <c r="D55" s="1076">
        <v>0.25</v>
      </c>
      <c r="E55" s="650"/>
      <c r="F55" s="647" t="e">
        <f t="shared" si="15"/>
        <v>#DIV/0!</v>
      </c>
      <c r="G55" s="3426"/>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2553</v>
      </c>
      <c r="B56" s="224" t="e">
        <f t="shared" si="17"/>
        <v>#DIV/0!</v>
      </c>
      <c r="C56" s="176">
        <f t="shared" si="16"/>
        <v>0</v>
      </c>
      <c r="D56" s="1076">
        <v>0.25</v>
      </c>
      <c r="E56" s="223">
        <f>'数据-汇总表'!E11</f>
        <v>0</v>
      </c>
      <c r="F56" s="647" t="e">
        <f t="shared" si="15"/>
        <v>#DIV/0!</v>
      </c>
      <c r="G56" s="2169" t="s">
        <v>2554</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2555</v>
      </c>
      <c r="B57" s="224" t="e">
        <f t="shared" si="17"/>
        <v>#DIV/0!</v>
      </c>
      <c r="C57" s="176">
        <f t="shared" si="16"/>
        <v>0</v>
      </c>
      <c r="D57" s="1076">
        <v>0.25</v>
      </c>
      <c r="E57" s="223">
        <f>'数据-汇总表'!E12</f>
        <v>8448.9000000000015</v>
      </c>
      <c r="F57" s="647" t="e">
        <f t="shared" si="15"/>
        <v>#DIV/0!</v>
      </c>
      <c r="G57" s="1023" t="s">
        <v>2556</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2557</v>
      </c>
      <c r="B58" s="224" t="e">
        <f t="shared" si="17"/>
        <v>#DIV/0!</v>
      </c>
      <c r="C58" s="176">
        <f t="shared" si="16"/>
        <v>0.2</v>
      </c>
      <c r="D58" s="1076">
        <v>0.25</v>
      </c>
      <c r="E58" s="223">
        <f>'数据-汇总表'!E13</f>
        <v>20301.22</v>
      </c>
      <c r="F58" s="647" t="e">
        <f t="shared" si="15"/>
        <v>#DIV/0!</v>
      </c>
      <c r="G58" s="1023" t="s">
        <v>2558</v>
      </c>
      <c r="H58" s="1018" t="str">
        <f>IF(G58="商业",项目基本情况!B37,IF(G58="办公",项目基本情况!C37,IF(G58="住宅",项目基本情况!D37,项目基本情况!E37)))</f>
        <v>七级</v>
      </c>
      <c r="I58" s="879">
        <f>SUMIF(修正!A45:A56,H58,修正!H45:H56)</f>
        <v>0.2</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2559</v>
      </c>
      <c r="B59" s="224" t="e">
        <f t="shared" si="17"/>
        <v>#DIV/0!</v>
      </c>
      <c r="C59" s="176">
        <f t="shared" si="16"/>
        <v>0</v>
      </c>
      <c r="D59" s="1076">
        <v>0.25</v>
      </c>
      <c r="E59" s="223">
        <f>'数据-汇总表'!E14</f>
        <v>0</v>
      </c>
      <c r="F59" s="647" t="e">
        <f t="shared" si="15"/>
        <v>#DIV/0!</v>
      </c>
      <c r="G59" s="2169" t="s">
        <v>2549</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2560</v>
      </c>
      <c r="B60" s="224" t="e">
        <f t="shared" si="17"/>
        <v>#DIV/0!</v>
      </c>
      <c r="C60" s="176">
        <f t="shared" si="16"/>
        <v>0</v>
      </c>
      <c r="D60" s="1076">
        <v>0.25</v>
      </c>
      <c r="E60" s="223">
        <f>'数据-汇总表'!E15</f>
        <v>0</v>
      </c>
      <c r="F60" s="647" t="e">
        <f t="shared" si="15"/>
        <v>#DIV/0!</v>
      </c>
      <c r="G60" s="2170" t="s">
        <v>2554</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2561</v>
      </c>
      <c r="B61" s="652" t="s">
        <v>28</v>
      </c>
      <c r="C61" s="652" t="s">
        <v>29</v>
      </c>
      <c r="D61" s="652" t="s">
        <v>997</v>
      </c>
      <c r="E61" s="652">
        <f>IF(B41="楼面地价",SUM(E51:E60),'数据-汇总表'!D3)</f>
        <v>37742.35</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45"/>
      <c r="Q63" s="2945"/>
      <c r="R63" s="2945"/>
      <c r="S63" s="2945"/>
      <c r="T63" s="2945"/>
      <c r="U63" s="2945"/>
      <c r="V63" s="2945"/>
      <c r="W63" s="2945"/>
      <c r="X63" s="2945"/>
      <c r="Y63" s="2945"/>
      <c r="Z63" s="2945"/>
      <c r="AA63" s="2945"/>
      <c r="AB63" s="2945"/>
      <c r="AC63" s="2945"/>
      <c r="AD63" s="2945"/>
      <c r="AE63" s="2945"/>
    </row>
    <row r="64" spans="1:31" ht="21.75" thickBot="1">
      <c r="A64" s="703" t="s">
        <v>2455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1" t="s">
        <v>2562</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6" t="s">
        <v>2582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2366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2331</v>
      </c>
      <c r="B68" s="467"/>
      <c r="C68" s="479" t="s">
        <v>2433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2369</v>
      </c>
      <c r="B70" s="485" t="s">
        <v>2335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2338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2340</v>
      </c>
      <c r="B83" s="485" t="s">
        <v>2486</v>
      </c>
      <c r="C83" s="530" t="s">
        <v>2378</v>
      </c>
      <c r="D83" s="530" t="s">
        <v>2379</v>
      </c>
      <c r="E83" s="530" t="s">
        <v>2380</v>
      </c>
      <c r="F83" s="530" t="s">
        <v>2381</v>
      </c>
      <c r="G83" s="530" t="s">
        <v>2382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2383</v>
      </c>
      <c r="C85" s="535" t="s">
        <v>2378</v>
      </c>
      <c r="D85" s="535" t="s">
        <v>2379</v>
      </c>
      <c r="E85" s="535" t="s">
        <v>2380</v>
      </c>
      <c r="F85" s="535" t="s">
        <v>2381</v>
      </c>
      <c r="G85" s="535" t="s">
        <v>2382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2565</v>
      </c>
      <c r="C87" s="530" t="s">
        <v>2378</v>
      </c>
      <c r="D87" s="530" t="s">
        <v>2379</v>
      </c>
      <c r="E87" s="530" t="s">
        <v>2380</v>
      </c>
      <c r="F87" s="530" t="s">
        <v>2381</v>
      </c>
      <c r="G87" s="530" t="s">
        <v>2382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2566</v>
      </c>
      <c r="C89" s="530" t="s">
        <v>2378</v>
      </c>
      <c r="D89" s="530" t="s">
        <v>2379</v>
      </c>
      <c r="E89" s="530" t="s">
        <v>2380</v>
      </c>
      <c r="F89" s="530" t="s">
        <v>2381</v>
      </c>
      <c r="G89" s="530" t="s">
        <v>2382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2435</v>
      </c>
      <c r="C91" s="530" t="s">
        <v>2378</v>
      </c>
      <c r="D91" s="530" t="s">
        <v>2379</v>
      </c>
      <c r="E91" s="530" t="s">
        <v>2380</v>
      </c>
      <c r="F91" s="530" t="s">
        <v>2381</v>
      </c>
      <c r="G91" s="530" t="s">
        <v>2382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2583</v>
      </c>
      <c r="C93" s="616" t="s">
        <v>2456</v>
      </c>
      <c r="D93" s="616" t="s">
        <v>2457</v>
      </c>
      <c r="E93" s="616" t="s">
        <v>2458</v>
      </c>
      <c r="F93" s="616" t="s">
        <v>2459</v>
      </c>
      <c r="G93" s="616" t="s">
        <v>2460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2567</v>
      </c>
      <c r="D95" s="496" t="s">
        <v>2568</v>
      </c>
      <c r="E95" s="496" t="s">
        <v>2569</v>
      </c>
      <c r="F95" s="496" t="s">
        <v>2570</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2472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2530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2344</v>
      </c>
      <c r="B107" s="485" t="s">
        <v>2571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2572</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2574</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2575</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2" customWidth="1"/>
    <col min="33" max="36" width="9.375" style="2246" customWidth="1"/>
    <col min="37" max="38" width="9.375" style="2180" customWidth="1"/>
    <col min="39" max="16384" width="12" style="2180"/>
  </cols>
  <sheetData>
    <row r="1" spans="1:36" ht="28.5">
      <c r="A1" s="202" t="s">
        <v>2584</v>
      </c>
      <c r="B1" s="203"/>
      <c r="C1" s="207" t="s">
        <v>2585</v>
      </c>
      <c r="D1" s="348">
        <f>SUM(D29:D30,D33:D39)</f>
        <v>0</v>
      </c>
      <c r="E1" s="2177"/>
      <c r="F1" s="2177"/>
      <c r="G1" s="2177"/>
      <c r="H1" s="2177"/>
      <c r="I1" s="2177"/>
      <c r="J1" s="2177"/>
      <c r="K1" s="1280"/>
      <c r="L1" s="2178" t="s">
        <v>2586</v>
      </c>
      <c r="M1" s="994">
        <f>SUMPRODUCT((区片价!B5:B9=I2)*(区片价!C3:F3=E2)*(区片价!C5:F9))</f>
        <v>0</v>
      </c>
      <c r="N1" s="997">
        <f>SUMPRODUCT((因素修正幅度!B5:B9=I2)*(因素修正幅度!C3:F3=E2)*(因素修正幅度!C5:F9))</f>
        <v>0</v>
      </c>
      <c r="O1" s="2179"/>
      <c r="P1" s="2179"/>
      <c r="Q1" s="1280"/>
      <c r="R1" s="1373" t="s">
        <v>2587</v>
      </c>
      <c r="S1" s="1373" t="s">
        <v>2588</v>
      </c>
      <c r="T1" s="1373" t="s">
        <v>2589</v>
      </c>
      <c r="U1" s="1373" t="s">
        <v>2590</v>
      </c>
      <c r="V1" s="1373" t="s">
        <v>2591</v>
      </c>
      <c r="W1" s="1377"/>
      <c r="X1" s="1377"/>
      <c r="Y1" s="1377"/>
      <c r="Z1" s="1377"/>
      <c r="AA1" s="1377"/>
      <c r="AB1" s="1377"/>
      <c r="AC1" s="1378"/>
      <c r="AD1" s="1379"/>
      <c r="AE1" s="1379"/>
      <c r="AF1" s="1379"/>
      <c r="AG1" s="1379"/>
      <c r="AH1" s="1379"/>
      <c r="AI1" s="1379"/>
      <c r="AJ1" s="1380"/>
    </row>
    <row r="2" spans="1:36" ht="15.75">
      <c r="A2" s="207" t="s">
        <v>2592</v>
      </c>
      <c r="B2" s="210" t="e">
        <f>C26</f>
        <v>#DIV/0!</v>
      </c>
      <c r="C2" s="2181" t="s">
        <v>2593</v>
      </c>
      <c r="D2" s="2182" t="s">
        <v>2594</v>
      </c>
      <c r="E2" s="2183"/>
      <c r="F2" s="2182" t="s">
        <v>2595</v>
      </c>
      <c r="G2" s="2184">
        <f>IF(E2="商业",项目基本情况!B37,IF(E2="办公",项目基本情况!C37,IF(E2="住宅",项目基本情况!D37,项目基本情况!E37)))</f>
        <v>0</v>
      </c>
      <c r="H2" s="2182" t="s">
        <v>2596</v>
      </c>
      <c r="I2" s="2184">
        <f>IF(E2="商业",项目基本情况!B38,IF(E2="办公",项目基本情况!C38,IF(E2="住宅",项目基本情况!D38,项目基本情况!E38)))</f>
        <v>0</v>
      </c>
      <c r="J2" s="2185"/>
      <c r="K2" s="1280"/>
      <c r="L2" s="2186" t="s">
        <v>2597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2598</v>
      </c>
      <c r="B3" s="210" t="e">
        <f>ROUND(B2*10000/D1,0)</f>
        <v>#DIV/0!</v>
      </c>
      <c r="C3" s="2181" t="s">
        <v>2599</v>
      </c>
      <c r="D3" s="2182" t="s">
        <v>2600</v>
      </c>
      <c r="E3" s="2187"/>
      <c r="F3" s="2188" t="s">
        <v>2601</v>
      </c>
      <c r="G3" s="855">
        <f>IF(F3="宗地容积率",'数据-汇总表'!I4,IF(F3="估价对象容积率",'数据-汇总表'!I6,'数据-汇总表'!I7))</f>
        <v>2.68</v>
      </c>
      <c r="H3" s="175" t="s">
        <v>2602</v>
      </c>
      <c r="I3" s="881"/>
      <c r="J3" s="2185" t="s">
        <v>2603</v>
      </c>
      <c r="K3" s="1280"/>
      <c r="L3" s="2186" t="s">
        <v>2604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508"/>
      <c r="B4" s="3509"/>
      <c r="C4" s="3509"/>
      <c r="D4" s="3510"/>
      <c r="E4" s="3510"/>
      <c r="F4" s="3510"/>
      <c r="G4" s="3510"/>
      <c r="H4" s="3510"/>
      <c r="I4" s="3510"/>
      <c r="J4" s="3511"/>
      <c r="K4" s="1280"/>
      <c r="L4" s="2186" t="s">
        <v>2605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2606</v>
      </c>
      <c r="C5" s="856" t="e">
        <f>ROUND(IF(E2="商业",C6*C7+C16,(IF(E2="住宅",C6*C12+C16,C6+C16))),0)</f>
        <v>#DIV/0!</v>
      </c>
      <c r="D5" s="1522" t="e">
        <f>ROUND(C6+C16,0)</f>
        <v>#DIV/0!</v>
      </c>
      <c r="E5" s="1522"/>
      <c r="F5" s="2191"/>
      <c r="G5" s="2192"/>
      <c r="H5" s="2192"/>
      <c r="I5" s="2192"/>
      <c r="J5" s="2193"/>
      <c r="K5" s="2194"/>
      <c r="L5" s="2186" t="s">
        <v>2607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2608</v>
      </c>
      <c r="B6" s="2200" t="s">
        <v>2609</v>
      </c>
      <c r="C6" s="857">
        <f>SUMIF(L1:L12,G2,M1:M12)</f>
        <v>0</v>
      </c>
      <c r="D6" s="2201" t="s">
        <v>2610</v>
      </c>
      <c r="E6" s="2202"/>
      <c r="F6" s="2202"/>
      <c r="G6" s="2203"/>
      <c r="H6" s="2203"/>
      <c r="I6" s="2203"/>
      <c r="J6" s="2204"/>
      <c r="K6" s="1567"/>
      <c r="L6" s="2186" t="s">
        <v>2611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489" t="str">
        <f>IF(E2="商业",IF(C8="不临58条商业街","",2),"")</f>
        <v/>
      </c>
      <c r="B7" s="2205" t="s">
        <v>2612</v>
      </c>
      <c r="C7" s="858" t="e">
        <f>IF(C8="不临58条商业街",1,ROUND(1+(1.6*E8+1.2*E9+0.8*E10+0.4*E11)*C9,4))</f>
        <v>#DIV/0!</v>
      </c>
      <c r="D7" s="2206" t="s">
        <v>2613</v>
      </c>
      <c r="E7" s="882"/>
      <c r="F7" s="2207"/>
      <c r="G7" s="2208"/>
      <c r="H7" s="2208"/>
      <c r="I7" s="2208"/>
      <c r="J7" s="2209"/>
      <c r="K7" s="1567"/>
      <c r="L7" s="2186" t="s">
        <v>2614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2615</v>
      </c>
      <c r="X7" s="1375">
        <f>G2</f>
        <v>0</v>
      </c>
      <c r="Y7" s="1375" t="s">
        <v>2616</v>
      </c>
      <c r="Z7" s="1376">
        <f>G3</f>
        <v>2.68</v>
      </c>
      <c r="AA7" s="1377"/>
      <c r="AB7" s="1377"/>
      <c r="AC7" s="1378"/>
      <c r="AD7" s="1379"/>
      <c r="AE7" s="1379"/>
      <c r="AF7" s="1379"/>
      <c r="AG7" s="1379"/>
      <c r="AH7" s="1379"/>
      <c r="AI7" s="1379"/>
      <c r="AJ7" s="1380"/>
    </row>
    <row r="8" spans="1:36" ht="15">
      <c r="A8" s="3512"/>
      <c r="B8" s="175" t="s">
        <v>2617</v>
      </c>
      <c r="C8" s="2210"/>
      <c r="D8" s="859" t="s">
        <v>139</v>
      </c>
      <c r="E8" s="860" t="e">
        <f>ROUND(C11/E7,4)</f>
        <v>#DIV/0!</v>
      </c>
      <c r="F8" s="2211" t="s">
        <v>2618</v>
      </c>
      <c r="G8" s="2212"/>
      <c r="H8" s="2212"/>
      <c r="I8" s="2212"/>
      <c r="J8" s="2213"/>
      <c r="K8" s="1280"/>
      <c r="L8" s="2186" t="s">
        <v>2619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505" t="s">
        <v>2620</v>
      </c>
      <c r="X8" s="3506"/>
      <c r="Y8" s="1381" t="s">
        <v>2621</v>
      </c>
      <c r="Z8" s="1381" t="s">
        <v>2622</v>
      </c>
      <c r="AA8" s="1381" t="s">
        <v>2623</v>
      </c>
      <c r="AB8" s="1381" t="s">
        <v>2624</v>
      </c>
      <c r="AC8" s="1381" t="s">
        <v>2625</v>
      </c>
      <c r="AD8" s="1381" t="s">
        <v>2626</v>
      </c>
      <c r="AE8" s="1381" t="s">
        <v>2627</v>
      </c>
      <c r="AF8" s="1381" t="s">
        <v>2628</v>
      </c>
      <c r="AG8" s="1381" t="s">
        <v>2629</v>
      </c>
      <c r="AH8" s="1381" t="s">
        <v>2630</v>
      </c>
      <c r="AI8" s="1381" t="s">
        <v>2631</v>
      </c>
      <c r="AJ8" s="1381" t="s">
        <v>2632</v>
      </c>
    </row>
    <row r="9" spans="1:36" ht="15">
      <c r="A9" s="3512"/>
      <c r="B9" s="175" t="s">
        <v>2633</v>
      </c>
      <c r="C9" s="861">
        <f>SUMIF(修正!C59:C119,C8,修正!E59:E119)</f>
        <v>0</v>
      </c>
      <c r="D9" s="176" t="s">
        <v>140</v>
      </c>
      <c r="E9" s="176" t="e">
        <f>ROUND(C11/E7,4)</f>
        <v>#DIV/0!</v>
      </c>
      <c r="F9" s="2211" t="s">
        <v>2634</v>
      </c>
      <c r="G9" s="2212"/>
      <c r="H9" s="2212"/>
      <c r="I9" s="2212"/>
      <c r="J9" s="2213"/>
      <c r="K9" s="1280"/>
      <c r="L9" s="2186" t="s">
        <v>2635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507" t="s">
        <v>2636</v>
      </c>
      <c r="X9" s="1382" t="s">
        <v>2637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512"/>
      <c r="B10" s="175" t="s">
        <v>2638</v>
      </c>
      <c r="C10" s="176">
        <f>SUMIF(修正!C59:C119,C8,修正!F59:F119)</f>
        <v>0</v>
      </c>
      <c r="D10" s="176" t="s">
        <v>141</v>
      </c>
      <c r="E10" s="176" t="e">
        <f>ROUND(C11/E7,4)</f>
        <v>#DIV/0!</v>
      </c>
      <c r="F10" s="2211" t="s">
        <v>2639</v>
      </c>
      <c r="G10" s="2212"/>
      <c r="H10" s="2212"/>
      <c r="I10" s="2212"/>
      <c r="J10" s="2213"/>
      <c r="K10" s="1280"/>
      <c r="L10" s="2186" t="s">
        <v>2640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50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512"/>
      <c r="B11" s="2214" t="s">
        <v>2641</v>
      </c>
      <c r="C11" s="862">
        <f>C10/4</f>
        <v>0</v>
      </c>
      <c r="D11" s="862" t="s">
        <v>142</v>
      </c>
      <c r="E11" s="862" t="e">
        <f>ROUND(C11/E7,4)</f>
        <v>#DIV/0!</v>
      </c>
      <c r="F11" s="2215" t="s">
        <v>2642</v>
      </c>
      <c r="G11" s="2216"/>
      <c r="H11" s="2216"/>
      <c r="I11" s="2216"/>
      <c r="J11" s="2217"/>
      <c r="K11" s="1280"/>
      <c r="L11" s="2186" t="s">
        <v>2643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507" t="s">
        <v>2644</v>
      </c>
      <c r="X11" s="1385" t="s">
        <v>2645</v>
      </c>
      <c r="Y11" s="1386">
        <f>$G$3</f>
        <v>2.68</v>
      </c>
      <c r="Z11" s="1386">
        <f t="shared" ref="Z11:AJ11" si="3">$G$3</f>
        <v>2.68</v>
      </c>
      <c r="AA11" s="1386">
        <f t="shared" si="3"/>
        <v>2.68</v>
      </c>
      <c r="AB11" s="1386">
        <f t="shared" si="3"/>
        <v>2.68</v>
      </c>
      <c r="AC11" s="1386">
        <f t="shared" si="3"/>
        <v>2.68</v>
      </c>
      <c r="AD11" s="1386">
        <f t="shared" si="3"/>
        <v>2.68</v>
      </c>
      <c r="AE11" s="1386">
        <f t="shared" si="3"/>
        <v>2.68</v>
      </c>
      <c r="AF11" s="1386">
        <f t="shared" si="3"/>
        <v>2.68</v>
      </c>
      <c r="AG11" s="1386">
        <f t="shared" si="3"/>
        <v>2.68</v>
      </c>
      <c r="AH11" s="1386">
        <f t="shared" si="3"/>
        <v>2.68</v>
      </c>
      <c r="AI11" s="1386">
        <f t="shared" si="3"/>
        <v>2.68</v>
      </c>
      <c r="AJ11" s="1386">
        <f t="shared" si="3"/>
        <v>2.68</v>
      </c>
    </row>
    <row r="12" spans="1:36" ht="25.5" thickBot="1">
      <c r="A12" s="3489" t="s">
        <v>2646</v>
      </c>
      <c r="B12" s="2218" t="s">
        <v>2647</v>
      </c>
      <c r="C12" s="858">
        <f>ROUND(C15*D15*E15*F15*G15*H15*I15*J15,4)</f>
        <v>1</v>
      </c>
      <c r="D12" s="2219" t="s">
        <v>2648</v>
      </c>
      <c r="E12" s="2220"/>
      <c r="F12" s="2220"/>
      <c r="G12" s="2221"/>
      <c r="H12" s="2221"/>
      <c r="I12" s="2221"/>
      <c r="J12" s="2222"/>
      <c r="K12" s="1280"/>
      <c r="L12" s="2223" t="s">
        <v>2649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507"/>
      <c r="X12" s="1387" t="s">
        <v>2650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513"/>
      <c r="B13" s="2224" t="s">
        <v>2651</v>
      </c>
      <c r="C13" s="2225" t="s">
        <v>2652</v>
      </c>
      <c r="D13" s="1533" t="s">
        <v>2653</v>
      </c>
      <c r="E13" s="1533" t="s">
        <v>2654</v>
      </c>
      <c r="F13" s="30" t="s">
        <v>2655</v>
      </c>
      <c r="G13" s="2226" t="s">
        <v>2656</v>
      </c>
      <c r="H13" s="2226" t="s">
        <v>2656</v>
      </c>
      <c r="I13" s="2226" t="s">
        <v>2656</v>
      </c>
      <c r="J13" s="2227" t="s">
        <v>2656</v>
      </c>
      <c r="K13" s="1280"/>
      <c r="L13" s="1280"/>
      <c r="M13" s="1280"/>
      <c r="N13" s="1280"/>
      <c r="O13" s="1280"/>
      <c r="P13" s="1280"/>
      <c r="Q13" s="1280"/>
      <c r="R13" s="1373">
        <v>12</v>
      </c>
      <c r="S13" s="1374"/>
      <c r="T13" s="1373" t="e">
        <f t="shared" si="0"/>
        <v>#DIV/0!</v>
      </c>
      <c r="U13" s="1374"/>
      <c r="V13" s="1373" t="e">
        <f t="shared" si="1"/>
        <v>#DIV/0!</v>
      </c>
      <c r="W13" s="3507"/>
      <c r="X13" s="1387"/>
      <c r="Y13" s="1384">
        <f>(-0.163*(Y12^2)-0.59*Y12+7617)*(10^(-4))/Y11</f>
        <v>0.28421641791044777</v>
      </c>
      <c r="Z13" s="1384">
        <f t="shared" ref="Z13:AJ13" si="5">(-0.163*(Z12^2)-0.59*Z12+7617)*(10^(-4))/Z11</f>
        <v>0.28421641791044777</v>
      </c>
      <c r="AA13" s="1384">
        <f t="shared" si="5"/>
        <v>0.28421641791044777</v>
      </c>
      <c r="AB13" s="1384">
        <f t="shared" si="5"/>
        <v>0.28421641791044777</v>
      </c>
      <c r="AC13" s="1384">
        <f t="shared" si="5"/>
        <v>0.28421641791044777</v>
      </c>
      <c r="AD13" s="1384">
        <f t="shared" si="5"/>
        <v>0.28421641791044777</v>
      </c>
      <c r="AE13" s="1384">
        <f t="shared" si="5"/>
        <v>0.28421641791044777</v>
      </c>
      <c r="AF13" s="1384">
        <f t="shared" si="5"/>
        <v>0.28421641791044777</v>
      </c>
      <c r="AG13" s="1384">
        <f t="shared" si="5"/>
        <v>0.28421641791044777</v>
      </c>
      <c r="AH13" s="1384">
        <f t="shared" si="5"/>
        <v>0.28421641791044777</v>
      </c>
      <c r="AI13" s="1384">
        <f t="shared" si="5"/>
        <v>0.28421641791044777</v>
      </c>
      <c r="AJ13" s="1384">
        <f t="shared" si="5"/>
        <v>0.28421641791044777</v>
      </c>
    </row>
    <row r="14" spans="1:36" ht="15">
      <c r="A14" s="3513"/>
      <c r="B14" s="2228"/>
      <c r="C14" s="2229"/>
      <c r="D14" s="2230"/>
      <c r="E14" s="2230"/>
      <c r="F14" s="2231"/>
      <c r="G14" s="2232" t="s">
        <v>2657</v>
      </c>
      <c r="H14" s="2233"/>
      <c r="I14" s="2234"/>
      <c r="J14" s="2235"/>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1"/>
      <c r="AE14" s="3011"/>
      <c r="AF14" s="3011"/>
      <c r="AG14" s="3011"/>
      <c r="AH14" s="3011"/>
      <c r="AI14" s="3011"/>
      <c r="AJ14" s="3012"/>
    </row>
    <row r="15" spans="1:36" ht="15.75" thickBot="1">
      <c r="A15" s="3514"/>
      <c r="B15" s="2236" t="s">
        <v>2658</v>
      </c>
      <c r="C15" s="193">
        <f>IF(C14="有",1.1,1)</f>
        <v>1</v>
      </c>
      <c r="D15" s="193">
        <f>IF(D14="有",1.1,1)</f>
        <v>1</v>
      </c>
      <c r="E15" s="193">
        <f>IF(E14="有",1.1,1)</f>
        <v>1</v>
      </c>
      <c r="F15" s="193">
        <f>IF(F14="500米范围内",1.2,IF(F14="500-1000米",1.1,1))</f>
        <v>1</v>
      </c>
      <c r="G15" s="883">
        <v>1</v>
      </c>
      <c r="H15" s="883">
        <v>1</v>
      </c>
      <c r="I15" s="883">
        <v>1</v>
      </c>
      <c r="J15" s="884">
        <v>1</v>
      </c>
      <c r="K15" s="1280"/>
      <c r="L15" s="2179"/>
      <c r="M15" s="2179"/>
      <c r="N15" s="2179"/>
      <c r="O15" s="2179"/>
      <c r="P15" s="2179"/>
      <c r="Q15" s="1280"/>
      <c r="R15" s="1373">
        <v>14</v>
      </c>
      <c r="S15" s="1374"/>
      <c r="T15" s="1373" t="e">
        <f t="shared" si="0"/>
        <v>#DIV/0!</v>
      </c>
      <c r="U15" s="1374"/>
      <c r="V15" s="1373" t="e">
        <f t="shared" si="1"/>
        <v>#DIV/0!</v>
      </c>
      <c r="W15" s="1377"/>
      <c r="X15" s="1377"/>
      <c r="Y15" s="1377"/>
      <c r="Z15" s="1377"/>
      <c r="AA15" s="1377"/>
      <c r="AB15" s="1377"/>
      <c r="AC15" s="1378"/>
      <c r="AD15" s="3011"/>
      <c r="AE15" s="3011"/>
      <c r="AF15" s="3011"/>
      <c r="AG15" s="3011"/>
      <c r="AH15" s="3011"/>
      <c r="AI15" s="3011"/>
      <c r="AJ15" s="3012"/>
    </row>
    <row r="16" spans="1:36" ht="24.6" customHeight="1">
      <c r="A16" s="3489" t="s">
        <v>2663</v>
      </c>
      <c r="B16" s="2205" t="s">
        <v>2664</v>
      </c>
      <c r="C16" s="2367" t="e">
        <f>ROUND(IF(F17="与级别开发程度一致",0,(G17-E17)/C17),0)</f>
        <v>#DIV/0!</v>
      </c>
      <c r="D16" s="3502" t="s">
        <v>2668</v>
      </c>
      <c r="E16" s="3503"/>
      <c r="F16" s="3502" t="s">
        <v>2665</v>
      </c>
      <c r="G16" s="3503"/>
      <c r="H16" s="2237"/>
      <c r="I16" s="2237"/>
      <c r="J16" s="2371"/>
      <c r="K16" s="2237"/>
      <c r="L16" s="2237"/>
      <c r="M16" s="2237"/>
      <c r="N16" s="2237"/>
      <c r="O16" s="2238"/>
      <c r="P16" s="2179"/>
      <c r="Q16" s="1280"/>
      <c r="R16" s="1373">
        <v>15</v>
      </c>
      <c r="S16" s="1374"/>
      <c r="T16" s="1373" t="e">
        <f t="shared" si="0"/>
        <v>#DIV/0!</v>
      </c>
      <c r="U16" s="1374"/>
      <c r="V16" s="1373" t="e">
        <f t="shared" si="1"/>
        <v>#DIV/0!</v>
      </c>
      <c r="W16" s="1377"/>
      <c r="X16" s="1377"/>
      <c r="Y16" s="1377"/>
      <c r="Z16" s="1377"/>
      <c r="AA16" s="1377"/>
      <c r="AB16" s="1377"/>
      <c r="AC16" s="1378"/>
      <c r="AD16" s="3011"/>
      <c r="AE16" s="3011"/>
      <c r="AF16" s="3011"/>
      <c r="AG16" s="3011"/>
      <c r="AH16" s="3011"/>
      <c r="AI16" s="3011"/>
      <c r="AJ16" s="3012"/>
    </row>
    <row r="17" spans="1:37" ht="13.5" thickBot="1">
      <c r="A17" s="3490"/>
      <c r="B17" s="2378" t="s">
        <v>2667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80"/>
      <c r="R17" s="1280"/>
      <c r="S17" s="1280"/>
      <c r="T17" s="1280"/>
      <c r="U17" s="1280"/>
      <c r="V17" s="1280"/>
      <c r="W17" s="1280"/>
      <c r="X17" s="1280"/>
      <c r="Y17" s="1280"/>
      <c r="Z17" s="1281"/>
      <c r="AA17" s="1281"/>
      <c r="AB17" s="1281"/>
      <c r="AC17" s="1281"/>
      <c r="AD17" s="1281"/>
      <c r="AE17" s="1280"/>
      <c r="AF17" s="1280"/>
      <c r="AG17" s="2179"/>
      <c r="AH17" s="2179"/>
      <c r="AI17" s="2179"/>
      <c r="AJ17" s="2179"/>
    </row>
    <row r="18" spans="1:37" s="2198" customFormat="1" ht="15.75" thickBot="1">
      <c r="A18" s="2372" t="s">
        <v>808</v>
      </c>
      <c r="B18" s="2373" t="s">
        <v>2670</v>
      </c>
      <c r="C18" s="2374">
        <f>SUMIF(修正!C18:C39,E3,修正!E18:E39)</f>
        <v>0</v>
      </c>
      <c r="D18" s="2375"/>
      <c r="E18" s="2376"/>
      <c r="F18" s="2376"/>
      <c r="G18" s="2376"/>
      <c r="H18" s="2376"/>
      <c r="I18" s="2376"/>
      <c r="J18" s="2377"/>
      <c r="K18" s="1287"/>
      <c r="L18" s="3010"/>
      <c r="M18" s="3010"/>
      <c r="N18" s="3010"/>
      <c r="O18" s="1285"/>
      <c r="P18" s="1285"/>
      <c r="Q18" s="1286"/>
      <c r="R18" s="1286"/>
      <c r="S18" s="1286"/>
      <c r="T18" s="1281"/>
      <c r="U18" s="1281"/>
      <c r="V18" s="1281"/>
      <c r="W18" s="1280"/>
      <c r="X18" s="1280"/>
      <c r="Y18" s="1280"/>
      <c r="Z18" s="1287"/>
      <c r="AA18" s="1287"/>
      <c r="AB18" s="1287"/>
      <c r="AC18" s="1287"/>
      <c r="AD18" s="1287"/>
      <c r="AE18" s="1281"/>
      <c r="AF18" s="1281"/>
      <c r="AG18" s="2336"/>
      <c r="AH18" s="2336"/>
      <c r="AI18" s="2336"/>
      <c r="AJ18" s="3010"/>
    </row>
    <row r="19" spans="1:37" s="2198" customFormat="1" ht="27.75" thickBot="1">
      <c r="A19" s="2242" t="s">
        <v>809</v>
      </c>
      <c r="B19" s="2243" t="s">
        <v>2671</v>
      </c>
      <c r="C19" s="863" t="e">
        <f>ROUND(IF(H19="按公示增长率计算",SUMPRODUCT((地价!A3:A34=YEAR(G19)&amp;"-"&amp;ROUNDUP(MONTH(G19)/3,0))*(地价!X2:AB2=E2)*(地价!X3:AB34)),IF(H19="地价指数",M20/M19,(1+I19)^O19)),4)</f>
        <v>#VALUE!</v>
      </c>
      <c r="D19" s="2247" t="s">
        <v>2672</v>
      </c>
      <c r="E19" s="864">
        <v>41640</v>
      </c>
      <c r="F19" s="2247" t="s">
        <v>2673</v>
      </c>
      <c r="G19" s="865">
        <f>'数据-取费表'!B2</f>
        <v>44314</v>
      </c>
      <c r="H19" s="2248"/>
      <c r="I19" s="866" t="str">
        <f>IF(H19="季度增幅（自定义）",SUMIF(N21:N24,E2,O21:O24),"")</f>
        <v/>
      </c>
      <c r="J19" s="2245"/>
      <c r="K19" s="1287"/>
      <c r="L19" s="2249" t="s">
        <v>2674</v>
      </c>
      <c r="M19" s="1495">
        <f>ROUND(SUMIF(地价!B2:F2,E2,地价!B34:F34),0)</f>
        <v>0</v>
      </c>
      <c r="N19" s="2250" t="s">
        <v>2675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3"/>
      <c r="AH19" s="2336"/>
      <c r="AI19" s="3014"/>
      <c r="AJ19" s="3014"/>
      <c r="AK19" s="2251"/>
    </row>
    <row r="20" spans="1:37" s="2198" customFormat="1" ht="27.75" thickBot="1">
      <c r="A20" s="2252" t="s">
        <v>810</v>
      </c>
      <c r="B20" s="2253" t="s">
        <v>2676</v>
      </c>
      <c r="C20" s="868" t="e">
        <f>ROUND(POWER(1+G20,J20-I20)*(POWER(1+G20,I20)-1)/(POWER(1+G20,J20)-1),4)</f>
        <v>#DIV/0!</v>
      </c>
      <c r="D20" s="2254" t="s">
        <v>2677</v>
      </c>
      <c r="E20" s="1504">
        <f>存贷款利率!E18/100</f>
        <v>4.3499999999999997E-2</v>
      </c>
      <c r="F20" s="2254" t="s">
        <v>2669</v>
      </c>
      <c r="G20" s="873">
        <f>SUMIF(M26:P26,E2,M28:P28)</f>
        <v>0</v>
      </c>
      <c r="H20" s="2254" t="s">
        <v>2678</v>
      </c>
      <c r="I20" s="874" t="e">
        <f>SUMIF('数据-取费表'!C6:C15,E2,'数据-取费表'!F6:F15)/COUNTIF('数据-取费表'!C6:C15,E2)</f>
        <v>#DIV/0!</v>
      </c>
      <c r="J20" s="875">
        <f>IF(E2="住宅",70,IF(E2="商业",40,50))</f>
        <v>50</v>
      </c>
      <c r="K20" s="1287"/>
      <c r="L20" s="2255" t="s">
        <v>2679</v>
      </c>
      <c r="M20" s="1496">
        <f>ROUND(SUMPRODUCT((地价!A4:A34=YEAR(G19)&amp;"-"&amp;ROUNDUP(MONTH(G19)/3,0))*(地价!B2:F2=E2)*(地价!B4:F34)),0)</f>
        <v>0</v>
      </c>
      <c r="N20" s="2256" t="s">
        <v>2680</v>
      </c>
      <c r="O20" s="2257" t="s">
        <v>2681</v>
      </c>
      <c r="P20" s="2258" t="s">
        <v>2682</v>
      </c>
      <c r="Q20" s="3010"/>
      <c r="R20" s="1286"/>
      <c r="S20" s="1286"/>
      <c r="T20" s="1281"/>
      <c r="U20" s="1281"/>
      <c r="V20" s="1281"/>
      <c r="W20" s="1280"/>
      <c r="X20" s="1280"/>
      <c r="Y20" s="1280"/>
      <c r="Z20" s="1287"/>
      <c r="AA20" s="1287"/>
      <c r="AB20" s="1287"/>
      <c r="AC20" s="1287"/>
      <c r="AD20" s="1287"/>
      <c r="AE20" s="1287"/>
      <c r="AF20" s="1287"/>
      <c r="AG20" s="3010"/>
      <c r="AH20" s="3010"/>
      <c r="AI20" s="3010"/>
      <c r="AJ20" s="3010"/>
    </row>
    <row r="21" spans="1:37" s="2198" customFormat="1" ht="15">
      <c r="A21" s="2259" t="s">
        <v>811</v>
      </c>
      <c r="B21" s="2260" t="s">
        <v>2683</v>
      </c>
      <c r="C21" s="876">
        <f>IF(B21="容积率修正",IF(G3&lt;=10,D22,J22),C23)</f>
        <v>0</v>
      </c>
      <c r="D21" s="2261"/>
      <c r="E21" s="2261"/>
      <c r="F21" s="2261"/>
      <c r="G21" s="2261"/>
      <c r="H21" s="2261"/>
      <c r="I21" s="2261"/>
      <c r="J21" s="2262"/>
      <c r="K21" s="1287"/>
      <c r="L21" s="3010"/>
      <c r="M21" s="3010"/>
      <c r="N21" s="2263" t="s">
        <v>2684</v>
      </c>
      <c r="O21" s="1334"/>
      <c r="P21" s="1335">
        <f>SUMPRODUCT((地价!A3:A34=YEAR(G19)&amp;"-"&amp;ROUNDUP(MONTH(G19)/3,0))*(地价!AD2:AH2=N21)*(地价!AD3:AH34))</f>
        <v>1.09E-2</v>
      </c>
      <c r="Q21" s="3010"/>
      <c r="R21" s="1286"/>
      <c r="S21" s="1286"/>
      <c r="T21" s="1281"/>
      <c r="U21" s="1281"/>
      <c r="V21" s="1281"/>
      <c r="W21" s="1280"/>
      <c r="X21" s="1280"/>
      <c r="Y21" s="1280"/>
      <c r="Z21" s="1287"/>
      <c r="AA21" s="1287"/>
      <c r="AB21" s="1287"/>
      <c r="AC21" s="1287"/>
      <c r="AD21" s="1287"/>
      <c r="AE21" s="1287"/>
      <c r="AF21" s="1287"/>
      <c r="AG21" s="3010"/>
      <c r="AH21" s="3010"/>
      <c r="AI21" s="3010"/>
      <c r="AJ21" s="3010"/>
    </row>
    <row r="22" spans="1:37" s="2198" customFormat="1" ht="14.25">
      <c r="A22" s="2137" t="s">
        <v>2685</v>
      </c>
      <c r="B22" s="2264" t="s">
        <v>2686</v>
      </c>
      <c r="C22" s="1535" t="s">
        <v>2687</v>
      </c>
      <c r="D22" s="1535">
        <f>IF(E22=G22,F22,IF(G3&lt;=10,ROUND(F22+(H22-F22)*(G3-E22)/(G22-E22),4),"——"))</f>
        <v>0</v>
      </c>
      <c r="E22" s="855">
        <f>ROUNDDOWN(G3,1)</f>
        <v>2.6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2.7</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0"/>
      <c r="M22" s="3010"/>
      <c r="N22" s="2263" t="s">
        <v>2688</v>
      </c>
      <c r="O22" s="1334"/>
      <c r="P22" s="1335">
        <f>SUMPRODUCT((地价!A3:A34=YEAR(G19)&amp;"-"&amp;ROUNDUP(MONTH(G19)/3,0))*(地价!AD2:AH2=N22)*(地价!AD3:AH34))</f>
        <v>1.09E-2</v>
      </c>
      <c r="Q22" s="3010"/>
      <c r="R22" s="1286"/>
      <c r="S22" s="1286"/>
      <c r="T22" s="1281"/>
      <c r="U22" s="1281"/>
      <c r="V22" s="1281"/>
      <c r="W22" s="1280"/>
      <c r="X22" s="1280"/>
      <c r="Y22" s="1280"/>
      <c r="Z22" s="1287"/>
      <c r="AA22" s="1287"/>
      <c r="AB22" s="1287"/>
      <c r="AC22" s="1287"/>
      <c r="AD22" s="1287"/>
      <c r="AE22" s="1287"/>
      <c r="AF22" s="1287"/>
      <c r="AG22" s="3010"/>
      <c r="AH22" s="3010"/>
      <c r="AI22" s="3010"/>
      <c r="AJ22" s="3010"/>
    </row>
    <row r="23" spans="1:37" ht="27.75" thickBot="1">
      <c r="A23" s="2137" t="s">
        <v>2689</v>
      </c>
      <c r="B23" s="2265" t="s">
        <v>2690</v>
      </c>
      <c r="C23" s="950">
        <f>ROUND(IF(G3&gt;1,IF(I3&lt;7,SUMPRODUCT((B93:B98=I3)*(C92:N92=G2)*(C93:N98)),SUMIF(C92:N92,G2,C100:N100)),IF(I3&lt;7,SUMPRODUCT((B102:B107=I3)*(C92:N92=G2)*(C102:N107)),SUMIF(C92:N92,G2,C109:N109))),4)</f>
        <v>0</v>
      </c>
      <c r="D23" s="2233"/>
      <c r="E23" s="2233"/>
      <c r="F23" s="2266"/>
      <c r="G23" s="2267"/>
      <c r="H23" s="2268"/>
      <c r="I23" s="2269"/>
      <c r="J23" s="2270"/>
      <c r="K23" s="1280"/>
      <c r="L23" s="2179"/>
      <c r="M23" s="2179"/>
      <c r="N23" s="2263" t="s">
        <v>2691</v>
      </c>
      <c r="O23" s="1334"/>
      <c r="P23" s="1335">
        <f>SUMPRODUCT((地价!A3:A34=YEAR(G19)&amp;"-"&amp;ROUNDUP(MONTH(G19)/3,0))*(地价!AD2:AH2=N23)*(地价!AD3:AH34))</f>
        <v>1.9E-2</v>
      </c>
      <c r="Q23" s="2179"/>
      <c r="R23" s="1286"/>
      <c r="S23" s="1286"/>
      <c r="T23" s="1281"/>
      <c r="U23" s="1281"/>
      <c r="V23" s="1281"/>
      <c r="W23" s="1280"/>
      <c r="X23" s="1280"/>
      <c r="Y23" s="1280"/>
      <c r="Z23" s="1287"/>
      <c r="AA23" s="1287"/>
      <c r="AB23" s="1287"/>
      <c r="AC23" s="1287"/>
      <c r="AD23" s="1287"/>
      <c r="AE23" s="1281"/>
      <c r="AF23" s="1281"/>
      <c r="AG23" s="2336"/>
      <c r="AH23" s="2336"/>
      <c r="AI23" s="2336"/>
      <c r="AJ23" s="2336"/>
      <c r="AK23" s="2246"/>
    </row>
    <row r="24" spans="1:37" s="2198" customFormat="1" ht="15.75" thickBot="1">
      <c r="A24" s="2252" t="s">
        <v>812</v>
      </c>
      <c r="B24" s="2243" t="s">
        <v>2692</v>
      </c>
      <c r="C24" s="863">
        <f>SUMIF(A45:A88,E2,B45:B88)</f>
        <v>0</v>
      </c>
      <c r="D24" s="2244"/>
      <c r="E24" s="2271"/>
      <c r="F24" s="2271"/>
      <c r="G24" s="2271"/>
      <c r="H24" s="2271"/>
      <c r="I24" s="2271"/>
      <c r="J24" s="2272"/>
      <c r="K24" s="1287"/>
      <c r="L24" s="3010"/>
      <c r="M24" s="3010"/>
      <c r="N24" s="2273" t="s">
        <v>2693</v>
      </c>
      <c r="O24" s="1336"/>
      <c r="P24" s="1337">
        <f>SUMPRODUCT((地价!A3:A34=YEAR(G19)&amp;"-"&amp;ROUNDUP(MONTH(G19)/3,0))*(地价!AD2:AH2=N24)*(地价!AD3:AH34))</f>
        <v>1.2500000000000001E-2</v>
      </c>
      <c r="Q24" s="3010"/>
      <c r="R24" s="1286"/>
      <c r="S24" s="1286"/>
      <c r="T24" s="1281"/>
      <c r="U24" s="1281"/>
      <c r="V24" s="1281"/>
      <c r="W24" s="1280"/>
      <c r="X24" s="1280"/>
      <c r="Y24" s="1280"/>
      <c r="Z24" s="1287"/>
      <c r="AA24" s="1287"/>
      <c r="AB24" s="1287"/>
      <c r="AC24" s="1287"/>
      <c r="AD24" s="1287"/>
      <c r="AE24" s="1287"/>
      <c r="AF24" s="1287"/>
      <c r="AG24" s="3010"/>
      <c r="AH24" s="3010"/>
      <c r="AI24" s="3010"/>
      <c r="AJ24" s="3010"/>
    </row>
    <row r="25" spans="1:37" ht="15.75" thickBot="1">
      <c r="A25" s="2252" t="s">
        <v>813</v>
      </c>
      <c r="B25" s="2274" t="s">
        <v>2694</v>
      </c>
      <c r="C25" s="869"/>
      <c r="D25" s="2208"/>
      <c r="E25" s="2208"/>
      <c r="F25" s="2275"/>
      <c r="G25" s="2208"/>
      <c r="H25" s="2208"/>
      <c r="I25" s="2208"/>
      <c r="J25" s="2209"/>
      <c r="K25" s="1280"/>
      <c r="L25" s="2179"/>
      <c r="M25" s="2179"/>
      <c r="N25" s="3005" t="s">
        <v>2695</v>
      </c>
      <c r="O25" s="3006"/>
      <c r="P25" s="3007">
        <f>SUMPRODUCT((地价!A3:A34=YEAR(G19)&amp;"-"&amp;ROUNDUP(MONTH(G19)/3,0))*(地价!AD2:AH2=N25)*(地价!AD3:AH34))</f>
        <v>1.7299999999999999E-2</v>
      </c>
      <c r="Q25" s="2179"/>
      <c r="R25" s="1286"/>
      <c r="S25" s="1286"/>
      <c r="T25" s="1281"/>
      <c r="U25" s="1281"/>
      <c r="V25" s="1281"/>
      <c r="W25" s="1280"/>
      <c r="X25" s="1280"/>
      <c r="Y25" s="1280"/>
      <c r="Z25" s="1287"/>
      <c r="AA25" s="1287"/>
      <c r="AB25" s="1287"/>
      <c r="AC25" s="1287"/>
      <c r="AD25" s="1287"/>
      <c r="AE25" s="1281"/>
      <c r="AF25" s="1281"/>
      <c r="AG25" s="2336"/>
      <c r="AH25" s="2336"/>
      <c r="AI25" s="2336"/>
      <c r="AJ25" s="2336"/>
    </row>
    <row r="26" spans="1:37" ht="15">
      <c r="A26" s="2276"/>
      <c r="B26" s="2264" t="s">
        <v>2696</v>
      </c>
      <c r="C26" s="2538" t="e">
        <f>IF(B21="容积率修正",E29+SUM(E33:E39),SUM(V2:V16)+SUM(E33:E39))</f>
        <v>#DIV/0!</v>
      </c>
      <c r="D26" s="2277"/>
      <c r="E26" s="2233"/>
      <c r="F26" s="2278"/>
      <c r="G26" s="2233"/>
      <c r="H26" s="2233"/>
      <c r="I26" s="2233"/>
      <c r="J26" s="2279"/>
      <c r="K26" s="1280"/>
      <c r="L26" s="3008" t="s">
        <v>2594</v>
      </c>
      <c r="M26" s="2206" t="s">
        <v>2659</v>
      </c>
      <c r="N26" s="2206" t="s">
        <v>2660</v>
      </c>
      <c r="O26" s="2206" t="s">
        <v>2661</v>
      </c>
      <c r="P26" s="3009" t="s">
        <v>2662</v>
      </c>
      <c r="Q26" s="2179"/>
      <c r="R26" s="1286"/>
      <c r="S26" s="1286"/>
      <c r="T26" s="1281"/>
      <c r="U26" s="1281"/>
      <c r="V26" s="1281"/>
      <c r="W26" s="1280"/>
      <c r="X26" s="1280"/>
      <c r="Y26" s="1280"/>
      <c r="Z26" s="1287"/>
      <c r="AA26" s="1287"/>
      <c r="AB26" s="1287"/>
      <c r="AC26" s="1287"/>
      <c r="AD26" s="1287"/>
      <c r="AE26" s="1281"/>
      <c r="AF26" s="1281"/>
      <c r="AG26" s="2336"/>
      <c r="AH26" s="2336"/>
      <c r="AI26" s="2336"/>
      <c r="AJ26" s="2336"/>
    </row>
    <row r="27" spans="1:37" ht="15.75" thickBot="1">
      <c r="A27" s="2276"/>
      <c r="B27" s="2280" t="s">
        <v>2697</v>
      </c>
      <c r="C27" s="870" t="e">
        <f>E30+SUM(I33:I39)</f>
        <v>#DIV/0!</v>
      </c>
      <c r="D27" s="2281"/>
      <c r="E27" s="2282"/>
      <c r="F27" s="2283"/>
      <c r="G27" s="2282"/>
      <c r="H27" s="2282"/>
      <c r="I27" s="2282"/>
      <c r="J27" s="2284"/>
      <c r="K27" s="1280"/>
      <c r="L27" s="2239" t="s">
        <v>2666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6"/>
      <c r="AH27" s="2336"/>
      <c r="AI27" s="2336"/>
      <c r="AJ27" s="2336"/>
    </row>
    <row r="28" spans="1:37" ht="15.75" thickBot="1">
      <c r="A28" s="2285"/>
      <c r="B28" s="2286" t="s">
        <v>2698</v>
      </c>
      <c r="C28" s="2287" t="s">
        <v>2699</v>
      </c>
      <c r="D28" s="2287" t="s">
        <v>2700</v>
      </c>
      <c r="E28" s="2288" t="s">
        <v>2701</v>
      </c>
      <c r="F28" s="2289"/>
      <c r="G28" s="2221"/>
      <c r="H28" s="2221"/>
      <c r="I28" s="2221"/>
      <c r="J28" s="2222"/>
      <c r="K28" s="1280"/>
      <c r="L28" s="2240" t="s">
        <v>2669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6"/>
      <c r="AH28" s="2336"/>
      <c r="AI28" s="2336"/>
      <c r="AJ28" s="2336"/>
    </row>
    <row r="29" spans="1:37" ht="22.5" customHeight="1">
      <c r="A29" s="2290"/>
      <c r="B29" s="2291" t="s">
        <v>2702</v>
      </c>
      <c r="C29" s="180" t="e">
        <f>ROUND(C5*C18*C19*C20*C21*C24,0)</f>
        <v>#DIV/0!</v>
      </c>
      <c r="D29" s="2292"/>
      <c r="E29" s="879" t="e">
        <f>ROUND(C29*D29/10000,0)</f>
        <v>#DIV/0!</v>
      </c>
      <c r="F29" s="2293" t="s">
        <v>2703</v>
      </c>
      <c r="G29" s="2294"/>
      <c r="H29" s="2294"/>
      <c r="I29" s="2294"/>
      <c r="J29" s="2295"/>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79"/>
      <c r="AH29" s="2179"/>
      <c r="AI29" s="2179"/>
      <c r="AJ29" s="2179"/>
    </row>
    <row r="30" spans="1:37" ht="25.5" thickBot="1">
      <c r="A30" s="2296"/>
      <c r="B30" s="2297" t="s">
        <v>2704</v>
      </c>
      <c r="C30" s="193" t="e">
        <f>ROUND(IF(E2="工业",C29*M39,C29*M38),0)</f>
        <v>#DIV/0!</v>
      </c>
      <c r="D30" s="2298"/>
      <c r="E30" s="879" t="e">
        <f>ROUND(C30*D30/10000,0)</f>
        <v>#DIV/0!</v>
      </c>
      <c r="F30" s="2299" t="s">
        <v>2705</v>
      </c>
      <c r="G30" s="2300"/>
      <c r="H30" s="2300"/>
      <c r="I30" s="2300"/>
      <c r="J30" s="2301"/>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79"/>
      <c r="AH30" s="2179"/>
      <c r="AI30" s="2179"/>
      <c r="AJ30" s="2179"/>
    </row>
    <row r="31" spans="1:37" ht="14.25">
      <c r="A31" s="2302"/>
      <c r="B31" s="2303" t="s">
        <v>2706</v>
      </c>
      <c r="C31" s="2304" t="s">
        <v>2707</v>
      </c>
      <c r="D31" s="2221"/>
      <c r="E31" s="2304"/>
      <c r="F31" s="2304"/>
      <c r="G31" s="2219" t="s">
        <v>2708</v>
      </c>
      <c r="H31" s="2221"/>
      <c r="I31" s="2305"/>
      <c r="J31" s="2222"/>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79"/>
      <c r="AH31" s="2179"/>
      <c r="AI31" s="2179"/>
      <c r="AJ31" s="2179"/>
    </row>
    <row r="32" spans="1:37" ht="24">
      <c r="A32" s="2290"/>
      <c r="B32" s="2306"/>
      <c r="C32" s="458" t="s">
        <v>2699</v>
      </c>
      <c r="D32" s="455" t="s">
        <v>2700</v>
      </c>
      <c r="E32" s="455" t="s">
        <v>2701</v>
      </c>
      <c r="F32" s="348" t="s">
        <v>2709</v>
      </c>
      <c r="G32" s="2307" t="s">
        <v>2699</v>
      </c>
      <c r="H32" s="2307" t="s">
        <v>2700</v>
      </c>
      <c r="I32" s="2307" t="s">
        <v>2701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79"/>
      <c r="AH32" s="2179"/>
      <c r="AI32" s="2179"/>
      <c r="AJ32" s="2179"/>
    </row>
    <row r="33" spans="1:37" ht="36" customHeight="1">
      <c r="A33" s="3499"/>
      <c r="B33" s="2308" t="s">
        <v>2710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504" t="s">
        <v>3012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6"/>
      <c r="AH33" s="2336"/>
      <c r="AI33" s="2336"/>
      <c r="AJ33" s="2336"/>
    </row>
    <row r="34" spans="1:37" ht="14.25">
      <c r="A34" s="3500"/>
      <c r="B34" s="2225" t="s">
        <v>2711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6"/>
      <c r="AH34" s="2336"/>
      <c r="AI34" s="2336"/>
      <c r="AJ34" s="2336"/>
    </row>
    <row r="35" spans="1:37">
      <c r="A35" s="3500"/>
      <c r="B35" s="2225" t="s">
        <v>2712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50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6"/>
      <c r="AH35" s="2336"/>
      <c r="AI35" s="2336"/>
      <c r="AJ35" s="2336"/>
    </row>
    <row r="36" spans="1:37" ht="13.5" thickBot="1">
      <c r="A36" s="3501"/>
      <c r="B36" s="2225" t="s">
        <v>2713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501"/>
      <c r="K36" s="1280"/>
      <c r="L36" s="2179"/>
      <c r="M36" s="2179"/>
      <c r="N36" s="1280"/>
      <c r="O36" s="1280"/>
      <c r="P36" s="1280"/>
      <c r="Q36" s="1280"/>
      <c r="R36" s="1280"/>
      <c r="S36" s="1280"/>
      <c r="T36" s="1280"/>
      <c r="U36" s="1280"/>
      <c r="V36" s="1280"/>
      <c r="W36" s="1280"/>
      <c r="X36" s="1280"/>
      <c r="Y36" s="1280"/>
      <c r="Z36" s="1281"/>
      <c r="AA36" s="1281"/>
      <c r="AB36" s="1281"/>
      <c r="AC36" s="1281"/>
      <c r="AD36" s="1281"/>
      <c r="AE36" s="1281"/>
      <c r="AF36" s="1281"/>
      <c r="AG36" s="2336"/>
      <c r="AH36" s="2336"/>
      <c r="AI36" s="2336"/>
      <c r="AJ36" s="2336"/>
    </row>
    <row r="37" spans="1:37">
      <c r="A37" s="2310"/>
      <c r="B37" s="2225" t="s">
        <v>2714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80"/>
      <c r="L37" s="2311" t="s">
        <v>2715</v>
      </c>
      <c r="M37" s="2312"/>
      <c r="N37" s="1280"/>
      <c r="O37" s="1280"/>
      <c r="P37" s="1280"/>
      <c r="Q37" s="1280"/>
      <c r="R37" s="1280"/>
      <c r="S37" s="1280"/>
      <c r="T37" s="1280"/>
      <c r="U37" s="1280"/>
      <c r="V37" s="1280"/>
      <c r="W37" s="1280"/>
      <c r="X37" s="1280"/>
      <c r="Y37" s="1280"/>
      <c r="Z37" s="1281"/>
      <c r="AA37" s="1281"/>
      <c r="AB37" s="1281"/>
      <c r="AC37" s="1281"/>
      <c r="AD37" s="1281"/>
      <c r="AE37" s="1281"/>
      <c r="AF37" s="1281"/>
      <c r="AG37" s="2336"/>
      <c r="AH37" s="2336"/>
      <c r="AI37" s="2336"/>
      <c r="AJ37" s="2336"/>
    </row>
    <row r="38" spans="1:37">
      <c r="A38" s="2310"/>
      <c r="B38" s="2225" t="s">
        <v>2716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80"/>
      <c r="L38" s="1604" t="s">
        <v>2717</v>
      </c>
      <c r="M38" s="2313">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6"/>
      <c r="B39" s="2314" t="s">
        <v>2718</v>
      </c>
      <c r="C39" s="193" t="e">
        <f>ROUND(D5*C19*C41*C24*F39,0)</f>
        <v>#DIV/0!</v>
      </c>
      <c r="D39" s="2298"/>
      <c r="E39" s="193" t="e">
        <f t="shared" si="7"/>
        <v>#DIV/0!</v>
      </c>
      <c r="F39" s="871">
        <f>SUMIF(修正!A45:A56,G2,修正!H45:H56)</f>
        <v>0</v>
      </c>
      <c r="G39" s="193" t="e">
        <f>ROUND(IF(E2="工业",C39*$M$39,C39*$M$38),0)</f>
        <v>#DIV/0!</v>
      </c>
      <c r="H39" s="193">
        <f t="shared" si="8"/>
        <v>0</v>
      </c>
      <c r="I39" s="193" t="e">
        <f t="shared" si="9"/>
        <v>#DIV/0!</v>
      </c>
      <c r="J39" s="2315"/>
      <c r="K39" s="1280"/>
      <c r="L39" s="2316" t="s">
        <v>2662</v>
      </c>
      <c r="M39" s="2317">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6" t="s">
        <v>2823</v>
      </c>
      <c r="C41" s="348" t="e">
        <f>ROUND(POWER(1+E41,H41-G41)*(POWER(1+E41,G41)-1)/(POWER(1+E41,H41)-1),4)</f>
        <v>#DIV/0!</v>
      </c>
      <c r="D41" s="176" t="s">
        <v>2669</v>
      </c>
      <c r="E41" s="2365">
        <f>G20</f>
        <v>0</v>
      </c>
      <c r="F41" s="176" t="s">
        <v>2678</v>
      </c>
      <c r="G41" s="189"/>
      <c r="H41" s="176">
        <v>50</v>
      </c>
      <c r="Z41" s="1281"/>
      <c r="AA41" s="1281"/>
      <c r="AB41" s="1281"/>
      <c r="AC41" s="1281"/>
      <c r="AD41" s="1281"/>
      <c r="AE41" s="1281"/>
      <c r="AF41" s="1281"/>
      <c r="AG41" s="1281"/>
      <c r="AH41" s="1281"/>
      <c r="AI41" s="1281"/>
      <c r="AJ41" s="1281"/>
    </row>
    <row r="42" spans="1:37" s="1280" customFormat="1">
      <c r="A42" s="1281"/>
      <c r="B42" s="2318"/>
      <c r="Z42" s="1281"/>
      <c r="AA42" s="1281"/>
      <c r="AB42" s="1281"/>
      <c r="AC42" s="1281"/>
      <c r="AD42" s="1281"/>
      <c r="AE42" s="1281"/>
      <c r="AF42" s="1281"/>
      <c r="AG42" s="1281"/>
      <c r="AH42" s="1281"/>
      <c r="AI42" s="1281"/>
      <c r="AJ42" s="1281"/>
    </row>
    <row r="43" spans="1:37" s="1280" customFormat="1">
      <c r="A43" s="1281"/>
      <c r="B43" s="2318"/>
      <c r="Z43" s="1281"/>
      <c r="AA43" s="1281"/>
      <c r="AB43" s="1281"/>
      <c r="AC43" s="1281"/>
      <c r="AD43" s="1281"/>
      <c r="AE43" s="1281"/>
      <c r="AF43" s="1281"/>
      <c r="AG43" s="1281"/>
      <c r="AH43" s="1281"/>
      <c r="AI43" s="1281"/>
      <c r="AJ43" s="1281"/>
    </row>
    <row r="44" spans="1:37" s="1280" customFormat="1">
      <c r="A44" s="1281"/>
      <c r="B44" s="2318"/>
      <c r="Z44" s="1281"/>
      <c r="AA44" s="1281"/>
      <c r="AB44" s="1281"/>
      <c r="AC44" s="1281"/>
      <c r="AD44" s="1281"/>
      <c r="AE44" s="1281"/>
      <c r="AF44" s="1281"/>
      <c r="AG44" s="1281"/>
      <c r="AH44" s="1281"/>
      <c r="AI44" s="1281"/>
      <c r="AJ44" s="1281"/>
    </row>
    <row r="45" spans="1:37" s="1280" customFormat="1" ht="15.75" thickBot="1">
      <c r="A45" s="2319" t="s">
        <v>2719</v>
      </c>
      <c r="B45" s="2320"/>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1" t="s">
        <v>2720</v>
      </c>
      <c r="B46" s="2322">
        <f>1+E48</f>
        <v>1</v>
      </c>
      <c r="C46" s="2323"/>
      <c r="D46" s="753"/>
      <c r="E46" s="754"/>
      <c r="F46" s="2324"/>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5" t="s">
        <v>2721</v>
      </c>
      <c r="B47" s="1534" t="s">
        <v>2722</v>
      </c>
      <c r="C47" s="1534" t="s">
        <v>2723</v>
      </c>
      <c r="D47" s="1534" t="s">
        <v>2724</v>
      </c>
      <c r="E47" s="758" t="s">
        <v>2725</v>
      </c>
      <c r="F47" s="2326" t="s">
        <v>2726</v>
      </c>
      <c r="G47" s="1534" t="s">
        <v>754</v>
      </c>
      <c r="H47" s="2327" t="s">
        <v>2727</v>
      </c>
      <c r="I47" s="1534" t="s">
        <v>2728</v>
      </c>
      <c r="J47" s="560" t="s">
        <v>2378</v>
      </c>
      <c r="K47" s="560" t="s">
        <v>2379</v>
      </c>
      <c r="L47" s="560" t="s">
        <v>2380</v>
      </c>
      <c r="M47" s="560" t="s">
        <v>2381</v>
      </c>
      <c r="N47" s="560" t="s">
        <v>2382</v>
      </c>
      <c r="AA47" s="1281"/>
      <c r="AB47" s="1281"/>
      <c r="AC47" s="1281"/>
      <c r="AD47" s="1281"/>
      <c r="AE47" s="1281"/>
      <c r="AF47" s="1281"/>
      <c r="AG47" s="1281"/>
      <c r="AH47" s="1281"/>
      <c r="AI47" s="1281"/>
      <c r="AJ47" s="1281"/>
      <c r="AK47" s="1281"/>
    </row>
    <row r="48" spans="1:37" s="1280" customFormat="1" ht="24.75">
      <c r="A48" s="2325" t="s">
        <v>2729</v>
      </c>
      <c r="B48" s="2328">
        <f>估价对象房地状况!C4</f>
        <v>0</v>
      </c>
      <c r="C48" s="2230"/>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5" t="s">
        <v>2730</v>
      </c>
      <c r="B49" s="2329" t="str">
        <f>估价对象房地状况!C18</f>
        <v>估价对象周边道路状况、公共交通通达情况：341、453、555等公交线路及地铁八号线经过、停车便捷程度较好，综合评价交通便捷度较好</v>
      </c>
      <c r="C49" s="2230"/>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5" t="s">
        <v>2731</v>
      </c>
      <c r="B50" s="2329">
        <f>估价对象房地状况!C19</f>
        <v>0</v>
      </c>
      <c r="C50" s="2230"/>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5" t="s">
        <v>2732</v>
      </c>
      <c r="B51" s="2330" t="s">
        <v>2733</v>
      </c>
      <c r="C51" s="2230"/>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5" t="s">
        <v>2734</v>
      </c>
      <c r="B52" s="2329" t="str">
        <f>估价对象房地状况!C24</f>
        <v>城市次干道-德贤路</v>
      </c>
      <c r="C52" s="2230"/>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5" t="s">
        <v>2735</v>
      </c>
      <c r="B53" s="2331" t="s">
        <v>2736</v>
      </c>
      <c r="C53" s="2230"/>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2" t="s">
        <v>2737</v>
      </c>
      <c r="B54" s="1493" t="str">
        <f>估价对象房地状况!C21</f>
        <v>估价对象所在区域公共配套设施齐备情况一般</v>
      </c>
      <c r="C54" s="2230"/>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2" t="s">
        <v>2738</v>
      </c>
      <c r="B55" s="2329" t="str">
        <f>估价对象房地状况!C22</f>
        <v>估价对象所在区域基础设施水平较高</v>
      </c>
      <c r="C55" s="2230"/>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51.75" thickBot="1">
      <c r="A56" s="2333" t="s">
        <v>2739</v>
      </c>
      <c r="B56" s="2334" t="str">
        <f>估价对象房地状况!C20</f>
        <v>区域自然环境：南海子公园、旧宫公园、市民公园；人文环境；综合评价环境状况一般</v>
      </c>
      <c r="C56" s="2230"/>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1" t="s">
        <v>2740</v>
      </c>
      <c r="B57" s="2322">
        <f>1+E59</f>
        <v>1</v>
      </c>
      <c r="C57" s="753"/>
      <c r="D57" s="753"/>
      <c r="E57" s="754"/>
      <c r="F57" s="2324"/>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5" t="s">
        <v>2721</v>
      </c>
      <c r="B58" s="1534"/>
      <c r="C58" s="1534" t="s">
        <v>2723</v>
      </c>
      <c r="D58" s="1534" t="s">
        <v>2724</v>
      </c>
      <c r="E58" s="758" t="s">
        <v>2725</v>
      </c>
      <c r="F58" s="2326" t="s">
        <v>2741</v>
      </c>
      <c r="G58" s="1534" t="s">
        <v>754</v>
      </c>
      <c r="H58" s="2327" t="s">
        <v>2727</v>
      </c>
      <c r="I58" s="1534" t="s">
        <v>2728</v>
      </c>
      <c r="J58" s="560" t="s">
        <v>2378</v>
      </c>
      <c r="K58" s="560" t="s">
        <v>2379</v>
      </c>
      <c r="L58" s="560" t="s">
        <v>2380</v>
      </c>
      <c r="M58" s="560" t="s">
        <v>2381</v>
      </c>
      <c r="N58" s="560" t="s">
        <v>2382</v>
      </c>
      <c r="AA58" s="1281"/>
      <c r="AB58" s="1281"/>
      <c r="AC58" s="1281"/>
      <c r="AD58" s="1281"/>
      <c r="AE58" s="1281"/>
      <c r="AF58" s="1281"/>
      <c r="AG58" s="1281"/>
      <c r="AH58" s="1281"/>
      <c r="AI58" s="1281"/>
      <c r="AJ58" s="1281"/>
      <c r="AK58" s="1281"/>
    </row>
    <row r="59" spans="1:37" s="1280" customFormat="1" ht="24">
      <c r="A59" s="2325" t="s">
        <v>2742</v>
      </c>
      <c r="B59" s="2328">
        <f>估价对象房地状况!C17</f>
        <v>0</v>
      </c>
      <c r="C59" s="2230"/>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5" t="s">
        <v>2730</v>
      </c>
      <c r="B60" s="2329" t="str">
        <f>估价对象房地状况!C18</f>
        <v>估价对象周边道路状况、公共交通通达情况：341、453、555等公交线路及地铁八号线经过、停车便捷程度较好，综合评价交通便捷度较好</v>
      </c>
      <c r="C60" s="2230"/>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5" t="s">
        <v>2731</v>
      </c>
      <c r="B61" s="2329">
        <f>估价对象房地状况!C19</f>
        <v>0</v>
      </c>
      <c r="C61" s="2230"/>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5" t="s">
        <v>2732</v>
      </c>
      <c r="B62" s="2330" t="s">
        <v>2733</v>
      </c>
      <c r="C62" s="2230"/>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5" t="s">
        <v>2734</v>
      </c>
      <c r="B63" s="2329" t="str">
        <f>估价对象房地状况!C24</f>
        <v>城市次干道-德贤路</v>
      </c>
      <c r="C63" s="2230"/>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5" t="s">
        <v>2735</v>
      </c>
      <c r="B64" s="2331" t="s">
        <v>2736</v>
      </c>
      <c r="C64" s="2230"/>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5" t="s">
        <v>2737</v>
      </c>
      <c r="B65" s="1493" t="str">
        <f>估价对象房地状况!C21</f>
        <v>估价对象所在区域公共配套设施齐备情况一般</v>
      </c>
      <c r="C65" s="2230"/>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5" t="s">
        <v>2738</v>
      </c>
      <c r="B66" s="1493" t="str">
        <f>估价对象房地状况!C22</f>
        <v>估价对象所在区域基础设施水平较高</v>
      </c>
      <c r="C66" s="2230"/>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51.75" thickBot="1">
      <c r="A67" s="2333" t="s">
        <v>2739</v>
      </c>
      <c r="B67" s="2335" t="str">
        <f>估价对象房地状况!C20</f>
        <v>区域自然环境：南海子公园、旧宫公园、市民公园；人文环境；综合评价环境状况一般</v>
      </c>
      <c r="C67" s="2230"/>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1" t="s">
        <v>2743</v>
      </c>
      <c r="B68" s="2322">
        <f>1+E70</f>
        <v>1</v>
      </c>
      <c r="C68" s="753"/>
      <c r="D68" s="753"/>
      <c r="E68" s="754"/>
      <c r="F68" s="2324"/>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5" t="s">
        <v>2721</v>
      </c>
      <c r="B69" s="1534"/>
      <c r="C69" s="1534" t="s">
        <v>2723</v>
      </c>
      <c r="D69" s="1534" t="s">
        <v>2724</v>
      </c>
      <c r="E69" s="758" t="s">
        <v>2725</v>
      </c>
      <c r="F69" s="2326" t="s">
        <v>2741</v>
      </c>
      <c r="G69" s="1534" t="s">
        <v>754</v>
      </c>
      <c r="H69" s="2327" t="s">
        <v>2727</v>
      </c>
      <c r="I69" s="1534" t="s">
        <v>2728</v>
      </c>
      <c r="J69" s="560" t="s">
        <v>2378</v>
      </c>
      <c r="K69" s="560" t="s">
        <v>2379</v>
      </c>
      <c r="L69" s="560" t="s">
        <v>2380</v>
      </c>
      <c r="M69" s="560" t="s">
        <v>2381</v>
      </c>
      <c r="N69" s="560" t="s">
        <v>2382</v>
      </c>
      <c r="AA69" s="1281"/>
      <c r="AB69" s="1281"/>
      <c r="AC69" s="1281"/>
      <c r="AD69" s="1281"/>
      <c r="AE69" s="1281"/>
      <c r="AF69" s="1281"/>
      <c r="AG69" s="1281"/>
      <c r="AH69" s="1281"/>
      <c r="AI69" s="1281"/>
      <c r="AJ69" s="1281"/>
      <c r="AK69" s="1281"/>
    </row>
    <row r="70" spans="1:37" s="1280" customFormat="1" ht="76.5">
      <c r="A70" s="2325" t="s">
        <v>2744</v>
      </c>
      <c r="B70" s="2328" t="str">
        <f>估价对象房地状况!C15</f>
        <v>估价对象周边居住用地比例较高、居住小区规模和社区发展完善程度，德茂小区、润枫锦尚、有德家苑等住宅项目，综合评价居住社区成熟度较好</v>
      </c>
      <c r="C70" s="2230"/>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5" t="s">
        <v>2730</v>
      </c>
      <c r="B71" s="2329" t="str">
        <f>估价对象房地状况!C18</f>
        <v>估价对象周边道路状况、公共交通通达情况：341、453、555等公交线路及地铁八号线经过、停车便捷程度较好，综合评价交通便捷度较好</v>
      </c>
      <c r="C71" s="2230"/>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5" t="s">
        <v>2731</v>
      </c>
      <c r="B72" s="2329">
        <f>估价对象房地状况!C19</f>
        <v>0</v>
      </c>
      <c r="C72" s="2230"/>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5" t="s">
        <v>2745</v>
      </c>
      <c r="B73" s="2329" t="str">
        <f>估价对象房地状况!C24</f>
        <v>城市次干道-德贤路</v>
      </c>
      <c r="C73" s="2230"/>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5" t="s">
        <v>2737</v>
      </c>
      <c r="B74" s="1493" t="str">
        <f>估价对象房地状况!C21</f>
        <v>估价对象所在区域公共配套设施齐备情况一般</v>
      </c>
      <c r="C74" s="2230"/>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5" t="s">
        <v>2738</v>
      </c>
      <c r="B75" s="1493" t="str">
        <f>估价对象房地状况!C22</f>
        <v>估价对象所在区域基础设施水平较高</v>
      </c>
      <c r="C75" s="2230"/>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79" customFormat="1" ht="24">
      <c r="A76" s="2325" t="s">
        <v>2735</v>
      </c>
      <c r="B76" s="2331" t="s">
        <v>2736</v>
      </c>
      <c r="C76" s="2230"/>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6"/>
      <c r="AB76" s="1281"/>
      <c r="AC76" s="1281"/>
      <c r="AD76" s="1281"/>
      <c r="AE76" s="1281"/>
      <c r="AF76" s="1281"/>
      <c r="AG76" s="1281"/>
      <c r="AH76" s="2336"/>
      <c r="AI76" s="2336"/>
      <c r="AJ76" s="2336"/>
      <c r="AK76" s="2336"/>
    </row>
    <row r="77" spans="1:37" ht="51">
      <c r="A77" s="2325" t="s">
        <v>2739</v>
      </c>
      <c r="B77" s="2328" t="str">
        <f>估价对象房地状况!C20</f>
        <v>区域自然环境：南海子公园、旧宫公园、市民公园；人文环境；综合评价环境状况一般</v>
      </c>
      <c r="C77" s="2230"/>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0"/>
      <c r="AA77" s="2246"/>
      <c r="AG77" s="1282"/>
      <c r="AK77" s="2246"/>
    </row>
    <row r="78" spans="1:37" ht="24.75" thickBot="1">
      <c r="A78" s="2333" t="s">
        <v>2746</v>
      </c>
      <c r="B78" s="2337"/>
      <c r="C78" s="2230"/>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0"/>
      <c r="AA78" s="2246"/>
      <c r="AG78" s="1282"/>
      <c r="AK78" s="2246"/>
    </row>
    <row r="79" spans="1:37" ht="15">
      <c r="A79" s="2321" t="s">
        <v>2747</v>
      </c>
      <c r="B79" s="2322">
        <f>1+E81</f>
        <v>1</v>
      </c>
      <c r="C79" s="753"/>
      <c r="D79" s="753"/>
      <c r="E79" s="754"/>
      <c r="F79" s="2324"/>
      <c r="G79" s="6"/>
      <c r="H79" s="6"/>
      <c r="I79" s="6"/>
      <c r="J79" s="7"/>
      <c r="K79" s="7"/>
      <c r="L79" s="7"/>
      <c r="M79" s="7"/>
      <c r="N79" s="7"/>
      <c r="Z79" s="2180"/>
      <c r="AA79" s="2246"/>
      <c r="AG79" s="1282"/>
      <c r="AK79" s="2246"/>
    </row>
    <row r="80" spans="1:37" ht="24.75">
      <c r="A80" s="2325" t="s">
        <v>2721</v>
      </c>
      <c r="B80" s="1534"/>
      <c r="C80" s="1534" t="s">
        <v>2723</v>
      </c>
      <c r="D80" s="1534" t="s">
        <v>2724</v>
      </c>
      <c r="E80" s="758" t="s">
        <v>2725</v>
      </c>
      <c r="F80" s="2326" t="s">
        <v>2741</v>
      </c>
      <c r="G80" s="1534" t="s">
        <v>754</v>
      </c>
      <c r="H80" s="2327" t="s">
        <v>2727</v>
      </c>
      <c r="I80" s="1534" t="s">
        <v>2728</v>
      </c>
      <c r="J80" s="560" t="s">
        <v>2378</v>
      </c>
      <c r="K80" s="560" t="s">
        <v>2379</v>
      </c>
      <c r="L80" s="560" t="s">
        <v>2380</v>
      </c>
      <c r="M80" s="560" t="s">
        <v>2381</v>
      </c>
      <c r="N80" s="560" t="s">
        <v>2382</v>
      </c>
      <c r="Z80" s="2180"/>
      <c r="AA80" s="2246"/>
      <c r="AG80" s="1282"/>
      <c r="AK80" s="2246"/>
    </row>
    <row r="81" spans="1:37" ht="38.25">
      <c r="A81" s="2325" t="s">
        <v>2748</v>
      </c>
      <c r="B81" s="2329" t="str">
        <f>估价对象房地状况!G15</f>
        <v>估价对象位于XX开发区，园区建设成熟度XX，产业集聚程度XX</v>
      </c>
      <c r="C81" s="2230"/>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0"/>
      <c r="AA81" s="2246"/>
      <c r="AG81" s="1282"/>
      <c r="AK81" s="2246"/>
    </row>
    <row r="82" spans="1:37" ht="51">
      <c r="A82" s="2325" t="s">
        <v>2730</v>
      </c>
      <c r="B82" s="2329" t="str">
        <f>估价对象房地状况!G16</f>
        <v>估价对象周边道路状况、公共交通通达情况、停车便捷程度，综合评价交通便捷度较好</v>
      </c>
      <c r="C82" s="2230"/>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0"/>
      <c r="AA82" s="2246"/>
      <c r="AG82" s="1282"/>
      <c r="AK82" s="2246"/>
    </row>
    <row r="83" spans="1:37" ht="24">
      <c r="A83" s="2325" t="s">
        <v>2731</v>
      </c>
      <c r="B83" s="2329">
        <f>估价对象房地状况!G17</f>
        <v>0</v>
      </c>
      <c r="C83" s="2230"/>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0"/>
      <c r="AA83" s="2246"/>
      <c r="AG83" s="1282"/>
      <c r="AK83" s="2246"/>
    </row>
    <row r="84" spans="1:37" ht="14.25">
      <c r="A84" s="2325" t="s">
        <v>2745</v>
      </c>
      <c r="B84" s="2329">
        <f>估价对象房地状况!G22</f>
        <v>0</v>
      </c>
      <c r="C84" s="2230"/>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0"/>
      <c r="AA84" s="2246"/>
      <c r="AG84" s="1282"/>
      <c r="AK84" s="2246"/>
    </row>
    <row r="85" spans="1:37" ht="25.5">
      <c r="A85" s="2325" t="s">
        <v>2737</v>
      </c>
      <c r="B85" s="1493" t="str">
        <f>估价对象房地状况!G19</f>
        <v>估价对象所在区域公共配套设施齐备情况</v>
      </c>
      <c r="C85" s="2230"/>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0"/>
      <c r="AA85" s="2246"/>
      <c r="AG85" s="1282"/>
      <c r="AK85" s="2246"/>
    </row>
    <row r="86" spans="1:37" ht="25.5">
      <c r="A86" s="2325" t="s">
        <v>2738</v>
      </c>
      <c r="B86" s="1493" t="str">
        <f>估价对象房地状况!G20</f>
        <v>估价对象所在区域基础设施水平</v>
      </c>
      <c r="C86" s="2230"/>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0"/>
      <c r="AA86" s="2246"/>
      <c r="AG86" s="1282"/>
      <c r="AK86" s="2246"/>
    </row>
    <row r="87" spans="1:37" ht="24">
      <c r="A87" s="2325" t="s">
        <v>2735</v>
      </c>
      <c r="B87" s="2331" t="s">
        <v>2749</v>
      </c>
      <c r="C87" s="2230"/>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0"/>
      <c r="AA87" s="2246"/>
      <c r="AG87" s="1282"/>
      <c r="AK87" s="2246"/>
    </row>
    <row r="88" spans="1:37" ht="39" thickBot="1">
      <c r="A88" s="2333" t="s">
        <v>2750</v>
      </c>
      <c r="B88" s="2338" t="str">
        <f>估价对象房地状况!G18</f>
        <v>该园区内是否有污染型企业，绿化情况，卫生条件，整体环境状况判断</v>
      </c>
      <c r="C88" s="2230"/>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0"/>
      <c r="AA88" s="2246"/>
      <c r="AG88" s="1282"/>
      <c r="AK88" s="2246"/>
    </row>
    <row r="90" spans="1:37">
      <c r="A90" s="3491" t="s">
        <v>2751</v>
      </c>
      <c r="B90" s="3491"/>
      <c r="C90" s="3491"/>
      <c r="D90" s="3491"/>
      <c r="E90" s="3491"/>
      <c r="F90" s="3491"/>
      <c r="G90" s="3491"/>
      <c r="H90" s="3491"/>
      <c r="I90" s="3491"/>
      <c r="J90" s="3491"/>
      <c r="K90" s="2339"/>
      <c r="L90" s="2339"/>
      <c r="M90" s="2339"/>
      <c r="N90" s="2339"/>
    </row>
    <row r="91" spans="1:37">
      <c r="A91" s="3493" t="s">
        <v>2752</v>
      </c>
      <c r="B91" s="3493" t="s">
        <v>2753</v>
      </c>
      <c r="C91" s="2293" t="s">
        <v>2754</v>
      </c>
      <c r="D91" s="2294"/>
      <c r="E91" s="2294"/>
      <c r="F91" s="2294"/>
      <c r="G91" s="2294"/>
      <c r="H91" s="2294"/>
      <c r="I91" s="2294"/>
      <c r="J91" s="2340"/>
      <c r="K91" s="2341"/>
      <c r="L91" s="2341"/>
      <c r="M91" s="2341"/>
      <c r="N91" s="2341"/>
    </row>
    <row r="92" spans="1:37">
      <c r="A92" s="3493"/>
      <c r="B92" s="3493"/>
      <c r="C92" s="879" t="s">
        <v>2621</v>
      </c>
      <c r="D92" s="879" t="s">
        <v>2622</v>
      </c>
      <c r="E92" s="879" t="s">
        <v>2623</v>
      </c>
      <c r="F92" s="879" t="s">
        <v>2624</v>
      </c>
      <c r="G92" s="879" t="s">
        <v>2625</v>
      </c>
      <c r="H92" s="879" t="s">
        <v>2626</v>
      </c>
      <c r="I92" s="879" t="s">
        <v>2627</v>
      </c>
      <c r="J92" s="879" t="s">
        <v>2628</v>
      </c>
      <c r="K92" s="879" t="s">
        <v>2629</v>
      </c>
      <c r="L92" s="879" t="s">
        <v>2630</v>
      </c>
      <c r="M92" s="879" t="s">
        <v>2631</v>
      </c>
      <c r="N92" s="879" t="s">
        <v>2632</v>
      </c>
    </row>
    <row r="93" spans="1:37">
      <c r="A93" s="3494" t="s">
        <v>2755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95"/>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95"/>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95"/>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95"/>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95"/>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95"/>
      <c r="B99" s="2342" t="s">
        <v>2637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96"/>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94" t="s">
        <v>2756</v>
      </c>
      <c r="B101" s="2346" t="s">
        <v>2757</v>
      </c>
      <c r="C101" s="2347">
        <f>$G$3</f>
        <v>2.68</v>
      </c>
      <c r="D101" s="2347">
        <f t="shared" ref="D101:N101" si="31">$G$3</f>
        <v>2.68</v>
      </c>
      <c r="E101" s="2347">
        <f t="shared" si="31"/>
        <v>2.68</v>
      </c>
      <c r="F101" s="2347">
        <f t="shared" si="31"/>
        <v>2.68</v>
      </c>
      <c r="G101" s="2347">
        <f t="shared" si="31"/>
        <v>2.68</v>
      </c>
      <c r="H101" s="2347">
        <f t="shared" si="31"/>
        <v>2.68</v>
      </c>
      <c r="I101" s="2347">
        <f t="shared" si="31"/>
        <v>2.68</v>
      </c>
      <c r="J101" s="2347">
        <f t="shared" si="31"/>
        <v>2.68</v>
      </c>
      <c r="K101" s="2347">
        <f t="shared" si="31"/>
        <v>2.68</v>
      </c>
      <c r="L101" s="2347">
        <f t="shared" si="31"/>
        <v>2.68</v>
      </c>
      <c r="M101" s="2347">
        <f t="shared" si="31"/>
        <v>2.68</v>
      </c>
      <c r="N101" s="2347">
        <f t="shared" si="31"/>
        <v>2.68</v>
      </c>
    </row>
    <row r="102" spans="1:14">
      <c r="A102" s="3495"/>
      <c r="B102" s="2342">
        <v>1</v>
      </c>
      <c r="C102" s="2343">
        <f>1.9362/C101</f>
        <v>0.72246268656716406</v>
      </c>
      <c r="D102" s="2343">
        <f>1.9362/D101</f>
        <v>0.72246268656716406</v>
      </c>
      <c r="E102" s="2343">
        <f>1.8629/E101</f>
        <v>0.69511194029850742</v>
      </c>
      <c r="F102" s="2343">
        <f>1.8629/F101</f>
        <v>0.69511194029850742</v>
      </c>
      <c r="G102" s="2343">
        <f>1.8629/G101</f>
        <v>0.69511194029850742</v>
      </c>
      <c r="H102" s="2343">
        <f>1.8629/H101</f>
        <v>0.69511194029850742</v>
      </c>
      <c r="I102" s="2343">
        <f>1.8629/I101</f>
        <v>0.69511194029850742</v>
      </c>
      <c r="J102" s="2343">
        <f>1.942/J101</f>
        <v>0.7246268656716417</v>
      </c>
      <c r="K102" s="2343">
        <f>1.942/K101</f>
        <v>0.7246268656716417</v>
      </c>
      <c r="L102" s="2343">
        <f>1.942/L101</f>
        <v>0.7246268656716417</v>
      </c>
      <c r="M102" s="2343">
        <f>1.942/M101</f>
        <v>0.7246268656716417</v>
      </c>
      <c r="N102" s="2343">
        <f>1.942/N101</f>
        <v>0.7246268656716417</v>
      </c>
    </row>
    <row r="103" spans="1:14">
      <c r="A103" s="3495"/>
      <c r="B103" s="2342">
        <v>2</v>
      </c>
      <c r="C103" s="2343">
        <f>1.4198/C101</f>
        <v>0.52977611940298508</v>
      </c>
      <c r="D103" s="2343">
        <f>1.4198/D101</f>
        <v>0.52977611940298508</v>
      </c>
      <c r="E103" s="2343">
        <f>1.3372/E101</f>
        <v>0.49895522388059699</v>
      </c>
      <c r="F103" s="2343">
        <f>1.3372/F101</f>
        <v>0.49895522388059699</v>
      </c>
      <c r="G103" s="2343">
        <f>1.3372/G101</f>
        <v>0.49895522388059699</v>
      </c>
      <c r="H103" s="2343">
        <f>1.3372/H101</f>
        <v>0.49895522388059699</v>
      </c>
      <c r="I103" s="2343">
        <f>1.3372/I101</f>
        <v>0.49895522388059699</v>
      </c>
      <c r="J103" s="2343">
        <f>1.2799/J101</f>
        <v>0.47757462686567165</v>
      </c>
      <c r="K103" s="2343">
        <f>1.2799/K101</f>
        <v>0.47757462686567165</v>
      </c>
      <c r="L103" s="2343">
        <f>1.2799/L101</f>
        <v>0.47757462686567165</v>
      </c>
      <c r="M103" s="2343">
        <f>1.2799/M101</f>
        <v>0.47757462686567165</v>
      </c>
      <c r="N103" s="2343">
        <f>1.2799/N101</f>
        <v>0.47757462686567165</v>
      </c>
    </row>
    <row r="104" spans="1:14">
      <c r="A104" s="3495"/>
      <c r="B104" s="2342">
        <v>3</v>
      </c>
      <c r="C104" s="2343">
        <f>1.1594/C101</f>
        <v>0.43261194029850741</v>
      </c>
      <c r="D104" s="2343">
        <f>1.1594/D101</f>
        <v>0.43261194029850741</v>
      </c>
      <c r="E104" s="2343">
        <f>1.0788/E101</f>
        <v>0.40253731343283577</v>
      </c>
      <c r="F104" s="2343">
        <f>1.0788/F101</f>
        <v>0.40253731343283577</v>
      </c>
      <c r="G104" s="2343">
        <f>1.0788/G101</f>
        <v>0.40253731343283577</v>
      </c>
      <c r="H104" s="2343">
        <f>1.0788/H101</f>
        <v>0.40253731343283577</v>
      </c>
      <c r="I104" s="2343">
        <f>1.0788/I101</f>
        <v>0.40253731343283577</v>
      </c>
      <c r="J104" s="2343">
        <f>1.0072/J101</f>
        <v>0.37582089552238807</v>
      </c>
      <c r="K104" s="2343">
        <f>1.0072/K101</f>
        <v>0.37582089552238807</v>
      </c>
      <c r="L104" s="2343">
        <f>1.0072/L101</f>
        <v>0.37582089552238807</v>
      </c>
      <c r="M104" s="2343">
        <f>1.0072/M101</f>
        <v>0.37582089552238807</v>
      </c>
      <c r="N104" s="2343">
        <f>1.0072/N101</f>
        <v>0.37582089552238807</v>
      </c>
    </row>
    <row r="105" spans="1:14">
      <c r="A105" s="3495"/>
      <c r="B105" s="2342">
        <v>4</v>
      </c>
      <c r="C105" s="2343">
        <f>0.9622/C101</f>
        <v>0.35902985074626864</v>
      </c>
      <c r="D105" s="2343">
        <f>0.9622/D101</f>
        <v>0.35902985074626864</v>
      </c>
      <c r="E105" s="2343">
        <f>0.8656/E101</f>
        <v>0.32298507462686565</v>
      </c>
      <c r="F105" s="2343">
        <f>0.8656/F101</f>
        <v>0.32298507462686565</v>
      </c>
      <c r="G105" s="2343">
        <f>0.8656/G101</f>
        <v>0.32298507462686565</v>
      </c>
      <c r="H105" s="2343">
        <f>0.8656/H101</f>
        <v>0.32298507462686565</v>
      </c>
      <c r="I105" s="2343">
        <f>0.8656/I101</f>
        <v>0.32298507462686565</v>
      </c>
      <c r="J105" s="2343">
        <f>0.7525/J101</f>
        <v>0.28078358208955218</v>
      </c>
      <c r="K105" s="2343">
        <f>0.7525/K101</f>
        <v>0.28078358208955218</v>
      </c>
      <c r="L105" s="2343">
        <f>0.7525/L101</f>
        <v>0.28078358208955218</v>
      </c>
      <c r="M105" s="2343">
        <f>0.7525/M101</f>
        <v>0.28078358208955218</v>
      </c>
      <c r="N105" s="2343">
        <f>0.7525/N101</f>
        <v>0.28078358208955218</v>
      </c>
    </row>
    <row r="106" spans="1:14">
      <c r="A106" s="3495"/>
      <c r="B106" s="2342">
        <v>5</v>
      </c>
      <c r="C106" s="2343">
        <f>0.8417/C101</f>
        <v>0.31406716417910446</v>
      </c>
      <c r="D106" s="2343">
        <f>0.8417/D101</f>
        <v>0.31406716417910446</v>
      </c>
      <c r="E106" s="2343">
        <f>0.7371/E101</f>
        <v>0.27503731343283577</v>
      </c>
      <c r="F106" s="2343">
        <f>0.7371/F101</f>
        <v>0.27503731343283577</v>
      </c>
      <c r="G106" s="2343">
        <f>0.7371/G101</f>
        <v>0.27503731343283577</v>
      </c>
      <c r="H106" s="2343">
        <f>0.7371/H101</f>
        <v>0.27503731343283577</v>
      </c>
      <c r="I106" s="2343">
        <f>0.7371/I101</f>
        <v>0.27503731343283577</v>
      </c>
      <c r="J106" s="2343">
        <f>0.5659/J101</f>
        <v>0.21115671641791042</v>
      </c>
      <c r="K106" s="2343">
        <f>0.5659/K101</f>
        <v>0.21115671641791042</v>
      </c>
      <c r="L106" s="2343">
        <f>0.5659/L101</f>
        <v>0.21115671641791042</v>
      </c>
      <c r="M106" s="2343">
        <f>0.5659/M101</f>
        <v>0.21115671641791042</v>
      </c>
      <c r="N106" s="2343">
        <f>0.5659/N101</f>
        <v>0.21115671641791042</v>
      </c>
    </row>
    <row r="107" spans="1:14">
      <c r="A107" s="3495"/>
      <c r="B107" s="2342">
        <v>6</v>
      </c>
      <c r="C107" s="2343">
        <f>0.7608/C101</f>
        <v>0.28388059701492535</v>
      </c>
      <c r="D107" s="2343">
        <f>0.7608/D101</f>
        <v>0.28388059701492535</v>
      </c>
      <c r="E107" s="2343">
        <f>0.6482/E101</f>
        <v>0.24186567164179104</v>
      </c>
      <c r="F107" s="2343">
        <f>0.6482/F101</f>
        <v>0.24186567164179104</v>
      </c>
      <c r="G107" s="2343">
        <f>0.6482/G101</f>
        <v>0.24186567164179104</v>
      </c>
      <c r="H107" s="2343">
        <f>0.6482/H101</f>
        <v>0.24186567164179104</v>
      </c>
      <c r="I107" s="2343">
        <f>0.6482/I101</f>
        <v>0.24186567164179104</v>
      </c>
      <c r="J107" s="2343">
        <f>0.4525/J101</f>
        <v>0.16884328358208955</v>
      </c>
      <c r="K107" s="2343">
        <f>0.4525/K101</f>
        <v>0.16884328358208955</v>
      </c>
      <c r="L107" s="2343">
        <f>0.4525/L101</f>
        <v>0.16884328358208955</v>
      </c>
      <c r="M107" s="2343">
        <f>0.4525/M101</f>
        <v>0.16884328358208955</v>
      </c>
      <c r="N107" s="2343">
        <f>0.4525/N101</f>
        <v>0.16884328358208955</v>
      </c>
    </row>
    <row r="108" spans="1:14">
      <c r="A108" s="3495"/>
      <c r="B108" s="3497" t="s">
        <v>2758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96"/>
      <c r="B109" s="3498"/>
      <c r="C109" s="2345">
        <f>(-0.163*(C108^2)-0.59*C108+7617)*(10^(-4))/C101</f>
        <v>0.28421641791044777</v>
      </c>
      <c r="D109" s="2345">
        <f>(-0.163*(D108^2)-0.59*D108+7617)*(10^(-4))/D101</f>
        <v>0.28421641791044777</v>
      </c>
      <c r="E109" s="2345">
        <f>(-0.161*(E108^2)-7.509*E108+6533)*(10^(-4))/E101</f>
        <v>0.2437686567164179</v>
      </c>
      <c r="F109" s="2345">
        <f>(-0.161*(F108^2)-7.509*F108+6533)*(10^(-4))/F101</f>
        <v>0.2437686567164179</v>
      </c>
      <c r="G109" s="2345">
        <f>(-0.161*(G108^2)-7.509*G108+6533)*(10^(-4))/G101</f>
        <v>0.2437686567164179</v>
      </c>
      <c r="H109" s="2345">
        <f>(-0.161*(H108^2)-7.509*H108+6533)*(10^(-4))/H101</f>
        <v>0.2437686567164179</v>
      </c>
      <c r="I109" s="2345">
        <f>(-0.161*(I108^2)-7.509*I108+6533)*(10^(-4))/I101</f>
        <v>0.2437686567164179</v>
      </c>
      <c r="J109" s="2345">
        <f>(-0.214*(J108^2)-21.991*J108+4665)*(10^(-4))/J101</f>
        <v>0.17406716417910448</v>
      </c>
      <c r="K109" s="2345">
        <f>(-0.214*(K108^2)-21.991*K108+4665)*(10^(-4))/K101</f>
        <v>0.17406716417910448</v>
      </c>
      <c r="L109" s="2345">
        <f>(-0.214*(L108^2)-21.991*L108+4665)*(10^(-4))/L101</f>
        <v>0.17406716417910448</v>
      </c>
      <c r="M109" s="2345">
        <f>(-0.214*(M108^2)-21.991*M108+4665)*(10^(-4))/M101</f>
        <v>0.17406716417910448</v>
      </c>
      <c r="N109" s="2345">
        <f>(-0.214*(N108^2)-21.991*N108+4665)*(10^(-4))/N101</f>
        <v>0.17406716417910448</v>
      </c>
    </row>
    <row r="110" spans="1:14">
      <c r="A110" s="3492" t="s">
        <v>2759</v>
      </c>
      <c r="B110" s="3492"/>
      <c r="C110" s="3492"/>
      <c r="D110" s="3492"/>
      <c r="E110" s="3492"/>
      <c r="F110" s="3492"/>
      <c r="G110" s="3492"/>
      <c r="H110" s="3492"/>
      <c r="I110" s="3492"/>
      <c r="J110" s="3492"/>
      <c r="K110" s="2348"/>
      <c r="L110" s="2348"/>
      <c r="M110" s="2348"/>
      <c r="N110" s="2348"/>
    </row>
    <row r="112" spans="1:14" ht="13.5" thickBot="1"/>
    <row r="113" spans="1:13" ht="25.5" thickBot="1">
      <c r="A113" s="842" t="s">
        <v>2760</v>
      </c>
      <c r="B113" s="1197">
        <f>G3</f>
        <v>2.68</v>
      </c>
      <c r="C113" s="843" t="s">
        <v>2761</v>
      </c>
      <c r="D113" s="844">
        <f>SUMPRODUCT((A115:A118=F113)*(B114:M114=H113)*B115:M118)</f>
        <v>0</v>
      </c>
      <c r="E113" s="2184" t="s">
        <v>2594</v>
      </c>
      <c r="F113" s="2350">
        <f>E2</f>
        <v>0</v>
      </c>
      <c r="G113" s="2184" t="s">
        <v>2595</v>
      </c>
      <c r="H113" s="2350">
        <f>G2</f>
        <v>0</v>
      </c>
      <c r="I113" s="2184"/>
      <c r="J113" s="2351"/>
      <c r="K113" s="2351"/>
      <c r="L113" s="2351"/>
      <c r="M113" s="2351"/>
    </row>
    <row r="114" spans="1:13">
      <c r="A114" s="847"/>
      <c r="B114" s="2352" t="s">
        <v>2762</v>
      </c>
      <c r="C114" s="2352" t="s">
        <v>2763</v>
      </c>
      <c r="D114" s="2352" t="s">
        <v>2764</v>
      </c>
      <c r="E114" s="2353" t="s">
        <v>2765</v>
      </c>
      <c r="F114" s="2353" t="s">
        <v>2766</v>
      </c>
      <c r="G114" s="2353" t="s">
        <v>2767</v>
      </c>
      <c r="H114" s="2354" t="s">
        <v>2768</v>
      </c>
      <c r="I114" s="2354" t="s">
        <v>2769</v>
      </c>
      <c r="J114" s="2355" t="s">
        <v>2770</v>
      </c>
      <c r="K114" s="2355" t="s">
        <v>2771</v>
      </c>
      <c r="L114" s="2355" t="s">
        <v>2772</v>
      </c>
      <c r="M114" s="2356" t="s">
        <v>2773</v>
      </c>
    </row>
    <row r="115" spans="1:13">
      <c r="A115" s="848" t="s">
        <v>2659</v>
      </c>
      <c r="B115" s="849">
        <f>ROUND(0.9335-0.0094*B113,4)</f>
        <v>0.9083</v>
      </c>
      <c r="C115" s="849">
        <f>B115</f>
        <v>0.9083</v>
      </c>
      <c r="D115" s="849">
        <f>ROUND(0.8331-0.0109*B113,4)</f>
        <v>0.80389999999999995</v>
      </c>
      <c r="E115" s="849">
        <f>D115</f>
        <v>0.80389999999999995</v>
      </c>
      <c r="F115" s="849">
        <f>E115</f>
        <v>0.80389999999999995</v>
      </c>
      <c r="G115" s="849">
        <f>F115</f>
        <v>0.80389999999999995</v>
      </c>
      <c r="H115" s="849">
        <f>G115</f>
        <v>0.80389999999999995</v>
      </c>
      <c r="I115" s="849">
        <f>ROUND(0.689-0.0155*B113,4)</f>
        <v>0.64749999999999996</v>
      </c>
      <c r="J115" s="849">
        <f t="shared" ref="J115:M118" si="33">I115</f>
        <v>0.64749999999999996</v>
      </c>
      <c r="K115" s="849">
        <f t="shared" si="33"/>
        <v>0.64749999999999996</v>
      </c>
      <c r="L115" s="849">
        <f t="shared" si="33"/>
        <v>0.64749999999999996</v>
      </c>
      <c r="M115" s="850">
        <f t="shared" si="33"/>
        <v>0.64749999999999996</v>
      </c>
    </row>
    <row r="116" spans="1:13">
      <c r="A116" s="848" t="s">
        <v>2660</v>
      </c>
      <c r="B116" s="849">
        <f>ROUND(0.949-0.012*B113,4)</f>
        <v>0.91679999999999995</v>
      </c>
      <c r="C116" s="849">
        <f>B116</f>
        <v>0.91679999999999995</v>
      </c>
      <c r="D116" s="849">
        <f>ROUND(0.8567-0.013*B113,4)</f>
        <v>0.82189999999999996</v>
      </c>
      <c r="E116" s="849">
        <f t="shared" ref="E116:H117" si="34">D116</f>
        <v>0.82189999999999996</v>
      </c>
      <c r="F116" s="849">
        <f t="shared" si="34"/>
        <v>0.82189999999999996</v>
      </c>
      <c r="G116" s="849">
        <f t="shared" si="34"/>
        <v>0.82189999999999996</v>
      </c>
      <c r="H116" s="849">
        <f t="shared" si="34"/>
        <v>0.82189999999999996</v>
      </c>
      <c r="I116" s="849">
        <f>ROUND(0.7694-0.014*B113,4)</f>
        <v>0.7319</v>
      </c>
      <c r="J116" s="849">
        <f t="shared" si="33"/>
        <v>0.7319</v>
      </c>
      <c r="K116" s="849">
        <f t="shared" si="33"/>
        <v>0.7319</v>
      </c>
      <c r="L116" s="849">
        <f t="shared" si="33"/>
        <v>0.7319</v>
      </c>
      <c r="M116" s="850">
        <f t="shared" si="33"/>
        <v>0.7319</v>
      </c>
    </row>
    <row r="117" spans="1:13">
      <c r="A117" s="848" t="s">
        <v>2661</v>
      </c>
      <c r="B117" s="849">
        <f>ROUND(0.8808-0.006*B113,4)</f>
        <v>0.86470000000000002</v>
      </c>
      <c r="C117" s="849">
        <f>B117</f>
        <v>0.86470000000000002</v>
      </c>
      <c r="D117" s="849">
        <f>ROUND(0.8748-0.008*B113,4)</f>
        <v>0.85340000000000005</v>
      </c>
      <c r="E117" s="849">
        <f t="shared" si="34"/>
        <v>0.85340000000000005</v>
      </c>
      <c r="F117" s="849">
        <f t="shared" si="34"/>
        <v>0.85340000000000005</v>
      </c>
      <c r="G117" s="849">
        <f t="shared" si="34"/>
        <v>0.85340000000000005</v>
      </c>
      <c r="H117" s="849">
        <f t="shared" si="34"/>
        <v>0.85340000000000005</v>
      </c>
      <c r="I117" s="849">
        <f>ROUND(0.7412-0.0095*B113,4)</f>
        <v>0.7157</v>
      </c>
      <c r="J117" s="849">
        <f t="shared" si="33"/>
        <v>0.7157</v>
      </c>
      <c r="K117" s="849">
        <f t="shared" si="33"/>
        <v>0.7157</v>
      </c>
      <c r="L117" s="849">
        <f t="shared" si="33"/>
        <v>0.7157</v>
      </c>
      <c r="M117" s="850">
        <f t="shared" si="33"/>
        <v>0.7157</v>
      </c>
    </row>
    <row r="118" spans="1:13" ht="13.5" thickBot="1">
      <c r="A118" s="670" t="s">
        <v>2662</v>
      </c>
      <c r="B118" s="851">
        <f>ROUND(0.7275-0.01*B113,4)</f>
        <v>0.70069999999999999</v>
      </c>
      <c r="C118" s="851">
        <f>B118</f>
        <v>0.70069999999999999</v>
      </c>
      <c r="D118" s="851">
        <f>ROUND(0.7043-0.012*B113,4)</f>
        <v>0.67210000000000003</v>
      </c>
      <c r="E118" s="851">
        <f>D118</f>
        <v>0.67210000000000003</v>
      </c>
      <c r="F118" s="851">
        <f>E118</f>
        <v>0.67210000000000003</v>
      </c>
      <c r="G118" s="851">
        <f>ROUND(0.6299-0.0122*B113,4)</f>
        <v>0.59719999999999995</v>
      </c>
      <c r="H118" s="851">
        <f>G118</f>
        <v>0.59719999999999995</v>
      </c>
      <c r="I118" s="851">
        <f>ROUND(0.5667-0.0136*B113,4)</f>
        <v>0.53029999999999999</v>
      </c>
      <c r="J118" s="851">
        <f t="shared" si="33"/>
        <v>0.53029999999999999</v>
      </c>
      <c r="K118" s="851">
        <f t="shared" si="33"/>
        <v>0.53029999999999999</v>
      </c>
      <c r="L118" s="851">
        <f t="shared" si="33"/>
        <v>0.53029999999999999</v>
      </c>
      <c r="M118" s="852">
        <f t="shared" si="33"/>
        <v>0.53029999999999999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2825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5" t="s">
        <v>183</v>
      </c>
      <c r="B18" s="821" t="s">
        <v>560</v>
      </c>
      <c r="C18" s="822" t="s">
        <v>561</v>
      </c>
      <c r="D18" s="823"/>
      <c r="E18" s="821">
        <v>1</v>
      </c>
      <c r="F18" s="824" t="s">
        <v>562</v>
      </c>
      <c r="G18" s="825"/>
      <c r="H18" s="817"/>
      <c r="I18" s="817"/>
    </row>
    <row r="19" spans="1:9" s="826" customFormat="1" ht="19.5" customHeight="1">
      <c r="A19" s="3515"/>
      <c r="B19" s="3515" t="s">
        <v>563</v>
      </c>
      <c r="C19" s="822" t="s">
        <v>564</v>
      </c>
      <c r="D19" s="823"/>
      <c r="E19" s="821">
        <v>0.9</v>
      </c>
      <c r="F19" s="824" t="s">
        <v>565</v>
      </c>
      <c r="G19" s="825"/>
      <c r="H19" s="817"/>
      <c r="I19" s="817"/>
    </row>
    <row r="20" spans="1:9" s="826" customFormat="1" ht="19.5" customHeight="1">
      <c r="A20" s="3515"/>
      <c r="B20" s="3515"/>
      <c r="C20" s="822" t="s">
        <v>566</v>
      </c>
      <c r="D20" s="823"/>
      <c r="E20" s="821">
        <v>1.1000000000000001</v>
      </c>
      <c r="F20" s="824" t="s">
        <v>567</v>
      </c>
      <c r="G20" s="825"/>
      <c r="H20" s="817"/>
      <c r="I20" s="817"/>
    </row>
    <row r="21" spans="1:9" s="826" customFormat="1" ht="19.5" customHeight="1">
      <c r="A21" s="3515"/>
      <c r="B21" s="3515"/>
      <c r="C21" s="822" t="s">
        <v>568</v>
      </c>
      <c r="D21" s="823"/>
      <c r="E21" s="821">
        <v>0.8</v>
      </c>
      <c r="F21" s="824" t="s">
        <v>569</v>
      </c>
      <c r="G21" s="825"/>
      <c r="H21" s="817"/>
      <c r="I21" s="817"/>
    </row>
    <row r="22" spans="1:9" s="826" customFormat="1" ht="19.5" customHeight="1">
      <c r="A22" s="3515"/>
      <c r="B22" s="3515"/>
      <c r="C22" s="822" t="s">
        <v>570</v>
      </c>
      <c r="D22" s="823"/>
      <c r="E22" s="821">
        <v>0.5</v>
      </c>
      <c r="F22" s="824"/>
      <c r="G22" s="825"/>
      <c r="H22" s="817"/>
      <c r="I22" s="817"/>
    </row>
    <row r="23" spans="1:9" s="826" customFormat="1" ht="19.5" customHeight="1">
      <c r="A23" s="3515" t="s">
        <v>184</v>
      </c>
      <c r="B23" s="821" t="s">
        <v>560</v>
      </c>
      <c r="C23" s="822" t="s">
        <v>571</v>
      </c>
      <c r="D23" s="823"/>
      <c r="E23" s="821">
        <v>1</v>
      </c>
      <c r="F23" s="824" t="s">
        <v>572</v>
      </c>
      <c r="G23" s="825"/>
      <c r="H23" s="817"/>
      <c r="I23" s="817"/>
    </row>
    <row r="24" spans="1:9" s="826" customFormat="1" ht="19.5" customHeight="1">
      <c r="A24" s="3515"/>
      <c r="B24" s="3515" t="s">
        <v>563</v>
      </c>
      <c r="C24" s="822" t="s">
        <v>573</v>
      </c>
      <c r="D24" s="823"/>
      <c r="E24" s="821">
        <v>0.5</v>
      </c>
      <c r="F24" s="824"/>
      <c r="G24" s="825"/>
      <c r="H24" s="817"/>
      <c r="I24" s="817"/>
    </row>
    <row r="25" spans="1:9" s="826" customFormat="1" ht="19.5" customHeight="1">
      <c r="A25" s="3515"/>
      <c r="B25" s="3515"/>
      <c r="C25" s="822" t="s">
        <v>574</v>
      </c>
      <c r="D25" s="823"/>
      <c r="E25" s="821">
        <v>1.1000000000000001</v>
      </c>
      <c r="F25" s="824"/>
      <c r="G25" s="825"/>
      <c r="H25" s="817"/>
      <c r="I25" s="817"/>
    </row>
    <row r="26" spans="1:9" s="826" customFormat="1" ht="19.5" customHeight="1">
      <c r="A26" s="3515"/>
      <c r="B26" s="3515"/>
      <c r="C26" s="822" t="s">
        <v>575</v>
      </c>
      <c r="D26" s="823"/>
      <c r="E26" s="821">
        <v>1.1000000000000001</v>
      </c>
      <c r="F26" s="824"/>
      <c r="G26" s="825"/>
      <c r="H26" s="817"/>
      <c r="I26" s="817"/>
    </row>
    <row r="27" spans="1:9" s="826" customFormat="1" ht="19.5" customHeight="1">
      <c r="A27" s="3515"/>
      <c r="B27" s="3515"/>
      <c r="C27" s="822" t="s">
        <v>576</v>
      </c>
      <c r="D27" s="823"/>
      <c r="E27" s="821">
        <v>0.9</v>
      </c>
      <c r="F27" s="824" t="s">
        <v>577</v>
      </c>
      <c r="G27" s="825"/>
      <c r="H27" s="817"/>
      <c r="I27" s="817"/>
    </row>
    <row r="28" spans="1:9" s="826" customFormat="1" ht="19.5" customHeight="1">
      <c r="A28" s="3515"/>
      <c r="B28" s="3515"/>
      <c r="C28" s="822" t="s">
        <v>578</v>
      </c>
      <c r="D28" s="823"/>
      <c r="E28" s="821">
        <v>0.9</v>
      </c>
      <c r="F28" s="824" t="s">
        <v>579</v>
      </c>
      <c r="G28" s="825"/>
      <c r="H28" s="817"/>
      <c r="I28" s="817"/>
    </row>
    <row r="29" spans="1:9" s="826" customFormat="1" ht="19.5" customHeight="1">
      <c r="A29" s="3515"/>
      <c r="B29" s="3515"/>
      <c r="C29" s="822" t="s">
        <v>580</v>
      </c>
      <c r="D29" s="823"/>
      <c r="E29" s="821">
        <v>0.9</v>
      </c>
      <c r="F29" s="824" t="s">
        <v>581</v>
      </c>
      <c r="G29" s="825"/>
      <c r="H29" s="817"/>
      <c r="I29" s="817"/>
    </row>
    <row r="30" spans="1:9" s="826" customFormat="1" ht="19.5" customHeight="1">
      <c r="A30" s="3515"/>
      <c r="B30" s="3515"/>
      <c r="C30" s="822" t="s">
        <v>582</v>
      </c>
      <c r="D30" s="823"/>
      <c r="E30" s="821">
        <v>0.9</v>
      </c>
      <c r="F30" s="824" t="s">
        <v>583</v>
      </c>
      <c r="G30" s="825"/>
      <c r="H30" s="817"/>
      <c r="I30" s="817"/>
    </row>
    <row r="31" spans="1:9" s="826" customFormat="1" ht="19.5" customHeight="1">
      <c r="A31" s="3515"/>
      <c r="B31" s="3515"/>
      <c r="C31" s="822" t="s">
        <v>584</v>
      </c>
      <c r="D31" s="823"/>
      <c r="E31" s="821">
        <v>0.8</v>
      </c>
      <c r="F31" s="824" t="s">
        <v>585</v>
      </c>
      <c r="G31" s="825"/>
      <c r="H31" s="817"/>
      <c r="I31" s="817"/>
    </row>
    <row r="32" spans="1:9" s="826" customFormat="1" ht="19.5" customHeight="1">
      <c r="A32" s="3515"/>
      <c r="B32" s="3515"/>
      <c r="C32" s="822" t="s">
        <v>586</v>
      </c>
      <c r="D32" s="823"/>
      <c r="E32" s="821">
        <v>0.8</v>
      </c>
      <c r="F32" s="824" t="s">
        <v>587</v>
      </c>
      <c r="G32" s="825"/>
      <c r="H32" s="817"/>
      <c r="I32" s="817"/>
    </row>
    <row r="33" spans="1:9" s="826" customFormat="1" ht="19.5" customHeight="1">
      <c r="A33" s="3515" t="s">
        <v>185</v>
      </c>
      <c r="B33" s="821" t="s">
        <v>560</v>
      </c>
      <c r="C33" s="822" t="s">
        <v>588</v>
      </c>
      <c r="D33" s="823"/>
      <c r="E33" s="821">
        <v>1</v>
      </c>
      <c r="F33" s="824" t="s">
        <v>589</v>
      </c>
      <c r="G33" s="825"/>
      <c r="H33" s="817"/>
      <c r="I33" s="817"/>
    </row>
    <row r="34" spans="1:9" s="826" customFormat="1" ht="19.5" customHeight="1">
      <c r="A34" s="3515"/>
      <c r="B34" s="821" t="s">
        <v>563</v>
      </c>
      <c r="C34" s="822" t="s">
        <v>590</v>
      </c>
      <c r="D34" s="823"/>
      <c r="E34" s="821">
        <v>1.5</v>
      </c>
      <c r="F34" s="824" t="s">
        <v>591</v>
      </c>
      <c r="G34" s="825"/>
      <c r="H34" s="817"/>
      <c r="I34" s="817"/>
    </row>
    <row r="35" spans="1:9" s="826" customFormat="1" ht="19.5" customHeight="1">
      <c r="A35" s="3515" t="s">
        <v>186</v>
      </c>
      <c r="B35" s="821" t="s">
        <v>560</v>
      </c>
      <c r="C35" s="822" t="s">
        <v>592</v>
      </c>
      <c r="D35" s="823"/>
      <c r="E35" s="821">
        <v>1</v>
      </c>
      <c r="F35" s="824" t="s">
        <v>593</v>
      </c>
      <c r="G35" s="825"/>
      <c r="H35" s="817"/>
      <c r="I35" s="817"/>
    </row>
    <row r="36" spans="1:9" s="826" customFormat="1" ht="19.5" customHeight="1">
      <c r="A36" s="3515"/>
      <c r="B36" s="3515" t="s">
        <v>563</v>
      </c>
      <c r="C36" s="822" t="s">
        <v>594</v>
      </c>
      <c r="D36" s="823"/>
      <c r="E36" s="821">
        <v>1</v>
      </c>
      <c r="F36" s="824" t="s">
        <v>595</v>
      </c>
      <c r="G36" s="825"/>
      <c r="H36" s="817"/>
      <c r="I36" s="817"/>
    </row>
    <row r="37" spans="1:9" s="826" customFormat="1" ht="19.5" customHeight="1">
      <c r="A37" s="3515"/>
      <c r="B37" s="3515"/>
      <c r="C37" s="822" t="s">
        <v>596</v>
      </c>
      <c r="D37" s="823"/>
      <c r="E37" s="821">
        <v>1.5</v>
      </c>
      <c r="F37" s="824" t="s">
        <v>597</v>
      </c>
      <c r="G37" s="825"/>
      <c r="H37" s="817"/>
      <c r="I37" s="817"/>
    </row>
    <row r="38" spans="1:9" s="826" customFormat="1" ht="19.5" customHeight="1">
      <c r="A38" s="3515"/>
      <c r="B38" s="3515"/>
      <c r="C38" s="822" t="s">
        <v>598</v>
      </c>
      <c r="D38" s="823"/>
      <c r="E38" s="821">
        <v>1</v>
      </c>
      <c r="F38" s="824" t="s">
        <v>599</v>
      </c>
      <c r="G38" s="825"/>
      <c r="H38" s="817"/>
      <c r="I38" s="817"/>
    </row>
    <row r="39" spans="1:9" s="826" customFormat="1" ht="19.5" customHeight="1">
      <c r="A39" s="3515"/>
      <c r="B39" s="351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5" t="s">
        <v>614</v>
      </c>
      <c r="C61" s="757" t="s">
        <v>615</v>
      </c>
      <c r="D61" s="757" t="s">
        <v>616</v>
      </c>
      <c r="E61" s="834">
        <v>0.5</v>
      </c>
      <c r="F61" s="821">
        <v>80</v>
      </c>
    </row>
    <row r="62" spans="1:8" s="817" customFormat="1" ht="24">
      <c r="A62" s="821">
        <v>2</v>
      </c>
      <c r="B62" s="3515"/>
      <c r="C62" s="757" t="s">
        <v>617</v>
      </c>
      <c r="D62" s="757" t="s">
        <v>618</v>
      </c>
      <c r="E62" s="834">
        <v>0.5</v>
      </c>
      <c r="F62" s="821">
        <v>80</v>
      </c>
    </row>
    <row r="63" spans="1:8" s="817" customFormat="1" ht="36">
      <c r="A63" s="821">
        <v>3</v>
      </c>
      <c r="B63" s="3515"/>
      <c r="C63" s="757" t="s">
        <v>619</v>
      </c>
      <c r="D63" s="757" t="s">
        <v>620</v>
      </c>
      <c r="E63" s="834">
        <v>0.5</v>
      </c>
      <c r="F63" s="821">
        <v>80</v>
      </c>
    </row>
    <row r="64" spans="1:8" s="817" customFormat="1" ht="36">
      <c r="A64" s="821">
        <v>4</v>
      </c>
      <c r="B64" s="3515"/>
      <c r="C64" s="757" t="s">
        <v>621</v>
      </c>
      <c r="D64" s="757" t="s">
        <v>622</v>
      </c>
      <c r="E64" s="834">
        <v>0.4</v>
      </c>
      <c r="F64" s="821">
        <v>60</v>
      </c>
    </row>
    <row r="65" spans="1:6" s="817" customFormat="1" ht="36">
      <c r="A65" s="821">
        <v>5</v>
      </c>
      <c r="B65" s="3515"/>
      <c r="C65" s="757" t="s">
        <v>623</v>
      </c>
      <c r="D65" s="757" t="s">
        <v>624</v>
      </c>
      <c r="E65" s="834">
        <v>0.2</v>
      </c>
      <c r="F65" s="821">
        <v>30</v>
      </c>
    </row>
    <row r="66" spans="1:6" s="817" customFormat="1" ht="36">
      <c r="A66" s="821">
        <v>6</v>
      </c>
      <c r="B66" s="3515"/>
      <c r="C66" s="757" t="s">
        <v>625</v>
      </c>
      <c r="D66" s="757" t="s">
        <v>626</v>
      </c>
      <c r="E66" s="834">
        <v>0.3</v>
      </c>
      <c r="F66" s="821">
        <v>50</v>
      </c>
    </row>
    <row r="67" spans="1:6" s="817" customFormat="1" ht="36">
      <c r="A67" s="821">
        <v>7</v>
      </c>
      <c r="B67" s="3515"/>
      <c r="C67" s="757" t="s">
        <v>627</v>
      </c>
      <c r="D67" s="757" t="s">
        <v>628</v>
      </c>
      <c r="E67" s="834">
        <v>0.2</v>
      </c>
      <c r="F67" s="821">
        <v>30</v>
      </c>
    </row>
    <row r="68" spans="1:6" s="817" customFormat="1" ht="36">
      <c r="A68" s="821">
        <v>8</v>
      </c>
      <c r="B68" s="3515"/>
      <c r="C68" s="757" t="s">
        <v>629</v>
      </c>
      <c r="D68" s="757" t="s">
        <v>630</v>
      </c>
      <c r="E68" s="834">
        <v>0.2</v>
      </c>
      <c r="F68" s="821">
        <v>30</v>
      </c>
    </row>
    <row r="69" spans="1:6" s="817" customFormat="1" ht="36">
      <c r="A69" s="821">
        <v>9</v>
      </c>
      <c r="B69" s="3515"/>
      <c r="C69" s="757" t="s">
        <v>631</v>
      </c>
      <c r="D69" s="757" t="s">
        <v>632</v>
      </c>
      <c r="E69" s="834">
        <v>0.2</v>
      </c>
      <c r="F69" s="821">
        <v>30</v>
      </c>
    </row>
    <row r="70" spans="1:6" s="817" customFormat="1" ht="48">
      <c r="A70" s="821">
        <v>10</v>
      </c>
      <c r="B70" s="3515"/>
      <c r="C70" s="757" t="s">
        <v>633</v>
      </c>
      <c r="D70" s="757" t="s">
        <v>634</v>
      </c>
      <c r="E70" s="834">
        <v>0.2</v>
      </c>
      <c r="F70" s="821">
        <v>30</v>
      </c>
    </row>
    <row r="71" spans="1:6" s="817" customFormat="1" ht="48">
      <c r="A71" s="821">
        <v>11</v>
      </c>
      <c r="B71" s="3515"/>
      <c r="C71" s="757" t="s">
        <v>635</v>
      </c>
      <c r="D71" s="757" t="s">
        <v>636</v>
      </c>
      <c r="E71" s="834">
        <v>0.2</v>
      </c>
      <c r="F71" s="821">
        <v>30</v>
      </c>
    </row>
    <row r="72" spans="1:6" s="817" customFormat="1" ht="36">
      <c r="A72" s="821">
        <v>12</v>
      </c>
      <c r="B72" s="3515"/>
      <c r="C72" s="757" t="s">
        <v>637</v>
      </c>
      <c r="D72" s="757" t="s">
        <v>638</v>
      </c>
      <c r="E72" s="834">
        <v>0.5</v>
      </c>
      <c r="F72" s="821">
        <v>80</v>
      </c>
    </row>
    <row r="73" spans="1:6" s="817" customFormat="1" ht="24">
      <c r="A73" s="821">
        <v>13</v>
      </c>
      <c r="B73" s="3515"/>
      <c r="C73" s="757" t="s">
        <v>639</v>
      </c>
      <c r="D73" s="757" t="s">
        <v>640</v>
      </c>
      <c r="E73" s="834">
        <v>0.4</v>
      </c>
      <c r="F73" s="821">
        <v>60</v>
      </c>
    </row>
    <row r="74" spans="1:6" s="817" customFormat="1" ht="24">
      <c r="A74" s="821">
        <v>14</v>
      </c>
      <c r="B74" s="3515"/>
      <c r="C74" s="757" t="s">
        <v>641</v>
      </c>
      <c r="D74" s="757" t="s">
        <v>642</v>
      </c>
      <c r="E74" s="834">
        <v>0.2</v>
      </c>
      <c r="F74" s="821">
        <v>30</v>
      </c>
    </row>
    <row r="75" spans="1:6" s="817" customFormat="1" ht="24">
      <c r="A75" s="821">
        <v>15</v>
      </c>
      <c r="B75" s="3515"/>
      <c r="C75" s="757" t="s">
        <v>643</v>
      </c>
      <c r="D75" s="757" t="s">
        <v>644</v>
      </c>
      <c r="E75" s="834">
        <v>0.2</v>
      </c>
      <c r="F75" s="821">
        <v>30</v>
      </c>
    </row>
    <row r="76" spans="1:6" s="817" customFormat="1" ht="24">
      <c r="A76" s="821">
        <v>16</v>
      </c>
      <c r="B76" s="3515" t="s">
        <v>645</v>
      </c>
      <c r="C76" s="757" t="s">
        <v>646</v>
      </c>
      <c r="D76" s="757" t="s">
        <v>647</v>
      </c>
      <c r="E76" s="834">
        <v>0.5</v>
      </c>
      <c r="F76" s="821">
        <v>80</v>
      </c>
    </row>
    <row r="77" spans="1:6" s="817" customFormat="1" ht="24">
      <c r="A77" s="821">
        <v>17</v>
      </c>
      <c r="B77" s="3515"/>
      <c r="C77" s="757" t="s">
        <v>648</v>
      </c>
      <c r="D77" s="757" t="s">
        <v>649</v>
      </c>
      <c r="E77" s="834">
        <v>0.5</v>
      </c>
      <c r="F77" s="821">
        <v>80</v>
      </c>
    </row>
    <row r="78" spans="1:6" s="817" customFormat="1" ht="24">
      <c r="A78" s="821">
        <v>18</v>
      </c>
      <c r="B78" s="3515"/>
      <c r="C78" s="757" t="s">
        <v>650</v>
      </c>
      <c r="D78" s="757" t="s">
        <v>651</v>
      </c>
      <c r="E78" s="834">
        <v>0.2</v>
      </c>
      <c r="F78" s="821">
        <v>30</v>
      </c>
    </row>
    <row r="79" spans="1:6" s="817" customFormat="1" ht="24">
      <c r="A79" s="821">
        <v>19</v>
      </c>
      <c r="B79" s="3515"/>
      <c r="C79" s="757" t="s">
        <v>652</v>
      </c>
      <c r="D79" s="757" t="s">
        <v>653</v>
      </c>
      <c r="E79" s="834">
        <v>0.5</v>
      </c>
      <c r="F79" s="821">
        <v>80</v>
      </c>
    </row>
    <row r="80" spans="1:6" s="817" customFormat="1" ht="36">
      <c r="A80" s="821">
        <v>20</v>
      </c>
      <c r="B80" s="3515"/>
      <c r="C80" s="757" t="s">
        <v>654</v>
      </c>
      <c r="D80" s="757" t="s">
        <v>655</v>
      </c>
      <c r="E80" s="834">
        <v>0.2</v>
      </c>
      <c r="F80" s="821">
        <v>30</v>
      </c>
    </row>
    <row r="81" spans="1:6" s="817" customFormat="1" ht="36">
      <c r="A81" s="821">
        <v>21</v>
      </c>
      <c r="B81" s="3515"/>
      <c r="C81" s="757" t="s">
        <v>656</v>
      </c>
      <c r="D81" s="757" t="s">
        <v>657</v>
      </c>
      <c r="E81" s="834">
        <v>0.2</v>
      </c>
      <c r="F81" s="821">
        <v>30</v>
      </c>
    </row>
    <row r="82" spans="1:6" s="817" customFormat="1" ht="48">
      <c r="A82" s="821">
        <v>22</v>
      </c>
      <c r="B82" s="3515"/>
      <c r="C82" s="757" t="s">
        <v>658</v>
      </c>
      <c r="D82" s="757" t="s">
        <v>659</v>
      </c>
      <c r="E82" s="834">
        <v>0.2</v>
      </c>
      <c r="F82" s="821">
        <v>30</v>
      </c>
    </row>
    <row r="83" spans="1:6" s="817" customFormat="1" ht="48">
      <c r="A83" s="821">
        <v>23</v>
      </c>
      <c r="B83" s="3515"/>
      <c r="C83" s="757" t="s">
        <v>660</v>
      </c>
      <c r="D83" s="757" t="s">
        <v>661</v>
      </c>
      <c r="E83" s="834">
        <v>0.2</v>
      </c>
      <c r="F83" s="821">
        <v>30</v>
      </c>
    </row>
    <row r="84" spans="1:6" s="817" customFormat="1" ht="36">
      <c r="A84" s="821">
        <v>24</v>
      </c>
      <c r="B84" s="3515"/>
      <c r="C84" s="757" t="s">
        <v>662</v>
      </c>
      <c r="D84" s="757" t="s">
        <v>663</v>
      </c>
      <c r="E84" s="834">
        <v>0.2</v>
      </c>
      <c r="F84" s="821">
        <v>30</v>
      </c>
    </row>
    <row r="85" spans="1:6" s="817" customFormat="1" ht="36">
      <c r="A85" s="821">
        <v>25</v>
      </c>
      <c r="B85" s="3515"/>
      <c r="C85" s="757" t="s">
        <v>664</v>
      </c>
      <c r="D85" s="757" t="s">
        <v>665</v>
      </c>
      <c r="E85" s="834">
        <v>0.5</v>
      </c>
      <c r="F85" s="821">
        <v>80</v>
      </c>
    </row>
    <row r="86" spans="1:6" s="817" customFormat="1" ht="36">
      <c r="A86" s="821">
        <v>26</v>
      </c>
      <c r="B86" s="3515"/>
      <c r="C86" s="757" t="s">
        <v>666</v>
      </c>
      <c r="D86" s="757" t="s">
        <v>667</v>
      </c>
      <c r="E86" s="834">
        <v>0.2</v>
      </c>
      <c r="F86" s="821">
        <v>30</v>
      </c>
    </row>
    <row r="87" spans="1:6" s="817" customFormat="1" ht="36">
      <c r="A87" s="821">
        <v>27</v>
      </c>
      <c r="B87" s="3515"/>
      <c r="C87" s="757" t="s">
        <v>668</v>
      </c>
      <c r="D87" s="757" t="s">
        <v>669</v>
      </c>
      <c r="E87" s="834">
        <v>0.2</v>
      </c>
      <c r="F87" s="821">
        <v>30</v>
      </c>
    </row>
    <row r="88" spans="1:6" s="817" customFormat="1" ht="36">
      <c r="A88" s="821">
        <v>28</v>
      </c>
      <c r="B88" s="3515"/>
      <c r="C88" s="757" t="s">
        <v>670</v>
      </c>
      <c r="D88" s="757" t="s">
        <v>671</v>
      </c>
      <c r="E88" s="834">
        <v>0.2</v>
      </c>
      <c r="F88" s="821">
        <v>30</v>
      </c>
    </row>
    <row r="89" spans="1:6" s="817" customFormat="1" ht="24">
      <c r="A89" s="821">
        <v>29</v>
      </c>
      <c r="B89" s="3515"/>
      <c r="C89" s="757" t="s">
        <v>672</v>
      </c>
      <c r="D89" s="757" t="s">
        <v>673</v>
      </c>
      <c r="E89" s="834">
        <v>0.2</v>
      </c>
      <c r="F89" s="821">
        <v>30</v>
      </c>
    </row>
    <row r="90" spans="1:6" s="817" customFormat="1" ht="24">
      <c r="A90" s="821">
        <v>30</v>
      </c>
      <c r="B90" s="3515"/>
      <c r="C90" s="757" t="s">
        <v>674</v>
      </c>
      <c r="D90" s="757" t="s">
        <v>675</v>
      </c>
      <c r="E90" s="834">
        <v>0.2</v>
      </c>
      <c r="F90" s="821">
        <v>30</v>
      </c>
    </row>
    <row r="91" spans="1:6" s="817" customFormat="1" ht="36">
      <c r="A91" s="821">
        <v>31</v>
      </c>
      <c r="B91" s="3515"/>
      <c r="C91" s="757" t="s">
        <v>676</v>
      </c>
      <c r="D91" s="757" t="s">
        <v>677</v>
      </c>
      <c r="E91" s="834">
        <v>0.2</v>
      </c>
      <c r="F91" s="821">
        <v>30</v>
      </c>
    </row>
    <row r="92" spans="1:6" s="817" customFormat="1" ht="24">
      <c r="A92" s="821">
        <v>32</v>
      </c>
      <c r="B92" s="3515" t="s">
        <v>678</v>
      </c>
      <c r="C92" s="821" t="s">
        <v>679</v>
      </c>
      <c r="D92" s="757" t="s">
        <v>680</v>
      </c>
      <c r="E92" s="834">
        <v>0.2</v>
      </c>
      <c r="F92" s="821">
        <v>30</v>
      </c>
    </row>
    <row r="93" spans="1:6" s="817" customFormat="1" ht="36">
      <c r="A93" s="821">
        <v>33</v>
      </c>
      <c r="B93" s="3515"/>
      <c r="C93" s="821" t="s">
        <v>681</v>
      </c>
      <c r="D93" s="757" t="s">
        <v>682</v>
      </c>
      <c r="E93" s="834">
        <v>0.2</v>
      </c>
      <c r="F93" s="821">
        <v>30</v>
      </c>
    </row>
    <row r="94" spans="1:6" s="817" customFormat="1" ht="48">
      <c r="A94" s="821">
        <v>34</v>
      </c>
      <c r="B94" s="3515"/>
      <c r="C94" s="821" t="s">
        <v>683</v>
      </c>
      <c r="D94" s="757" t="s">
        <v>684</v>
      </c>
      <c r="E94" s="834">
        <v>0.2</v>
      </c>
      <c r="F94" s="821">
        <v>30</v>
      </c>
    </row>
    <row r="95" spans="1:6" s="817" customFormat="1" ht="36">
      <c r="A95" s="821">
        <v>35</v>
      </c>
      <c r="B95" s="3515"/>
      <c r="C95" s="821" t="s">
        <v>685</v>
      </c>
      <c r="D95" s="757" t="s">
        <v>686</v>
      </c>
      <c r="E95" s="834">
        <v>0.2</v>
      </c>
      <c r="F95" s="821">
        <v>30</v>
      </c>
    </row>
    <row r="96" spans="1:6" s="817" customFormat="1" ht="48">
      <c r="A96" s="821">
        <v>36</v>
      </c>
      <c r="B96" s="3515"/>
      <c r="C96" s="757" t="s">
        <v>687</v>
      </c>
      <c r="D96" s="757" t="s">
        <v>688</v>
      </c>
      <c r="E96" s="834">
        <v>0.2</v>
      </c>
      <c r="F96" s="821">
        <v>30</v>
      </c>
    </row>
    <row r="97" spans="1:6" s="817" customFormat="1" ht="36">
      <c r="A97" s="821">
        <v>37</v>
      </c>
      <c r="B97" s="3515"/>
      <c r="C97" s="821" t="s">
        <v>689</v>
      </c>
      <c r="D97" s="757" t="s">
        <v>690</v>
      </c>
      <c r="E97" s="834">
        <v>0.2</v>
      </c>
      <c r="F97" s="821">
        <v>30</v>
      </c>
    </row>
    <row r="98" spans="1:6" s="817" customFormat="1" ht="36">
      <c r="A98" s="821">
        <v>38</v>
      </c>
      <c r="B98" s="3515"/>
      <c r="C98" s="821" t="s">
        <v>691</v>
      </c>
      <c r="D98" s="757" t="s">
        <v>692</v>
      </c>
      <c r="E98" s="834">
        <v>0.2</v>
      </c>
      <c r="F98" s="821">
        <v>30</v>
      </c>
    </row>
    <row r="99" spans="1:6" s="817" customFormat="1" ht="36">
      <c r="A99" s="821">
        <v>39</v>
      </c>
      <c r="B99" s="3515" t="s">
        <v>693</v>
      </c>
      <c r="C99" s="821" t="s">
        <v>694</v>
      </c>
      <c r="D99" s="757" t="s">
        <v>695</v>
      </c>
      <c r="E99" s="834">
        <v>0.3</v>
      </c>
      <c r="F99" s="821">
        <v>50</v>
      </c>
    </row>
    <row r="100" spans="1:6" s="817" customFormat="1" ht="24">
      <c r="A100" s="821">
        <v>40</v>
      </c>
      <c r="B100" s="3515"/>
      <c r="C100" s="821" t="s">
        <v>696</v>
      </c>
      <c r="D100" s="757" t="s">
        <v>697</v>
      </c>
      <c r="E100" s="834">
        <v>0.2</v>
      </c>
      <c r="F100" s="821">
        <v>30</v>
      </c>
    </row>
    <row r="101" spans="1:6" s="817" customFormat="1" ht="36">
      <c r="A101" s="821">
        <v>41</v>
      </c>
      <c r="B101" s="351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5" t="s">
        <v>708</v>
      </c>
      <c r="C105" s="821" t="s">
        <v>709</v>
      </c>
      <c r="D105" s="757" t="s">
        <v>710</v>
      </c>
      <c r="E105" s="834">
        <v>0.2</v>
      </c>
      <c r="F105" s="821">
        <v>30</v>
      </c>
    </row>
    <row r="106" spans="1:6" s="817" customFormat="1" ht="36">
      <c r="A106" s="821">
        <v>46</v>
      </c>
      <c r="B106" s="3515"/>
      <c r="C106" s="821" t="s">
        <v>711</v>
      </c>
      <c r="D106" s="757" t="s">
        <v>712</v>
      </c>
      <c r="E106" s="834">
        <v>0.2</v>
      </c>
      <c r="F106" s="821">
        <v>30</v>
      </c>
    </row>
    <row r="107" spans="1:6" s="817" customFormat="1" ht="36">
      <c r="A107" s="821">
        <v>47</v>
      </c>
      <c r="B107" s="3515" t="s">
        <v>713</v>
      </c>
      <c r="C107" s="821" t="s">
        <v>714</v>
      </c>
      <c r="D107" s="757" t="s">
        <v>715</v>
      </c>
      <c r="E107" s="834">
        <v>0.3</v>
      </c>
      <c r="F107" s="821">
        <v>50</v>
      </c>
    </row>
    <row r="108" spans="1:6" s="817" customFormat="1" ht="36">
      <c r="A108" s="821">
        <v>48</v>
      </c>
      <c r="B108" s="351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5" t="s">
        <v>724</v>
      </c>
      <c r="C111" s="821" t="s">
        <v>725</v>
      </c>
      <c r="D111" s="757" t="s">
        <v>726</v>
      </c>
      <c r="E111" s="834">
        <v>0.2</v>
      </c>
      <c r="F111" s="821">
        <v>30</v>
      </c>
    </row>
    <row r="112" spans="1:6" s="817" customFormat="1" ht="24">
      <c r="A112" s="821">
        <v>52</v>
      </c>
      <c r="B112" s="3515"/>
      <c r="C112" s="821" t="s">
        <v>727</v>
      </c>
      <c r="D112" s="757" t="s">
        <v>728</v>
      </c>
      <c r="E112" s="834">
        <v>0.2</v>
      </c>
      <c r="F112" s="821">
        <v>30</v>
      </c>
    </row>
    <row r="113" spans="1:6" s="817" customFormat="1" ht="24">
      <c r="A113" s="821">
        <v>53</v>
      </c>
      <c r="B113" s="351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5" t="s">
        <v>737</v>
      </c>
      <c r="C116" s="821" t="s">
        <v>738</v>
      </c>
      <c r="D116" s="757" t="s">
        <v>739</v>
      </c>
      <c r="E116" s="834">
        <v>0.2</v>
      </c>
      <c r="F116" s="821">
        <v>30</v>
      </c>
    </row>
    <row r="117" spans="1:6" ht="36">
      <c r="A117" s="821">
        <v>57</v>
      </c>
      <c r="B117" s="351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49" t="s">
        <v>2782</v>
      </c>
      <c r="B1" s="2359"/>
      <c r="C1" s="2359"/>
      <c r="D1" s="2359"/>
      <c r="E1" s="2359"/>
      <c r="F1" s="3015"/>
      <c r="G1" s="3015"/>
      <c r="H1" s="3015"/>
      <c r="I1" s="3015"/>
      <c r="J1" s="3015"/>
      <c r="K1" s="3015"/>
      <c r="L1" s="3015"/>
      <c r="M1" s="3015"/>
      <c r="N1" s="3015"/>
      <c r="O1" s="3015"/>
      <c r="P1" s="3015"/>
    </row>
    <row r="2" spans="1:16" ht="15.75">
      <c r="A2" s="2357" t="s">
        <v>2774</v>
      </c>
      <c r="B2" s="2820" t="e">
        <f ca="1">SUMIF(B6:B13,"&lt;&gt;#ref!",B6:B13)</f>
        <v>#DIV/0!</v>
      </c>
      <c r="C2" s="2357" t="s">
        <v>2775</v>
      </c>
      <c r="D2" s="2357" t="s">
        <v>2776</v>
      </c>
      <c r="E2" s="2830">
        <f ca="1">SUMIF(E6:E13,"&lt;&gt;#ref!",E6:E13)</f>
        <v>0</v>
      </c>
      <c r="F2" s="3015"/>
      <c r="G2" s="3015"/>
      <c r="H2" s="3015"/>
      <c r="I2" s="3015"/>
      <c r="J2" s="3015"/>
      <c r="K2" s="3015"/>
      <c r="L2" s="3015"/>
      <c r="M2" s="3015"/>
      <c r="N2" s="3015"/>
      <c r="O2" s="3015"/>
      <c r="P2" s="3015"/>
    </row>
    <row r="3" spans="1:16" ht="15.75">
      <c r="A3" s="2357" t="s">
        <v>2777</v>
      </c>
      <c r="B3" s="2820" t="e">
        <f ca="1">ROUND(B2*10000/E2,0)</f>
        <v>#DIV/0!</v>
      </c>
      <c r="C3" s="2357" t="s">
        <v>2783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6" t="s">
        <v>2778</v>
      </c>
      <c r="B5" s="2828" t="s">
        <v>2779</v>
      </c>
      <c r="C5" s="2358"/>
      <c r="D5" s="3015"/>
      <c r="E5" s="2829" t="s">
        <v>2780</v>
      </c>
      <c r="F5" s="3015"/>
      <c r="G5" s="3015"/>
      <c r="H5" s="3015"/>
      <c r="I5" s="3015"/>
      <c r="J5" s="3015"/>
      <c r="K5" s="3015"/>
      <c r="L5" s="3015"/>
      <c r="M5" s="3015"/>
      <c r="N5" s="3015"/>
      <c r="O5" s="3015"/>
      <c r="P5" s="3015"/>
    </row>
    <row r="6" spans="1:16" ht="15.75">
      <c r="A6" s="2827" t="s">
        <v>2781</v>
      </c>
      <c r="B6" s="2820" t="e">
        <f ca="1">SUMIF(INDIRECT("'"&amp;A6&amp;"'"&amp;"!A:A"),"总价",INDIRECT("'"&amp;A6&amp;"'"&amp;"!B:B"))</f>
        <v>#DIV/0!</v>
      </c>
      <c r="C6" s="2357" t="s">
        <v>2775</v>
      </c>
      <c r="D6" s="3015"/>
      <c r="E6" s="2830">
        <f ca="1">SUMIF(INDIRECT("'"&amp;A6&amp;"'"&amp;"!C:C"),"建筑面积",INDIRECT("'"&amp;A6&amp;"'"&amp;"!D:D"))</f>
        <v>0</v>
      </c>
      <c r="F6" s="3015"/>
      <c r="G6" s="3015"/>
      <c r="H6" s="3015"/>
      <c r="I6" s="3015"/>
      <c r="J6" s="3015"/>
      <c r="K6" s="3015"/>
      <c r="L6" s="3015"/>
      <c r="M6" s="3015"/>
      <c r="N6" s="3015"/>
      <c r="O6" s="3015"/>
      <c r="P6" s="3015"/>
    </row>
    <row r="7" spans="1:16" ht="15.75">
      <c r="A7" s="2827"/>
      <c r="B7" s="2820" t="e">
        <f ca="1">SUMIF(INDIRECT("'"&amp;A7&amp;"'"&amp;"!A:A"),"总价",INDIRECT("'"&amp;A7&amp;"'"&amp;"!B:B"))</f>
        <v>#REF!</v>
      </c>
      <c r="C7" s="2357" t="s">
        <v>2775</v>
      </c>
      <c r="D7" s="3015"/>
      <c r="E7" s="2830" t="e">
        <f t="shared" ref="E7:E13" ca="1" si="0">SUMIF(INDIRECT("'"&amp;A7&amp;"'"&amp;"!C:C"),"建筑面积",INDIRECT("'"&amp;A7&amp;"'"&amp;"!D:D"))</f>
        <v>#REF!</v>
      </c>
      <c r="F7" s="3015"/>
      <c r="G7" s="3015"/>
      <c r="H7" s="3015"/>
      <c r="I7" s="3015"/>
      <c r="J7" s="3015"/>
      <c r="K7" s="3015"/>
      <c r="L7" s="3015"/>
      <c r="M7" s="3015"/>
      <c r="N7" s="3015"/>
      <c r="O7" s="3015"/>
      <c r="P7" s="3015"/>
    </row>
    <row r="8" spans="1:16" ht="15.75">
      <c r="A8" s="2827"/>
      <c r="B8" s="2820" t="e">
        <f t="shared" ref="B8:B13" ca="1" si="1">SUMIF(INDIRECT("'"&amp;A8&amp;"'"&amp;"!A:A"),"总价",INDIRECT("'"&amp;A8&amp;"'"&amp;"!B:B"))</f>
        <v>#REF!</v>
      </c>
      <c r="C8" s="2357" t="s">
        <v>2775</v>
      </c>
      <c r="D8" s="3015"/>
      <c r="E8" s="2830" t="e">
        <f t="shared" ca="1" si="0"/>
        <v>#REF!</v>
      </c>
      <c r="F8" s="3015"/>
      <c r="G8" s="3015"/>
      <c r="H8" s="3015"/>
      <c r="I8" s="3015"/>
      <c r="J8" s="3015"/>
      <c r="K8" s="3015"/>
      <c r="L8" s="3015"/>
      <c r="M8" s="3015"/>
      <c r="N8" s="3015"/>
      <c r="O8" s="3015"/>
      <c r="P8" s="3015"/>
    </row>
    <row r="9" spans="1:16" ht="15.75">
      <c r="A9" s="2827"/>
      <c r="B9" s="2820" t="e">
        <f t="shared" ca="1" si="1"/>
        <v>#REF!</v>
      </c>
      <c r="C9" s="2357" t="s">
        <v>2775</v>
      </c>
      <c r="D9" s="3015"/>
      <c r="E9" s="2830" t="e">
        <f t="shared" ca="1" si="0"/>
        <v>#REF!</v>
      </c>
      <c r="F9" s="3015"/>
      <c r="G9" s="3015"/>
      <c r="H9" s="3015"/>
      <c r="I9" s="3015"/>
      <c r="J9" s="3015"/>
      <c r="K9" s="3015"/>
      <c r="L9" s="3015"/>
      <c r="M9" s="3015"/>
      <c r="N9" s="3015"/>
      <c r="O9" s="3015"/>
      <c r="P9" s="3015"/>
    </row>
    <row r="10" spans="1:16" ht="15.75">
      <c r="A10" s="2827"/>
      <c r="B10" s="2820" t="e">
        <f t="shared" ca="1" si="1"/>
        <v>#REF!</v>
      </c>
      <c r="C10" s="2357" t="s">
        <v>2775</v>
      </c>
      <c r="D10" s="3015"/>
      <c r="E10" s="2830" t="e">
        <f t="shared" ca="1" si="0"/>
        <v>#REF!</v>
      </c>
      <c r="F10" s="3015"/>
      <c r="G10" s="3015"/>
      <c r="H10" s="3015"/>
      <c r="I10" s="3015"/>
      <c r="J10" s="3015"/>
      <c r="K10" s="3015"/>
      <c r="L10" s="3015"/>
      <c r="M10" s="3015"/>
      <c r="N10" s="3015"/>
      <c r="O10" s="3015"/>
      <c r="P10" s="3015"/>
    </row>
    <row r="11" spans="1:16" ht="15.75">
      <c r="A11" s="2827"/>
      <c r="B11" s="2820" t="e">
        <f t="shared" ca="1" si="1"/>
        <v>#REF!</v>
      </c>
      <c r="C11" s="2357" t="s">
        <v>2775</v>
      </c>
      <c r="D11" s="3015"/>
      <c r="E11" s="2830" t="e">
        <f t="shared" ca="1" si="0"/>
        <v>#REF!</v>
      </c>
      <c r="F11" s="3015"/>
      <c r="G11" s="3015"/>
      <c r="H11" s="3015"/>
      <c r="I11" s="3015"/>
      <c r="J11" s="3015"/>
      <c r="K11" s="3015"/>
      <c r="L11" s="3015"/>
      <c r="M11" s="3015"/>
      <c r="N11" s="3015"/>
      <c r="O11" s="3015"/>
      <c r="P11" s="3015"/>
    </row>
    <row r="12" spans="1:16" ht="15.75">
      <c r="A12" s="2827"/>
      <c r="B12" s="2820" t="e">
        <f t="shared" ca="1" si="1"/>
        <v>#REF!</v>
      </c>
      <c r="C12" s="2357" t="s">
        <v>2775</v>
      </c>
      <c r="D12" s="3015"/>
      <c r="E12" s="2830" t="e">
        <f t="shared" ca="1" si="0"/>
        <v>#REF!</v>
      </c>
      <c r="F12" s="3015"/>
      <c r="G12" s="3015"/>
      <c r="H12" s="3015"/>
      <c r="I12" s="3015"/>
      <c r="J12" s="3015"/>
      <c r="K12" s="3015"/>
      <c r="L12" s="3015"/>
      <c r="M12" s="3015"/>
      <c r="N12" s="3015"/>
      <c r="O12" s="3015"/>
      <c r="P12" s="3015"/>
    </row>
    <row r="13" spans="1:16" ht="15.75">
      <c r="A13" s="2827"/>
      <c r="B13" s="2820" t="e">
        <f t="shared" ca="1" si="1"/>
        <v>#REF!</v>
      </c>
      <c r="C13" s="2357" t="s">
        <v>2775</v>
      </c>
      <c r="D13" s="3015"/>
      <c r="E13" s="2830"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O57" sqref="O5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521" t="s">
        <v>1117</v>
      </c>
      <c r="C1" s="3521"/>
      <c r="D1" s="3521"/>
      <c r="E1" s="3521"/>
      <c r="F1" s="3521"/>
      <c r="G1" s="3517" t="s">
        <v>1118</v>
      </c>
      <c r="H1" s="3517"/>
      <c r="I1" s="3517"/>
      <c r="J1" s="3517"/>
      <c r="K1" s="3517"/>
      <c r="L1" s="3517"/>
      <c r="N1" s="3517" t="s">
        <v>1119</v>
      </c>
      <c r="O1" s="3517"/>
      <c r="P1" s="3517"/>
      <c r="Q1" s="3517"/>
      <c r="S1" s="3517" t="s">
        <v>1120</v>
      </c>
      <c r="T1" s="3517"/>
      <c r="U1" s="3517"/>
      <c r="V1" s="3517"/>
      <c r="X1" s="3516" t="s">
        <v>1121</v>
      </c>
      <c r="Y1" s="3517"/>
      <c r="Z1" s="3517"/>
      <c r="AA1" s="3517"/>
      <c r="AB1" s="3517"/>
      <c r="AD1" s="3516" t="s">
        <v>1122</v>
      </c>
      <c r="AE1" s="3517"/>
      <c r="AF1" s="3517"/>
      <c r="AG1" s="3517"/>
      <c r="AH1" s="3517"/>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2815</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3018</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5">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2816</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3017</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5">
        <v>2021</v>
      </c>
      <c r="H6" s="2421">
        <v>1</v>
      </c>
      <c r="I6" s="2383">
        <v>0.97</v>
      </c>
      <c r="J6" s="2383">
        <v>0.16</v>
      </c>
      <c r="K6" s="3171">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3015</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4">
        <v>2020</v>
      </c>
      <c r="H7" s="2421">
        <v>4</v>
      </c>
      <c r="I7" s="2383">
        <v>2.0699999999999998</v>
      </c>
      <c r="J7" s="2383">
        <v>0.37</v>
      </c>
      <c r="K7" s="3171">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3014</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1">
        <v>2020</v>
      </c>
      <c r="H8" s="2421">
        <v>3</v>
      </c>
      <c r="I8" s="2383">
        <v>0.36</v>
      </c>
      <c r="J8" s="2383">
        <v>-0.39</v>
      </c>
      <c r="K8" s="3171">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2832</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3171">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2830</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3171">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2829</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97">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2828</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97">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2826</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3172">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2824</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97">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2827</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519">
        <v>2018</v>
      </c>
      <c r="H15" s="2428">
        <v>4</v>
      </c>
      <c r="I15" s="2428">
        <v>0.96</v>
      </c>
      <c r="J15" s="2428">
        <v>1.03</v>
      </c>
      <c r="K15" s="3172">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2822</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519"/>
      <c r="H16" s="2421">
        <v>3</v>
      </c>
      <c r="I16" s="2421">
        <v>1.51</v>
      </c>
      <c r="J16" s="2421">
        <v>1.41</v>
      </c>
      <c r="K16" s="2497">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2821</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519"/>
      <c r="H17" s="2432">
        <v>2</v>
      </c>
      <c r="I17" s="2432">
        <v>1.49</v>
      </c>
      <c r="J17" s="2432">
        <v>0.96</v>
      </c>
      <c r="K17" s="2497">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2814</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526"/>
      <c r="H18" s="2421">
        <v>1</v>
      </c>
      <c r="I18" s="2421">
        <v>1.7</v>
      </c>
      <c r="J18" s="2421">
        <v>1.92</v>
      </c>
      <c r="K18" s="2497">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2812</v>
      </c>
      <c r="B19" s="2434">
        <v>439</v>
      </c>
      <c r="C19" s="2434">
        <v>327</v>
      </c>
      <c r="D19" s="2434">
        <f>C19</f>
        <v>327</v>
      </c>
      <c r="E19" s="2434">
        <v>627</v>
      </c>
      <c r="F19" s="2435">
        <v>283</v>
      </c>
      <c r="G19" s="3522">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2813</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519"/>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519"/>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526"/>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522">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519"/>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519"/>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520"/>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518">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519"/>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519"/>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520"/>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518">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519"/>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519"/>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520"/>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523">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524"/>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524"/>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525"/>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518">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519"/>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519"/>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520"/>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518">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519">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519">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520">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518">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519">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519">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520">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518">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519">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519">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520">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518">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519">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519">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520">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518">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519">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519">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520">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518">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519">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519">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520">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518">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519">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519">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520">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518">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519">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519">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520">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518">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519">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519">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520">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518">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519">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519">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520">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677"/>
      <c r="B4" s="3187" t="s">
        <v>1595</v>
      </c>
      <c r="C4" s="3187"/>
      <c r="D4" s="3187"/>
      <c r="E4" s="1677"/>
    </row>
    <row r="5" spans="1:5" ht="16.5" thickTop="1">
      <c r="A5" s="1675"/>
      <c r="B5" s="3185" t="s">
        <v>1587</v>
      </c>
      <c r="C5" s="1678" t="s">
        <v>1588</v>
      </c>
      <c r="D5" s="959" t="e">
        <f ca="1">结果表!H101</f>
        <v>#REF!</v>
      </c>
      <c r="E5" s="1675"/>
    </row>
    <row r="6" spans="1:5" ht="15.75">
      <c r="A6" s="1675"/>
      <c r="B6" s="3185"/>
      <c r="C6" s="1678" t="s">
        <v>1589</v>
      </c>
      <c r="D6" s="959" t="e">
        <f ca="1">NUMBERSTRING(INT(D5*10000),2)&amp;"元整"</f>
        <v>#REF!</v>
      </c>
      <c r="E6" s="1675"/>
    </row>
    <row r="7" spans="1:5" ht="15.75">
      <c r="A7" s="1675"/>
      <c r="B7" s="3190"/>
      <c r="C7" s="1679" t="s">
        <v>1590</v>
      </c>
      <c r="D7" s="960" t="e">
        <f ca="1">结果表!H102</f>
        <v>#REF!</v>
      </c>
      <c r="E7" s="1675"/>
    </row>
    <row r="8" spans="1:5" ht="15.75">
      <c r="A8" s="1675"/>
      <c r="B8" s="3191" t="str">
        <f>结果表!E103</f>
        <v>2.估价师知悉的法定优先受偿款</v>
      </c>
      <c r="C8" s="1680" t="s">
        <v>1591</v>
      </c>
      <c r="D8" s="960">
        <f>结果表!H103</f>
        <v>0</v>
      </c>
      <c r="E8" s="1675"/>
    </row>
    <row r="9" spans="1:5" ht="15.75">
      <c r="A9" s="1675"/>
      <c r="B9" s="3193"/>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84" t="str">
        <f>结果表!E107</f>
        <v>3.房地产抵押价值</v>
      </c>
      <c r="C13" s="1683" t="s">
        <v>1588</v>
      </c>
      <c r="D13" s="962" t="e">
        <f ca="1">结果表!H107</f>
        <v>#REF!</v>
      </c>
      <c r="E13" s="1675"/>
    </row>
    <row r="14" spans="1:5" ht="15.75">
      <c r="A14" s="1675"/>
      <c r="B14" s="3185"/>
      <c r="C14" s="1678" t="s">
        <v>1589</v>
      </c>
      <c r="D14" s="959" t="e">
        <f ca="1">NUMBERSTRING(INT(D13*10000),2)&amp;"元整"</f>
        <v>#REF!</v>
      </c>
      <c r="E14" s="1675"/>
    </row>
    <row r="15" spans="1:5" ht="15">
      <c r="A15" s="1675"/>
      <c r="B15" s="3190"/>
      <c r="C15" s="1679" t="s">
        <v>1599</v>
      </c>
      <c r="D15" s="968" t="e">
        <f ca="1">结果表!H108</f>
        <v>#REF!</v>
      </c>
      <c r="E15" s="1675"/>
    </row>
    <row r="16" spans="1:5" ht="15">
      <c r="A16" s="1675"/>
      <c r="B16" s="3191" t="str">
        <f>结果表!E109</f>
        <v>——</v>
      </c>
      <c r="C16" s="1683" t="s">
        <v>1600</v>
      </c>
      <c r="D16" s="1684" t="str">
        <f>结果表!H109</f>
        <v>——</v>
      </c>
      <c r="E16" s="1675"/>
    </row>
    <row r="17" spans="1:5" ht="15.75">
      <c r="A17" s="1675"/>
      <c r="B17" s="3192"/>
      <c r="C17" s="1678" t="s">
        <v>1601</v>
      </c>
      <c r="D17" s="959" t="e">
        <f>NUMBERSTRING(INT(D16*10000),2)&amp;"元整"</f>
        <v>#VALUE!</v>
      </c>
      <c r="E17" s="1675"/>
    </row>
    <row r="18" spans="1:5" ht="15">
      <c r="A18" s="1675"/>
      <c r="B18" s="3193"/>
      <c r="C18" s="1679" t="s">
        <v>1590</v>
      </c>
      <c r="D18" s="968" t="str">
        <f>结果表!H110</f>
        <v>——</v>
      </c>
      <c r="E18" s="1675"/>
    </row>
    <row r="19" spans="1:5" ht="15.75">
      <c r="A19" s="1675"/>
      <c r="B19" s="3184" t="str">
        <f>结果表!E111</f>
        <v>——</v>
      </c>
      <c r="C19" s="1683" t="s">
        <v>1588</v>
      </c>
      <c r="D19" s="960" t="str">
        <f>结果表!H111</f>
        <v>——</v>
      </c>
      <c r="E19" s="1675"/>
    </row>
    <row r="20" spans="1:5" ht="15.75">
      <c r="A20" s="1675"/>
      <c r="B20" s="3185"/>
      <c r="C20" s="1678" t="s">
        <v>1601</v>
      </c>
      <c r="D20" s="959" t="e">
        <f>NUMBERSTRING(INT(D19*10000),2)&amp;"元整"</f>
        <v>#VALUE!</v>
      </c>
      <c r="E20" s="1675"/>
    </row>
    <row r="21" spans="1:5" ht="15.75" thickBot="1">
      <c r="A21" s="1675"/>
      <c r="B21" s="3186"/>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T530" sqref="T5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2784</v>
      </c>
      <c r="C1" s="3530" t="s">
        <v>2785</v>
      </c>
      <c r="D1" s="3531"/>
      <c r="E1" s="3531"/>
      <c r="F1" s="3531"/>
      <c r="G1" s="3531"/>
      <c r="H1" s="3531"/>
      <c r="I1" s="3531"/>
      <c r="J1" s="3531"/>
      <c r="K1" s="3531"/>
      <c r="L1" s="3531"/>
      <c r="M1" s="3531"/>
      <c r="N1" s="3531"/>
      <c r="O1" s="3531"/>
      <c r="P1" s="3531"/>
      <c r="Q1" s="3531"/>
      <c r="R1" s="3531"/>
      <c r="S1" s="3532"/>
      <c r="T1" s="1114" t="s">
        <v>2786</v>
      </c>
    </row>
    <row r="2" spans="1:45" s="663" customFormat="1">
      <c r="A2" s="1115"/>
      <c r="B2" s="659" t="s">
        <v>2787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2788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2789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2790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2791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2792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2793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2794</v>
      </c>
      <c r="B17" s="2361" t="s">
        <v>2795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2" t="s">
        <v>2796</v>
      </c>
      <c r="E19" s="1523"/>
      <c r="F19" s="1523"/>
      <c r="G19" s="1523"/>
      <c r="H19" s="1190"/>
      <c r="I19" s="164"/>
      <c r="J19" s="164"/>
      <c r="K19" s="164"/>
      <c r="L19" s="164"/>
      <c r="M19" s="164"/>
      <c r="N19" s="164"/>
      <c r="O19" s="164"/>
      <c r="P19" s="164"/>
      <c r="Q19" s="164"/>
      <c r="R19" s="727"/>
      <c r="S19" s="134"/>
    </row>
    <row r="20" spans="1:45" ht="16.5" thickBot="1">
      <c r="A20" s="671" t="s">
        <v>2797</v>
      </c>
      <c r="B20" s="300" t="e">
        <f ca="1">IF(D20="——",S22,S22-F20)</f>
        <v>#REF!</v>
      </c>
      <c r="C20" s="164"/>
      <c r="D20" s="2363"/>
      <c r="E20" s="1524"/>
      <c r="F20" s="1114" t="e">
        <f ca="1">SUMIF(INDIRECT("'"&amp;H20&amp;"'"&amp;"!A:A"),"承租人权益价值",INDIRECT("'"&amp;H20&amp;"'"&amp;"!c:c"))</f>
        <v>#REF!</v>
      </c>
      <c r="G20" s="1114" t="s">
        <v>2798</v>
      </c>
      <c r="H20" s="2364"/>
      <c r="I20" s="164"/>
      <c r="J20" s="164"/>
      <c r="K20" s="164"/>
      <c r="L20" s="164"/>
      <c r="M20" s="164"/>
      <c r="N20" s="164"/>
      <c r="O20" s="164"/>
      <c r="P20" s="164"/>
      <c r="Q20" s="164"/>
      <c r="R20" s="727"/>
      <c r="S20" s="134"/>
    </row>
    <row r="21" spans="1:45" ht="15.75">
      <c r="A21" s="671" t="s">
        <v>2799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2800</v>
      </c>
      <c r="B22" s="24">
        <f>SUM(B24:B10000)</f>
        <v>100</v>
      </c>
      <c r="C22" s="3527" t="s">
        <v>33</v>
      </c>
      <c r="D22" s="3528"/>
      <c r="E22" s="3528"/>
      <c r="F22" s="3528"/>
      <c r="G22" s="3528"/>
      <c r="H22" s="3528"/>
      <c r="I22" s="3528"/>
      <c r="J22" s="3528"/>
      <c r="K22" s="3528"/>
      <c r="L22" s="3528"/>
      <c r="M22" s="3528"/>
      <c r="N22" s="3528"/>
      <c r="O22" s="3528"/>
      <c r="P22" s="3528"/>
      <c r="Q22" s="3529"/>
      <c r="R22" s="672">
        <f>ROUND(S22*10000/B22,0)</f>
        <v>10000</v>
      </c>
      <c r="S22" s="24">
        <f>SUM(S24:S10000)</f>
        <v>100</v>
      </c>
    </row>
    <row r="23" spans="1:45" s="12" customFormat="1" ht="24">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73" t="s">
        <v>2804</v>
      </c>
      <c r="S23" s="11" t="s">
        <v>2805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2806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150688</v>
      </c>
      <c r="C2" s="2" t="s">
        <v>133</v>
      </c>
      <c r="D2" s="205"/>
      <c r="E2" s="205"/>
      <c r="F2" s="205"/>
      <c r="G2" s="205"/>
    </row>
    <row r="3" spans="1:7" s="206" customFormat="1" ht="18" customHeight="1" thickBot="1">
      <c r="A3" s="209" t="s">
        <v>85</v>
      </c>
      <c r="B3" s="210">
        <f ca="1">ROUND(B2*10000/'数据-汇总表'!E3,0)</f>
        <v>11591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1620</v>
      </c>
      <c r="D9" s="954">
        <f>'数据-汇总表'!E5</f>
        <v>101252.65000000002</v>
      </c>
      <c r="E9" s="231">
        <f>'数据-取费表'!B27</f>
        <v>160</v>
      </c>
      <c r="F9" s="227"/>
      <c r="G9" s="232"/>
    </row>
    <row r="10" spans="1:7" s="220" customFormat="1" ht="13.5" customHeight="1">
      <c r="A10" s="887" t="s">
        <v>801</v>
      </c>
      <c r="B10" s="230" t="s">
        <v>94</v>
      </c>
      <c r="C10" s="231">
        <f>ROUND(D10*E10/10000,0)</f>
        <v>575</v>
      </c>
      <c r="D10" s="954">
        <f>'数据-汇总表'!E6</f>
        <v>28750.119999999995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2600</v>
      </c>
      <c r="D19" s="958">
        <f>'数据-汇总表'!E3</f>
        <v>130002.77000000002</v>
      </c>
      <c r="E19" s="217">
        <f>'数据-取费表'!B31</f>
        <v>200</v>
      </c>
      <c r="F19" s="237"/>
      <c r="G19" s="1" t="s">
        <v>1042</v>
      </c>
    </row>
    <row r="20" spans="1:7" s="220" customFormat="1" ht="13.5" customHeight="1">
      <c r="A20" s="885" t="s">
        <v>1025</v>
      </c>
      <c r="B20" s="216" t="s">
        <v>104</v>
      </c>
      <c r="C20" s="238">
        <f>ROUND((C5+C19)*F20,0)</f>
        <v>580</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3200</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354</v>
      </c>
      <c r="D24" s="244"/>
      <c r="E24" s="244"/>
      <c r="F24" s="245"/>
      <c r="G24" s="246" t="s">
        <v>109</v>
      </c>
    </row>
    <row r="25" spans="1:7" s="220" customFormat="1" ht="24">
      <c r="A25" s="888" t="s">
        <v>793</v>
      </c>
      <c r="B25" s="221" t="s">
        <v>1026</v>
      </c>
      <c r="C25" s="1265">
        <f ca="1">ROUND(IF('数据-取费表'!B22&lt;=1,C20*F22*'数据-取费表'!B23/2,C20*(POWER((1+F22),'数据-取费表'!B23/2)-1)),0)</f>
        <v>38</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2141</v>
      </c>
      <c r="D27" s="241">
        <f>C29</f>
        <v>2.3E-3</v>
      </c>
      <c r="E27" s="242" t="s">
        <v>126</v>
      </c>
      <c r="F27" s="252">
        <f>'数据-取费表'!Q16</f>
        <v>0.09</v>
      </c>
      <c r="G27" s="253" t="s">
        <v>1037</v>
      </c>
    </row>
    <row r="28" spans="1:7" s="220" customFormat="1" ht="13.5" customHeight="1">
      <c r="A28" s="888" t="s">
        <v>794</v>
      </c>
      <c r="B28" s="254" t="s">
        <v>1030</v>
      </c>
      <c r="C28" s="255">
        <f>ROUND((C5+C19+C20)*F27*'数据-取费表'!B21/'数据-取费表'!B20,0)</f>
        <v>2141</v>
      </c>
      <c r="D28" s="241"/>
      <c r="E28" s="242"/>
      <c r="F28" s="252"/>
      <c r="G28" s="253"/>
    </row>
    <row r="29" spans="1:7" s="220" customFormat="1" ht="13.5" customHeight="1">
      <c r="A29" s="888" t="s">
        <v>792</v>
      </c>
      <c r="B29" s="254" t="s">
        <v>1031</v>
      </c>
      <c r="C29" s="244">
        <f>ROUND(C21*F27*'数据-取费表'!B21/'数据-取费表'!B20,4)</f>
        <v>2.3E-3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31708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94139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81627</v>
      </c>
      <c r="D34" s="223"/>
      <c r="E34" s="226"/>
      <c r="F34" s="263">
        <f>IF('数据-取费表'!B24=0,1,'数据-取费表'!N16)</f>
        <v>1</v>
      </c>
      <c r="G34" s="225" t="s">
        <v>116</v>
      </c>
    </row>
    <row r="35" spans="1:7" ht="13.5" customHeight="1">
      <c r="A35" s="888" t="s">
        <v>796</v>
      </c>
      <c r="B35" s="221" t="s">
        <v>60</v>
      </c>
      <c r="C35" s="226">
        <f>ROUND(C34*F35,0)</f>
        <v>4081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4607</v>
      </c>
      <c r="D36" s="226"/>
      <c r="E36" s="226"/>
      <c r="F36" s="265">
        <f>'数据-取费表'!B34</f>
        <v>7.0000000000000007E-2</v>
      </c>
      <c r="G36" s="266" t="s">
        <v>62</v>
      </c>
    </row>
    <row r="37" spans="1:7" s="264" customFormat="1" ht="13.5" customHeight="1">
      <c r="A37" s="888" t="s">
        <v>798</v>
      </c>
      <c r="B37" s="221" t="s">
        <v>118</v>
      </c>
      <c r="C37" s="255">
        <f>ROUND(E37*D37*F34/10000,0)</f>
        <v>2600</v>
      </c>
      <c r="D37" s="223">
        <f>'数据-汇总表'!E3</f>
        <v>130002.77000000002</v>
      </c>
      <c r="E37" s="255">
        <f>'数据-取费表'!B35</f>
        <v>200</v>
      </c>
      <c r="F37" s="265"/>
      <c r="G37" s="267" t="s">
        <v>119</v>
      </c>
    </row>
    <row r="38" spans="1:7" ht="13.5" customHeight="1">
      <c r="A38" s="888" t="s">
        <v>799</v>
      </c>
      <c r="B38" s="221" t="s">
        <v>63</v>
      </c>
      <c r="C38" s="226">
        <f>ROUND(C34*F38,0)</f>
        <v>1224</v>
      </c>
      <c r="D38" s="226"/>
      <c r="E38" s="226"/>
      <c r="F38" s="265">
        <f>'数据-取费表'!B36</f>
        <v>1.4999999999999999E-2</v>
      </c>
      <c r="G38" s="225" t="s">
        <v>117</v>
      </c>
    </row>
    <row r="39" spans="1:7" s="220" customFormat="1" ht="13.5" customHeight="1">
      <c r="A39" s="885" t="s">
        <v>783</v>
      </c>
      <c r="B39" s="216" t="s">
        <v>104</v>
      </c>
      <c r="C39" s="238">
        <f>ROUND(C33*F20,0)</f>
        <v>2353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6364</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6209</v>
      </c>
      <c r="D42" s="244"/>
      <c r="E42" s="244"/>
      <c r="F42" s="245"/>
      <c r="G42" s="3430" t="s">
        <v>121</v>
      </c>
    </row>
    <row r="43" spans="1:7" ht="13.5" customHeight="1">
      <c r="A43" s="888" t="s">
        <v>792</v>
      </c>
      <c r="B43" s="221" t="s">
        <v>1032</v>
      </c>
      <c r="C43" s="244">
        <f ca="1">ROUND(IF('数据-取费表'!B22&lt;=1,C39*F22*'数据-取费表'!B21/2,C39*(POWER((1+F22),'数据-取费表'!B21/2)-1)),0)</f>
        <v>155</v>
      </c>
      <c r="D43" s="244"/>
      <c r="E43" s="244"/>
      <c r="F43" s="245"/>
      <c r="G43" s="3431"/>
    </row>
    <row r="44" spans="1:7" ht="13.5" customHeight="1">
      <c r="A44" s="888" t="s">
        <v>793</v>
      </c>
      <c r="B44" s="221" t="s">
        <v>1034</v>
      </c>
      <c r="C44" s="244">
        <f ca="1">ROUND(IF('数据-取费表'!B22&lt;=1,C40*F22*'数据-取费表'!B21/2,C40*(POWER((1+F22),'数据-取费表'!B21/2)-1)),4)</f>
        <v>1.6000000000000001E-3</v>
      </c>
      <c r="D44" s="244"/>
      <c r="E44" s="244"/>
      <c r="F44" s="245"/>
      <c r="G44" s="3432"/>
    </row>
    <row r="45" spans="1:7" s="220" customFormat="1" ht="13.5" customHeight="1">
      <c r="A45" s="885" t="s">
        <v>786</v>
      </c>
      <c r="B45" s="250" t="s">
        <v>112</v>
      </c>
      <c r="C45" s="251">
        <f>C46</f>
        <v>8684</v>
      </c>
      <c r="D45" s="241">
        <f>C47</f>
        <v>2.3E-3</v>
      </c>
      <c r="E45" s="242" t="s">
        <v>129</v>
      </c>
      <c r="F45" s="252"/>
      <c r="G45" s="253" t="s">
        <v>1040</v>
      </c>
    </row>
    <row r="46" spans="1:7" s="220" customFormat="1" ht="13.5" customHeight="1">
      <c r="A46" s="888" t="s">
        <v>794</v>
      </c>
      <c r="B46" s="254" t="s">
        <v>1033</v>
      </c>
      <c r="C46" s="255">
        <f>ROUND((C33+C39)*F27,0)</f>
        <v>8684</v>
      </c>
      <c r="D46" s="269"/>
      <c r="E46" s="242"/>
      <c r="F46" s="252"/>
      <c r="G46" s="253"/>
    </row>
    <row r="47" spans="1:7" s="220" customFormat="1" ht="13.5" customHeight="1">
      <c r="A47" s="888" t="s">
        <v>792</v>
      </c>
      <c r="B47" s="254" t="s">
        <v>1035</v>
      </c>
      <c r="C47" s="244">
        <f>ROUND(C40*F27,4)</f>
        <v>2.3E-3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121408</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118980</v>
      </c>
      <c r="D51" s="238"/>
      <c r="E51" s="238"/>
      <c r="F51" s="270"/>
      <c r="G51" s="240" t="s">
        <v>64</v>
      </c>
    </row>
    <row r="52" spans="1:7" s="214" customFormat="1" ht="16.5" thickBot="1">
      <c r="A52" s="271" t="s">
        <v>65</v>
      </c>
      <c r="B52" s="272"/>
      <c r="C52" s="273">
        <f ca="1">C31+C51</f>
        <v>150688</v>
      </c>
      <c r="D52" s="272"/>
      <c r="E52" s="272"/>
      <c r="F52" s="272"/>
      <c r="G52" s="274"/>
    </row>
    <row r="55" spans="1:7" ht="15">
      <c r="B55" s="276" t="s">
        <v>66</v>
      </c>
      <c r="C55" s="277"/>
    </row>
    <row r="56" spans="1:7">
      <c r="B56" s="279" t="s">
        <v>67</v>
      </c>
      <c r="C56" s="280">
        <f ca="1">ROUND(C51/C52,3)</f>
        <v>0.79</v>
      </c>
    </row>
    <row r="57" spans="1:7">
      <c r="B57" s="279" t="s">
        <v>68</v>
      </c>
      <c r="C57" s="281">
        <f ca="1">1-C56</f>
        <v>0.20999999999999996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3" t="s">
        <v>156</v>
      </c>
      <c r="B1" s="3533"/>
      <c r="C1" s="3533"/>
      <c r="D1" s="3533"/>
      <c r="E1" s="3533"/>
      <c r="F1" s="353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4" t="s">
        <v>169</v>
      </c>
      <c r="B2" s="3534"/>
      <c r="C2" s="3534"/>
      <c r="D2" s="3534"/>
      <c r="E2" s="3534"/>
      <c r="F2" s="353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3" t="s">
        <v>839</v>
      </c>
      <c r="B1" s="353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44314</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3">
        <v>43941</v>
      </c>
      <c r="D13" s="3044">
        <v>3.85</v>
      </c>
      <c r="E13" s="3044">
        <v>3.85</v>
      </c>
      <c r="F13" s="3044">
        <v>3.85</v>
      </c>
      <c r="G13" s="3044">
        <v>3.85</v>
      </c>
      <c r="H13" s="3044">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9"/>
      <c r="C14" s="3040">
        <v>43881</v>
      </c>
      <c r="D14" s="3039">
        <v>4.05</v>
      </c>
      <c r="E14" s="3039">
        <v>4.05</v>
      </c>
      <c r="F14" s="3039">
        <v>4.05</v>
      </c>
      <c r="G14" s="3039">
        <v>4.05</v>
      </c>
      <c r="H14" s="3039">
        <v>4.75</v>
      </c>
      <c r="I14" s="3039"/>
      <c r="J14" s="3039"/>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9"/>
      <c r="C15" s="3040">
        <v>43789</v>
      </c>
      <c r="D15" s="3039">
        <v>4.1500000000000004</v>
      </c>
      <c r="E15" s="3039">
        <v>4.1500000000000004</v>
      </c>
      <c r="F15" s="3039">
        <v>4.1500000000000004</v>
      </c>
      <c r="G15" s="3039">
        <v>4.1500000000000004</v>
      </c>
      <c r="H15" s="3039">
        <v>4.8</v>
      </c>
      <c r="I15" s="3039"/>
      <c r="J15" s="3039"/>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9"/>
      <c r="C16" s="3040">
        <v>43728</v>
      </c>
      <c r="D16" s="3039">
        <v>4.2</v>
      </c>
      <c r="E16" s="3039">
        <v>4.2</v>
      </c>
      <c r="F16" s="3039">
        <v>4.2</v>
      </c>
      <c r="G16" s="3039">
        <v>4.2</v>
      </c>
      <c r="H16" s="3039">
        <v>4.8499999999999996</v>
      </c>
      <c r="I16" s="3039"/>
      <c r="J16" s="3039"/>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8" t="s">
        <v>3016</v>
      </c>
      <c r="C17" s="3041">
        <v>43697</v>
      </c>
      <c r="D17" s="3042">
        <v>4.25</v>
      </c>
      <c r="E17" s="3042">
        <v>4.25</v>
      </c>
      <c r="F17" s="3042">
        <v>4.25</v>
      </c>
      <c r="G17" s="3042">
        <v>4.25</v>
      </c>
      <c r="H17" s="3042">
        <v>4.8499999999999996</v>
      </c>
      <c r="I17" s="3042"/>
      <c r="J17" s="3042"/>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0" customFormat="1" ht="15">
      <c r="A18" s="3045"/>
      <c r="B18" s="3046"/>
      <c r="C18" s="3047">
        <v>42301</v>
      </c>
      <c r="D18" s="3048">
        <v>4.3499999999999996</v>
      </c>
      <c r="E18" s="3048">
        <v>4.3499999999999996</v>
      </c>
      <c r="F18" s="3048">
        <v>4.75</v>
      </c>
      <c r="G18" s="3048">
        <v>4.75</v>
      </c>
      <c r="H18" s="3048">
        <v>4.9000000000000004</v>
      </c>
      <c r="I18" s="3048"/>
      <c r="J18" s="3048"/>
      <c r="K18" s="1445"/>
      <c r="L18" s="3048"/>
      <c r="M18" s="3047">
        <v>41965</v>
      </c>
      <c r="N18" s="3048">
        <v>0.35</v>
      </c>
      <c r="O18" s="3048">
        <v>2.35</v>
      </c>
      <c r="P18" s="3048">
        <v>2.5499999999999998</v>
      </c>
      <c r="Q18" s="3048">
        <v>2.75</v>
      </c>
      <c r="R18" s="3048">
        <v>3.35</v>
      </c>
      <c r="S18" s="3048">
        <v>4</v>
      </c>
      <c r="T18" s="3048">
        <v>4.75</v>
      </c>
      <c r="U18" s="3049">
        <v>2.35</v>
      </c>
      <c r="V18" s="3049">
        <v>2.5499999999999998</v>
      </c>
      <c r="W18" s="3049">
        <v>2.75</v>
      </c>
      <c r="X18" s="3048"/>
      <c r="Y18" s="3049">
        <v>0.8</v>
      </c>
      <c r="Z18" s="3049">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5"/>
  <sheetViews>
    <sheetView topLeftCell="AD1" workbookViewId="0">
      <selection activeCell="K32" sqref="K32"/>
    </sheetView>
  </sheetViews>
  <sheetFormatPr defaultRowHeight="12"/>
  <cols>
    <col min="1" max="1" width="17.25" style="3053" customWidth="1"/>
    <col min="2" max="2" width="6.25" style="3053" customWidth="1"/>
    <col min="3" max="3" width="13.875" style="3053" customWidth="1"/>
    <col min="4" max="4" width="6.25" style="3053" customWidth="1"/>
    <col min="5" max="5" width="9.625" style="3053" customWidth="1"/>
    <col min="6" max="6" width="14.5" style="3053" customWidth="1"/>
    <col min="7" max="7" width="7.875" style="3053" customWidth="1"/>
    <col min="8" max="8" width="23.125" style="3053" customWidth="1"/>
    <col min="9" max="9" width="16.625" style="3053" customWidth="1"/>
    <col min="10" max="11" width="13.875" style="3053" customWidth="1"/>
    <col min="12" max="12" width="20.75" style="3053" customWidth="1"/>
    <col min="13" max="13" width="7.875" style="3053" customWidth="1"/>
    <col min="14" max="14" width="21.25" style="3053" customWidth="1"/>
    <col min="15" max="15" width="24.125" style="3053" customWidth="1"/>
    <col min="16" max="16" width="9.625" style="3053" customWidth="1"/>
    <col min="17" max="18" width="15.5" style="3053" customWidth="1"/>
    <col min="19" max="19" width="69.5" style="3053" customWidth="1"/>
    <col min="20" max="20" width="50.125" style="3053" customWidth="1"/>
    <col min="21" max="21" width="37.25" style="3053" customWidth="1"/>
    <col min="22" max="22" width="17.875" style="3053" customWidth="1"/>
    <col min="23" max="23" width="7.875" style="3053" customWidth="1"/>
    <col min="24" max="27" width="9" style="3053" customWidth="1"/>
    <col min="28" max="28" width="23.125" style="3053" customWidth="1"/>
    <col min="29" max="29" width="7.875" style="3053" customWidth="1"/>
    <col min="30" max="30" width="28.875" style="3053" customWidth="1"/>
    <col min="31" max="31" width="20.25" style="3053" customWidth="1"/>
    <col min="32" max="34" width="10.625" style="3053" customWidth="1"/>
    <col min="35" max="36" width="16" style="3053" customWidth="1"/>
    <col min="37" max="38" width="14.375" style="3053" customWidth="1"/>
    <col min="39" max="40" width="21.875" style="3053" customWidth="1"/>
    <col min="41" max="41" width="6.25" style="3053" customWidth="1"/>
    <col min="42" max="42" width="24.5" style="3053" customWidth="1"/>
    <col min="43" max="43" width="16.875" style="3053" customWidth="1"/>
    <col min="44" max="45" width="20.125" style="3053" customWidth="1"/>
    <col min="46" max="46" width="7.875" style="3053" customWidth="1"/>
    <col min="47" max="256" width="9" style="3053"/>
    <col min="257" max="257" width="17.25" style="3053" customWidth="1"/>
    <col min="258" max="258" width="6.25" style="3053" customWidth="1"/>
    <col min="259" max="259" width="13.875" style="3053" customWidth="1"/>
    <col min="260" max="260" width="6.25" style="3053" customWidth="1"/>
    <col min="261" max="261" width="9.625" style="3053" customWidth="1"/>
    <col min="262" max="262" width="14.5" style="3053" customWidth="1"/>
    <col min="263" max="263" width="7.875" style="3053" customWidth="1"/>
    <col min="264" max="264" width="23.125" style="3053" customWidth="1"/>
    <col min="265" max="265" width="16.625" style="3053" customWidth="1"/>
    <col min="266" max="267" width="13.875" style="3053" customWidth="1"/>
    <col min="268" max="268" width="20.75" style="3053" customWidth="1"/>
    <col min="269" max="269" width="7.875" style="3053" customWidth="1"/>
    <col min="270" max="270" width="21.25" style="3053" customWidth="1"/>
    <col min="271" max="271" width="24.125" style="3053" customWidth="1"/>
    <col min="272" max="272" width="9.625" style="3053" customWidth="1"/>
    <col min="273" max="274" width="15.5" style="3053" customWidth="1"/>
    <col min="275" max="275" width="69.5" style="3053" customWidth="1"/>
    <col min="276" max="276" width="50.125" style="3053" customWidth="1"/>
    <col min="277" max="277" width="37.25" style="3053" customWidth="1"/>
    <col min="278" max="278" width="17.875" style="3053" customWidth="1"/>
    <col min="279" max="279" width="7.875" style="3053" customWidth="1"/>
    <col min="280" max="283" width="9" style="3053" customWidth="1"/>
    <col min="284" max="284" width="23.125" style="3053" customWidth="1"/>
    <col min="285" max="285" width="7.875" style="3053" customWidth="1"/>
    <col min="286" max="286" width="89.875" style="3053" customWidth="1"/>
    <col min="287" max="287" width="78.5" style="3053" customWidth="1"/>
    <col min="288" max="290" width="10.625" style="3053" customWidth="1"/>
    <col min="291" max="292" width="16" style="3053" customWidth="1"/>
    <col min="293" max="294" width="14.375" style="3053" customWidth="1"/>
    <col min="295" max="296" width="21.875" style="3053" customWidth="1"/>
    <col min="297" max="297" width="6.25" style="3053" customWidth="1"/>
    <col min="298" max="298" width="24.5" style="3053" customWidth="1"/>
    <col min="299" max="299" width="16.875" style="3053" customWidth="1"/>
    <col min="300" max="301" width="20.125" style="3053" customWidth="1"/>
    <col min="302" max="302" width="7.875" style="3053" customWidth="1"/>
    <col min="303" max="512" width="9" style="3053"/>
    <col min="513" max="513" width="17.25" style="3053" customWidth="1"/>
    <col min="514" max="514" width="6.25" style="3053" customWidth="1"/>
    <col min="515" max="515" width="13.875" style="3053" customWidth="1"/>
    <col min="516" max="516" width="6.25" style="3053" customWidth="1"/>
    <col min="517" max="517" width="9.625" style="3053" customWidth="1"/>
    <col min="518" max="518" width="14.5" style="3053" customWidth="1"/>
    <col min="519" max="519" width="7.875" style="3053" customWidth="1"/>
    <col min="520" max="520" width="23.125" style="3053" customWidth="1"/>
    <col min="521" max="521" width="16.625" style="3053" customWidth="1"/>
    <col min="522" max="523" width="13.875" style="3053" customWidth="1"/>
    <col min="524" max="524" width="20.75" style="3053" customWidth="1"/>
    <col min="525" max="525" width="7.875" style="3053" customWidth="1"/>
    <col min="526" max="526" width="21.25" style="3053" customWidth="1"/>
    <col min="527" max="527" width="24.125" style="3053" customWidth="1"/>
    <col min="528" max="528" width="9.625" style="3053" customWidth="1"/>
    <col min="529" max="530" width="15.5" style="3053" customWidth="1"/>
    <col min="531" max="531" width="69.5" style="3053" customWidth="1"/>
    <col min="532" max="532" width="50.125" style="3053" customWidth="1"/>
    <col min="533" max="533" width="37.25" style="3053" customWidth="1"/>
    <col min="534" max="534" width="17.875" style="3053" customWidth="1"/>
    <col min="535" max="535" width="7.875" style="3053" customWidth="1"/>
    <col min="536" max="539" width="9" style="3053" customWidth="1"/>
    <col min="540" max="540" width="23.125" style="3053" customWidth="1"/>
    <col min="541" max="541" width="7.875" style="3053" customWidth="1"/>
    <col min="542" max="542" width="89.875" style="3053" customWidth="1"/>
    <col min="543" max="543" width="78.5" style="3053" customWidth="1"/>
    <col min="544" max="546" width="10.625" style="3053" customWidth="1"/>
    <col min="547" max="548" width="16" style="3053" customWidth="1"/>
    <col min="549" max="550" width="14.375" style="3053" customWidth="1"/>
    <col min="551" max="552" width="21.875" style="3053" customWidth="1"/>
    <col min="553" max="553" width="6.25" style="3053" customWidth="1"/>
    <col min="554" max="554" width="24.5" style="3053" customWidth="1"/>
    <col min="555" max="555" width="16.875" style="3053" customWidth="1"/>
    <col min="556" max="557" width="20.125" style="3053" customWidth="1"/>
    <col min="558" max="558" width="7.875" style="3053" customWidth="1"/>
    <col min="559" max="768" width="9" style="3053"/>
    <col min="769" max="769" width="17.25" style="3053" customWidth="1"/>
    <col min="770" max="770" width="6.25" style="3053" customWidth="1"/>
    <col min="771" max="771" width="13.875" style="3053" customWidth="1"/>
    <col min="772" max="772" width="6.25" style="3053" customWidth="1"/>
    <col min="773" max="773" width="9.625" style="3053" customWidth="1"/>
    <col min="774" max="774" width="14.5" style="3053" customWidth="1"/>
    <col min="775" max="775" width="7.875" style="3053" customWidth="1"/>
    <col min="776" max="776" width="23.125" style="3053" customWidth="1"/>
    <col min="777" max="777" width="16.625" style="3053" customWidth="1"/>
    <col min="778" max="779" width="13.875" style="3053" customWidth="1"/>
    <col min="780" max="780" width="20.75" style="3053" customWidth="1"/>
    <col min="781" max="781" width="7.875" style="3053" customWidth="1"/>
    <col min="782" max="782" width="21.25" style="3053" customWidth="1"/>
    <col min="783" max="783" width="24.125" style="3053" customWidth="1"/>
    <col min="784" max="784" width="9.625" style="3053" customWidth="1"/>
    <col min="785" max="786" width="15.5" style="3053" customWidth="1"/>
    <col min="787" max="787" width="69.5" style="3053" customWidth="1"/>
    <col min="788" max="788" width="50.125" style="3053" customWidth="1"/>
    <col min="789" max="789" width="37.25" style="3053" customWidth="1"/>
    <col min="790" max="790" width="17.875" style="3053" customWidth="1"/>
    <col min="791" max="791" width="7.875" style="3053" customWidth="1"/>
    <col min="792" max="795" width="9" style="3053" customWidth="1"/>
    <col min="796" max="796" width="23.125" style="3053" customWidth="1"/>
    <col min="797" max="797" width="7.875" style="3053" customWidth="1"/>
    <col min="798" max="798" width="89.875" style="3053" customWidth="1"/>
    <col min="799" max="799" width="78.5" style="3053" customWidth="1"/>
    <col min="800" max="802" width="10.625" style="3053" customWidth="1"/>
    <col min="803" max="804" width="16" style="3053" customWidth="1"/>
    <col min="805" max="806" width="14.375" style="3053" customWidth="1"/>
    <col min="807" max="808" width="21.875" style="3053" customWidth="1"/>
    <col min="809" max="809" width="6.25" style="3053" customWidth="1"/>
    <col min="810" max="810" width="24.5" style="3053" customWidth="1"/>
    <col min="811" max="811" width="16.875" style="3053" customWidth="1"/>
    <col min="812" max="813" width="20.125" style="3053" customWidth="1"/>
    <col min="814" max="814" width="7.875" style="3053" customWidth="1"/>
    <col min="815" max="1024" width="9" style="3053"/>
    <col min="1025" max="1025" width="17.25" style="3053" customWidth="1"/>
    <col min="1026" max="1026" width="6.25" style="3053" customWidth="1"/>
    <col min="1027" max="1027" width="13.875" style="3053" customWidth="1"/>
    <col min="1028" max="1028" width="6.25" style="3053" customWidth="1"/>
    <col min="1029" max="1029" width="9.625" style="3053" customWidth="1"/>
    <col min="1030" max="1030" width="14.5" style="3053" customWidth="1"/>
    <col min="1031" max="1031" width="7.875" style="3053" customWidth="1"/>
    <col min="1032" max="1032" width="23.125" style="3053" customWidth="1"/>
    <col min="1033" max="1033" width="16.625" style="3053" customWidth="1"/>
    <col min="1034" max="1035" width="13.875" style="3053" customWidth="1"/>
    <col min="1036" max="1036" width="20.75" style="3053" customWidth="1"/>
    <col min="1037" max="1037" width="7.875" style="3053" customWidth="1"/>
    <col min="1038" max="1038" width="21.25" style="3053" customWidth="1"/>
    <col min="1039" max="1039" width="24.125" style="3053" customWidth="1"/>
    <col min="1040" max="1040" width="9.625" style="3053" customWidth="1"/>
    <col min="1041" max="1042" width="15.5" style="3053" customWidth="1"/>
    <col min="1043" max="1043" width="69.5" style="3053" customWidth="1"/>
    <col min="1044" max="1044" width="50.125" style="3053" customWidth="1"/>
    <col min="1045" max="1045" width="37.25" style="3053" customWidth="1"/>
    <col min="1046" max="1046" width="17.875" style="3053" customWidth="1"/>
    <col min="1047" max="1047" width="7.875" style="3053" customWidth="1"/>
    <col min="1048" max="1051" width="9" style="3053" customWidth="1"/>
    <col min="1052" max="1052" width="23.125" style="3053" customWidth="1"/>
    <col min="1053" max="1053" width="7.875" style="3053" customWidth="1"/>
    <col min="1054" max="1054" width="89.875" style="3053" customWidth="1"/>
    <col min="1055" max="1055" width="78.5" style="3053" customWidth="1"/>
    <col min="1056" max="1058" width="10.625" style="3053" customWidth="1"/>
    <col min="1059" max="1060" width="16" style="3053" customWidth="1"/>
    <col min="1061" max="1062" width="14.375" style="3053" customWidth="1"/>
    <col min="1063" max="1064" width="21.875" style="3053" customWidth="1"/>
    <col min="1065" max="1065" width="6.25" style="3053" customWidth="1"/>
    <col min="1066" max="1066" width="24.5" style="3053" customWidth="1"/>
    <col min="1067" max="1067" width="16.875" style="3053" customWidth="1"/>
    <col min="1068" max="1069" width="20.125" style="3053" customWidth="1"/>
    <col min="1070" max="1070" width="7.875" style="3053" customWidth="1"/>
    <col min="1071" max="1280" width="9" style="3053"/>
    <col min="1281" max="1281" width="17.25" style="3053" customWidth="1"/>
    <col min="1282" max="1282" width="6.25" style="3053" customWidth="1"/>
    <col min="1283" max="1283" width="13.875" style="3053" customWidth="1"/>
    <col min="1284" max="1284" width="6.25" style="3053" customWidth="1"/>
    <col min="1285" max="1285" width="9.625" style="3053" customWidth="1"/>
    <col min="1286" max="1286" width="14.5" style="3053" customWidth="1"/>
    <col min="1287" max="1287" width="7.875" style="3053" customWidth="1"/>
    <col min="1288" max="1288" width="23.125" style="3053" customWidth="1"/>
    <col min="1289" max="1289" width="16.625" style="3053" customWidth="1"/>
    <col min="1290" max="1291" width="13.875" style="3053" customWidth="1"/>
    <col min="1292" max="1292" width="20.75" style="3053" customWidth="1"/>
    <col min="1293" max="1293" width="7.875" style="3053" customWidth="1"/>
    <col min="1294" max="1294" width="21.25" style="3053" customWidth="1"/>
    <col min="1295" max="1295" width="24.125" style="3053" customWidth="1"/>
    <col min="1296" max="1296" width="9.625" style="3053" customWidth="1"/>
    <col min="1297" max="1298" width="15.5" style="3053" customWidth="1"/>
    <col min="1299" max="1299" width="69.5" style="3053" customWidth="1"/>
    <col min="1300" max="1300" width="50.125" style="3053" customWidth="1"/>
    <col min="1301" max="1301" width="37.25" style="3053" customWidth="1"/>
    <col min="1302" max="1302" width="17.875" style="3053" customWidth="1"/>
    <col min="1303" max="1303" width="7.875" style="3053" customWidth="1"/>
    <col min="1304" max="1307" width="9" style="3053" customWidth="1"/>
    <col min="1308" max="1308" width="23.125" style="3053" customWidth="1"/>
    <col min="1309" max="1309" width="7.875" style="3053" customWidth="1"/>
    <col min="1310" max="1310" width="89.875" style="3053" customWidth="1"/>
    <col min="1311" max="1311" width="78.5" style="3053" customWidth="1"/>
    <col min="1312" max="1314" width="10.625" style="3053" customWidth="1"/>
    <col min="1315" max="1316" width="16" style="3053" customWidth="1"/>
    <col min="1317" max="1318" width="14.375" style="3053" customWidth="1"/>
    <col min="1319" max="1320" width="21.875" style="3053" customWidth="1"/>
    <col min="1321" max="1321" width="6.25" style="3053" customWidth="1"/>
    <col min="1322" max="1322" width="24.5" style="3053" customWidth="1"/>
    <col min="1323" max="1323" width="16.875" style="3053" customWidth="1"/>
    <col min="1324" max="1325" width="20.125" style="3053" customWidth="1"/>
    <col min="1326" max="1326" width="7.875" style="3053" customWidth="1"/>
    <col min="1327" max="1536" width="9" style="3053"/>
    <col min="1537" max="1537" width="17.25" style="3053" customWidth="1"/>
    <col min="1538" max="1538" width="6.25" style="3053" customWidth="1"/>
    <col min="1539" max="1539" width="13.875" style="3053" customWidth="1"/>
    <col min="1540" max="1540" width="6.25" style="3053" customWidth="1"/>
    <col min="1541" max="1541" width="9.625" style="3053" customWidth="1"/>
    <col min="1542" max="1542" width="14.5" style="3053" customWidth="1"/>
    <col min="1543" max="1543" width="7.875" style="3053" customWidth="1"/>
    <col min="1544" max="1544" width="23.125" style="3053" customWidth="1"/>
    <col min="1545" max="1545" width="16.625" style="3053" customWidth="1"/>
    <col min="1546" max="1547" width="13.875" style="3053" customWidth="1"/>
    <col min="1548" max="1548" width="20.75" style="3053" customWidth="1"/>
    <col min="1549" max="1549" width="7.875" style="3053" customWidth="1"/>
    <col min="1550" max="1550" width="21.25" style="3053" customWidth="1"/>
    <col min="1551" max="1551" width="24.125" style="3053" customWidth="1"/>
    <col min="1552" max="1552" width="9.625" style="3053" customWidth="1"/>
    <col min="1553" max="1554" width="15.5" style="3053" customWidth="1"/>
    <col min="1555" max="1555" width="69.5" style="3053" customWidth="1"/>
    <col min="1556" max="1556" width="50.125" style="3053" customWidth="1"/>
    <col min="1557" max="1557" width="37.25" style="3053" customWidth="1"/>
    <col min="1558" max="1558" width="17.875" style="3053" customWidth="1"/>
    <col min="1559" max="1559" width="7.875" style="3053" customWidth="1"/>
    <col min="1560" max="1563" width="9" style="3053" customWidth="1"/>
    <col min="1564" max="1564" width="23.125" style="3053" customWidth="1"/>
    <col min="1565" max="1565" width="7.875" style="3053" customWidth="1"/>
    <col min="1566" max="1566" width="89.875" style="3053" customWidth="1"/>
    <col min="1567" max="1567" width="78.5" style="3053" customWidth="1"/>
    <col min="1568" max="1570" width="10.625" style="3053" customWidth="1"/>
    <col min="1571" max="1572" width="16" style="3053" customWidth="1"/>
    <col min="1573" max="1574" width="14.375" style="3053" customWidth="1"/>
    <col min="1575" max="1576" width="21.875" style="3053" customWidth="1"/>
    <col min="1577" max="1577" width="6.25" style="3053" customWidth="1"/>
    <col min="1578" max="1578" width="24.5" style="3053" customWidth="1"/>
    <col min="1579" max="1579" width="16.875" style="3053" customWidth="1"/>
    <col min="1580" max="1581" width="20.125" style="3053" customWidth="1"/>
    <col min="1582" max="1582" width="7.875" style="3053" customWidth="1"/>
    <col min="1583" max="1792" width="9" style="3053"/>
    <col min="1793" max="1793" width="17.25" style="3053" customWidth="1"/>
    <col min="1794" max="1794" width="6.25" style="3053" customWidth="1"/>
    <col min="1795" max="1795" width="13.875" style="3053" customWidth="1"/>
    <col min="1796" max="1796" width="6.25" style="3053" customWidth="1"/>
    <col min="1797" max="1797" width="9.625" style="3053" customWidth="1"/>
    <col min="1798" max="1798" width="14.5" style="3053" customWidth="1"/>
    <col min="1799" max="1799" width="7.875" style="3053" customWidth="1"/>
    <col min="1800" max="1800" width="23.125" style="3053" customWidth="1"/>
    <col min="1801" max="1801" width="16.625" style="3053" customWidth="1"/>
    <col min="1802" max="1803" width="13.875" style="3053" customWidth="1"/>
    <col min="1804" max="1804" width="20.75" style="3053" customWidth="1"/>
    <col min="1805" max="1805" width="7.875" style="3053" customWidth="1"/>
    <col min="1806" max="1806" width="21.25" style="3053" customWidth="1"/>
    <col min="1807" max="1807" width="24.125" style="3053" customWidth="1"/>
    <col min="1808" max="1808" width="9.625" style="3053" customWidth="1"/>
    <col min="1809" max="1810" width="15.5" style="3053" customWidth="1"/>
    <col min="1811" max="1811" width="69.5" style="3053" customWidth="1"/>
    <col min="1812" max="1812" width="50.125" style="3053" customWidth="1"/>
    <col min="1813" max="1813" width="37.25" style="3053" customWidth="1"/>
    <col min="1814" max="1814" width="17.875" style="3053" customWidth="1"/>
    <col min="1815" max="1815" width="7.875" style="3053" customWidth="1"/>
    <col min="1816" max="1819" width="9" style="3053" customWidth="1"/>
    <col min="1820" max="1820" width="23.125" style="3053" customWidth="1"/>
    <col min="1821" max="1821" width="7.875" style="3053" customWidth="1"/>
    <col min="1822" max="1822" width="89.875" style="3053" customWidth="1"/>
    <col min="1823" max="1823" width="78.5" style="3053" customWidth="1"/>
    <col min="1824" max="1826" width="10.625" style="3053" customWidth="1"/>
    <col min="1827" max="1828" width="16" style="3053" customWidth="1"/>
    <col min="1829" max="1830" width="14.375" style="3053" customWidth="1"/>
    <col min="1831" max="1832" width="21.875" style="3053" customWidth="1"/>
    <col min="1833" max="1833" width="6.25" style="3053" customWidth="1"/>
    <col min="1834" max="1834" width="24.5" style="3053" customWidth="1"/>
    <col min="1835" max="1835" width="16.875" style="3053" customWidth="1"/>
    <col min="1836" max="1837" width="20.125" style="3053" customWidth="1"/>
    <col min="1838" max="1838" width="7.875" style="3053" customWidth="1"/>
    <col min="1839" max="2048" width="9" style="3053"/>
    <col min="2049" max="2049" width="17.25" style="3053" customWidth="1"/>
    <col min="2050" max="2050" width="6.25" style="3053" customWidth="1"/>
    <col min="2051" max="2051" width="13.875" style="3053" customWidth="1"/>
    <col min="2052" max="2052" width="6.25" style="3053" customWidth="1"/>
    <col min="2053" max="2053" width="9.625" style="3053" customWidth="1"/>
    <col min="2054" max="2054" width="14.5" style="3053" customWidth="1"/>
    <col min="2055" max="2055" width="7.875" style="3053" customWidth="1"/>
    <col min="2056" max="2056" width="23.125" style="3053" customWidth="1"/>
    <col min="2057" max="2057" width="16.625" style="3053" customWidth="1"/>
    <col min="2058" max="2059" width="13.875" style="3053" customWidth="1"/>
    <col min="2060" max="2060" width="20.75" style="3053" customWidth="1"/>
    <col min="2061" max="2061" width="7.875" style="3053" customWidth="1"/>
    <col min="2062" max="2062" width="21.25" style="3053" customWidth="1"/>
    <col min="2063" max="2063" width="24.125" style="3053" customWidth="1"/>
    <col min="2064" max="2064" width="9.625" style="3053" customWidth="1"/>
    <col min="2065" max="2066" width="15.5" style="3053" customWidth="1"/>
    <col min="2067" max="2067" width="69.5" style="3053" customWidth="1"/>
    <col min="2068" max="2068" width="50.125" style="3053" customWidth="1"/>
    <col min="2069" max="2069" width="37.25" style="3053" customWidth="1"/>
    <col min="2070" max="2070" width="17.875" style="3053" customWidth="1"/>
    <col min="2071" max="2071" width="7.875" style="3053" customWidth="1"/>
    <col min="2072" max="2075" width="9" style="3053" customWidth="1"/>
    <col min="2076" max="2076" width="23.125" style="3053" customWidth="1"/>
    <col min="2077" max="2077" width="7.875" style="3053" customWidth="1"/>
    <col min="2078" max="2078" width="89.875" style="3053" customWidth="1"/>
    <col min="2079" max="2079" width="78.5" style="3053" customWidth="1"/>
    <col min="2080" max="2082" width="10.625" style="3053" customWidth="1"/>
    <col min="2083" max="2084" width="16" style="3053" customWidth="1"/>
    <col min="2085" max="2086" width="14.375" style="3053" customWidth="1"/>
    <col min="2087" max="2088" width="21.875" style="3053" customWidth="1"/>
    <col min="2089" max="2089" width="6.25" style="3053" customWidth="1"/>
    <col min="2090" max="2090" width="24.5" style="3053" customWidth="1"/>
    <col min="2091" max="2091" width="16.875" style="3053" customWidth="1"/>
    <col min="2092" max="2093" width="20.125" style="3053" customWidth="1"/>
    <col min="2094" max="2094" width="7.875" style="3053" customWidth="1"/>
    <col min="2095" max="2304" width="9" style="3053"/>
    <col min="2305" max="2305" width="17.25" style="3053" customWidth="1"/>
    <col min="2306" max="2306" width="6.25" style="3053" customWidth="1"/>
    <col min="2307" max="2307" width="13.875" style="3053" customWidth="1"/>
    <col min="2308" max="2308" width="6.25" style="3053" customWidth="1"/>
    <col min="2309" max="2309" width="9.625" style="3053" customWidth="1"/>
    <col min="2310" max="2310" width="14.5" style="3053" customWidth="1"/>
    <col min="2311" max="2311" width="7.875" style="3053" customWidth="1"/>
    <col min="2312" max="2312" width="23.125" style="3053" customWidth="1"/>
    <col min="2313" max="2313" width="16.625" style="3053" customWidth="1"/>
    <col min="2314" max="2315" width="13.875" style="3053" customWidth="1"/>
    <col min="2316" max="2316" width="20.75" style="3053" customWidth="1"/>
    <col min="2317" max="2317" width="7.875" style="3053" customWidth="1"/>
    <col min="2318" max="2318" width="21.25" style="3053" customWidth="1"/>
    <col min="2319" max="2319" width="24.125" style="3053" customWidth="1"/>
    <col min="2320" max="2320" width="9.625" style="3053" customWidth="1"/>
    <col min="2321" max="2322" width="15.5" style="3053" customWidth="1"/>
    <col min="2323" max="2323" width="69.5" style="3053" customWidth="1"/>
    <col min="2324" max="2324" width="50.125" style="3053" customWidth="1"/>
    <col min="2325" max="2325" width="37.25" style="3053" customWidth="1"/>
    <col min="2326" max="2326" width="17.875" style="3053" customWidth="1"/>
    <col min="2327" max="2327" width="7.875" style="3053" customWidth="1"/>
    <col min="2328" max="2331" width="9" style="3053" customWidth="1"/>
    <col min="2332" max="2332" width="23.125" style="3053" customWidth="1"/>
    <col min="2333" max="2333" width="7.875" style="3053" customWidth="1"/>
    <col min="2334" max="2334" width="89.875" style="3053" customWidth="1"/>
    <col min="2335" max="2335" width="78.5" style="3053" customWidth="1"/>
    <col min="2336" max="2338" width="10.625" style="3053" customWidth="1"/>
    <col min="2339" max="2340" width="16" style="3053" customWidth="1"/>
    <col min="2341" max="2342" width="14.375" style="3053" customWidth="1"/>
    <col min="2343" max="2344" width="21.875" style="3053" customWidth="1"/>
    <col min="2345" max="2345" width="6.25" style="3053" customWidth="1"/>
    <col min="2346" max="2346" width="24.5" style="3053" customWidth="1"/>
    <col min="2347" max="2347" width="16.875" style="3053" customWidth="1"/>
    <col min="2348" max="2349" width="20.125" style="3053" customWidth="1"/>
    <col min="2350" max="2350" width="7.875" style="3053" customWidth="1"/>
    <col min="2351" max="2560" width="9" style="3053"/>
    <col min="2561" max="2561" width="17.25" style="3053" customWidth="1"/>
    <col min="2562" max="2562" width="6.25" style="3053" customWidth="1"/>
    <col min="2563" max="2563" width="13.875" style="3053" customWidth="1"/>
    <col min="2564" max="2564" width="6.25" style="3053" customWidth="1"/>
    <col min="2565" max="2565" width="9.625" style="3053" customWidth="1"/>
    <col min="2566" max="2566" width="14.5" style="3053" customWidth="1"/>
    <col min="2567" max="2567" width="7.875" style="3053" customWidth="1"/>
    <col min="2568" max="2568" width="23.125" style="3053" customWidth="1"/>
    <col min="2569" max="2569" width="16.625" style="3053" customWidth="1"/>
    <col min="2570" max="2571" width="13.875" style="3053" customWidth="1"/>
    <col min="2572" max="2572" width="20.75" style="3053" customWidth="1"/>
    <col min="2573" max="2573" width="7.875" style="3053" customWidth="1"/>
    <col min="2574" max="2574" width="21.25" style="3053" customWidth="1"/>
    <col min="2575" max="2575" width="24.125" style="3053" customWidth="1"/>
    <col min="2576" max="2576" width="9.625" style="3053" customWidth="1"/>
    <col min="2577" max="2578" width="15.5" style="3053" customWidth="1"/>
    <col min="2579" max="2579" width="69.5" style="3053" customWidth="1"/>
    <col min="2580" max="2580" width="50.125" style="3053" customWidth="1"/>
    <col min="2581" max="2581" width="37.25" style="3053" customWidth="1"/>
    <col min="2582" max="2582" width="17.875" style="3053" customWidth="1"/>
    <col min="2583" max="2583" width="7.875" style="3053" customWidth="1"/>
    <col min="2584" max="2587" width="9" style="3053" customWidth="1"/>
    <col min="2588" max="2588" width="23.125" style="3053" customWidth="1"/>
    <col min="2589" max="2589" width="7.875" style="3053" customWidth="1"/>
    <col min="2590" max="2590" width="89.875" style="3053" customWidth="1"/>
    <col min="2591" max="2591" width="78.5" style="3053" customWidth="1"/>
    <col min="2592" max="2594" width="10.625" style="3053" customWidth="1"/>
    <col min="2595" max="2596" width="16" style="3053" customWidth="1"/>
    <col min="2597" max="2598" width="14.375" style="3053" customWidth="1"/>
    <col min="2599" max="2600" width="21.875" style="3053" customWidth="1"/>
    <col min="2601" max="2601" width="6.25" style="3053" customWidth="1"/>
    <col min="2602" max="2602" width="24.5" style="3053" customWidth="1"/>
    <col min="2603" max="2603" width="16.875" style="3053" customWidth="1"/>
    <col min="2604" max="2605" width="20.125" style="3053" customWidth="1"/>
    <col min="2606" max="2606" width="7.875" style="3053" customWidth="1"/>
    <col min="2607" max="2816" width="9" style="3053"/>
    <col min="2817" max="2817" width="17.25" style="3053" customWidth="1"/>
    <col min="2818" max="2818" width="6.25" style="3053" customWidth="1"/>
    <col min="2819" max="2819" width="13.875" style="3053" customWidth="1"/>
    <col min="2820" max="2820" width="6.25" style="3053" customWidth="1"/>
    <col min="2821" max="2821" width="9.625" style="3053" customWidth="1"/>
    <col min="2822" max="2822" width="14.5" style="3053" customWidth="1"/>
    <col min="2823" max="2823" width="7.875" style="3053" customWidth="1"/>
    <col min="2824" max="2824" width="23.125" style="3053" customWidth="1"/>
    <col min="2825" max="2825" width="16.625" style="3053" customWidth="1"/>
    <col min="2826" max="2827" width="13.875" style="3053" customWidth="1"/>
    <col min="2828" max="2828" width="20.75" style="3053" customWidth="1"/>
    <col min="2829" max="2829" width="7.875" style="3053" customWidth="1"/>
    <col min="2830" max="2830" width="21.25" style="3053" customWidth="1"/>
    <col min="2831" max="2831" width="24.125" style="3053" customWidth="1"/>
    <col min="2832" max="2832" width="9.625" style="3053" customWidth="1"/>
    <col min="2833" max="2834" width="15.5" style="3053" customWidth="1"/>
    <col min="2835" max="2835" width="69.5" style="3053" customWidth="1"/>
    <col min="2836" max="2836" width="50.125" style="3053" customWidth="1"/>
    <col min="2837" max="2837" width="37.25" style="3053" customWidth="1"/>
    <col min="2838" max="2838" width="17.875" style="3053" customWidth="1"/>
    <col min="2839" max="2839" width="7.875" style="3053" customWidth="1"/>
    <col min="2840" max="2843" width="9" style="3053" customWidth="1"/>
    <col min="2844" max="2844" width="23.125" style="3053" customWidth="1"/>
    <col min="2845" max="2845" width="7.875" style="3053" customWidth="1"/>
    <col min="2846" max="2846" width="89.875" style="3053" customWidth="1"/>
    <col min="2847" max="2847" width="78.5" style="3053" customWidth="1"/>
    <col min="2848" max="2850" width="10.625" style="3053" customWidth="1"/>
    <col min="2851" max="2852" width="16" style="3053" customWidth="1"/>
    <col min="2853" max="2854" width="14.375" style="3053" customWidth="1"/>
    <col min="2855" max="2856" width="21.875" style="3053" customWidth="1"/>
    <col min="2857" max="2857" width="6.25" style="3053" customWidth="1"/>
    <col min="2858" max="2858" width="24.5" style="3053" customWidth="1"/>
    <col min="2859" max="2859" width="16.875" style="3053" customWidth="1"/>
    <col min="2860" max="2861" width="20.125" style="3053" customWidth="1"/>
    <col min="2862" max="2862" width="7.875" style="3053" customWidth="1"/>
    <col min="2863" max="3072" width="9" style="3053"/>
    <col min="3073" max="3073" width="17.25" style="3053" customWidth="1"/>
    <col min="3074" max="3074" width="6.25" style="3053" customWidth="1"/>
    <col min="3075" max="3075" width="13.875" style="3053" customWidth="1"/>
    <col min="3076" max="3076" width="6.25" style="3053" customWidth="1"/>
    <col min="3077" max="3077" width="9.625" style="3053" customWidth="1"/>
    <col min="3078" max="3078" width="14.5" style="3053" customWidth="1"/>
    <col min="3079" max="3079" width="7.875" style="3053" customWidth="1"/>
    <col min="3080" max="3080" width="23.125" style="3053" customWidth="1"/>
    <col min="3081" max="3081" width="16.625" style="3053" customWidth="1"/>
    <col min="3082" max="3083" width="13.875" style="3053" customWidth="1"/>
    <col min="3084" max="3084" width="20.75" style="3053" customWidth="1"/>
    <col min="3085" max="3085" width="7.875" style="3053" customWidth="1"/>
    <col min="3086" max="3086" width="21.25" style="3053" customWidth="1"/>
    <col min="3087" max="3087" width="24.125" style="3053" customWidth="1"/>
    <col min="3088" max="3088" width="9.625" style="3053" customWidth="1"/>
    <col min="3089" max="3090" width="15.5" style="3053" customWidth="1"/>
    <col min="3091" max="3091" width="69.5" style="3053" customWidth="1"/>
    <col min="3092" max="3092" width="50.125" style="3053" customWidth="1"/>
    <col min="3093" max="3093" width="37.25" style="3053" customWidth="1"/>
    <col min="3094" max="3094" width="17.875" style="3053" customWidth="1"/>
    <col min="3095" max="3095" width="7.875" style="3053" customWidth="1"/>
    <col min="3096" max="3099" width="9" style="3053" customWidth="1"/>
    <col min="3100" max="3100" width="23.125" style="3053" customWidth="1"/>
    <col min="3101" max="3101" width="7.875" style="3053" customWidth="1"/>
    <col min="3102" max="3102" width="89.875" style="3053" customWidth="1"/>
    <col min="3103" max="3103" width="78.5" style="3053" customWidth="1"/>
    <col min="3104" max="3106" width="10.625" style="3053" customWidth="1"/>
    <col min="3107" max="3108" width="16" style="3053" customWidth="1"/>
    <col min="3109" max="3110" width="14.375" style="3053" customWidth="1"/>
    <col min="3111" max="3112" width="21.875" style="3053" customWidth="1"/>
    <col min="3113" max="3113" width="6.25" style="3053" customWidth="1"/>
    <col min="3114" max="3114" width="24.5" style="3053" customWidth="1"/>
    <col min="3115" max="3115" width="16.875" style="3053" customWidth="1"/>
    <col min="3116" max="3117" width="20.125" style="3053" customWidth="1"/>
    <col min="3118" max="3118" width="7.875" style="3053" customWidth="1"/>
    <col min="3119" max="3328" width="9" style="3053"/>
    <col min="3329" max="3329" width="17.25" style="3053" customWidth="1"/>
    <col min="3330" max="3330" width="6.25" style="3053" customWidth="1"/>
    <col min="3331" max="3331" width="13.875" style="3053" customWidth="1"/>
    <col min="3332" max="3332" width="6.25" style="3053" customWidth="1"/>
    <col min="3333" max="3333" width="9.625" style="3053" customWidth="1"/>
    <col min="3334" max="3334" width="14.5" style="3053" customWidth="1"/>
    <col min="3335" max="3335" width="7.875" style="3053" customWidth="1"/>
    <col min="3336" max="3336" width="23.125" style="3053" customWidth="1"/>
    <col min="3337" max="3337" width="16.625" style="3053" customWidth="1"/>
    <col min="3338" max="3339" width="13.875" style="3053" customWidth="1"/>
    <col min="3340" max="3340" width="20.75" style="3053" customWidth="1"/>
    <col min="3341" max="3341" width="7.875" style="3053" customWidth="1"/>
    <col min="3342" max="3342" width="21.25" style="3053" customWidth="1"/>
    <col min="3343" max="3343" width="24.125" style="3053" customWidth="1"/>
    <col min="3344" max="3344" width="9.625" style="3053" customWidth="1"/>
    <col min="3345" max="3346" width="15.5" style="3053" customWidth="1"/>
    <col min="3347" max="3347" width="69.5" style="3053" customWidth="1"/>
    <col min="3348" max="3348" width="50.125" style="3053" customWidth="1"/>
    <col min="3349" max="3349" width="37.25" style="3053" customWidth="1"/>
    <col min="3350" max="3350" width="17.875" style="3053" customWidth="1"/>
    <col min="3351" max="3351" width="7.875" style="3053" customWidth="1"/>
    <col min="3352" max="3355" width="9" style="3053" customWidth="1"/>
    <col min="3356" max="3356" width="23.125" style="3053" customWidth="1"/>
    <col min="3357" max="3357" width="7.875" style="3053" customWidth="1"/>
    <col min="3358" max="3358" width="89.875" style="3053" customWidth="1"/>
    <col min="3359" max="3359" width="78.5" style="3053" customWidth="1"/>
    <col min="3360" max="3362" width="10.625" style="3053" customWidth="1"/>
    <col min="3363" max="3364" width="16" style="3053" customWidth="1"/>
    <col min="3365" max="3366" width="14.375" style="3053" customWidth="1"/>
    <col min="3367" max="3368" width="21.875" style="3053" customWidth="1"/>
    <col min="3369" max="3369" width="6.25" style="3053" customWidth="1"/>
    <col min="3370" max="3370" width="24.5" style="3053" customWidth="1"/>
    <col min="3371" max="3371" width="16.875" style="3053" customWidth="1"/>
    <col min="3372" max="3373" width="20.125" style="3053" customWidth="1"/>
    <col min="3374" max="3374" width="7.875" style="3053" customWidth="1"/>
    <col min="3375" max="3584" width="9" style="3053"/>
    <col min="3585" max="3585" width="17.25" style="3053" customWidth="1"/>
    <col min="3586" max="3586" width="6.25" style="3053" customWidth="1"/>
    <col min="3587" max="3587" width="13.875" style="3053" customWidth="1"/>
    <col min="3588" max="3588" width="6.25" style="3053" customWidth="1"/>
    <col min="3589" max="3589" width="9.625" style="3053" customWidth="1"/>
    <col min="3590" max="3590" width="14.5" style="3053" customWidth="1"/>
    <col min="3591" max="3591" width="7.875" style="3053" customWidth="1"/>
    <col min="3592" max="3592" width="23.125" style="3053" customWidth="1"/>
    <col min="3593" max="3593" width="16.625" style="3053" customWidth="1"/>
    <col min="3594" max="3595" width="13.875" style="3053" customWidth="1"/>
    <col min="3596" max="3596" width="20.75" style="3053" customWidth="1"/>
    <col min="3597" max="3597" width="7.875" style="3053" customWidth="1"/>
    <col min="3598" max="3598" width="21.25" style="3053" customWidth="1"/>
    <col min="3599" max="3599" width="24.125" style="3053" customWidth="1"/>
    <col min="3600" max="3600" width="9.625" style="3053" customWidth="1"/>
    <col min="3601" max="3602" width="15.5" style="3053" customWidth="1"/>
    <col min="3603" max="3603" width="69.5" style="3053" customWidth="1"/>
    <col min="3604" max="3604" width="50.125" style="3053" customWidth="1"/>
    <col min="3605" max="3605" width="37.25" style="3053" customWidth="1"/>
    <col min="3606" max="3606" width="17.875" style="3053" customWidth="1"/>
    <col min="3607" max="3607" width="7.875" style="3053" customWidth="1"/>
    <col min="3608" max="3611" width="9" style="3053" customWidth="1"/>
    <col min="3612" max="3612" width="23.125" style="3053" customWidth="1"/>
    <col min="3613" max="3613" width="7.875" style="3053" customWidth="1"/>
    <col min="3614" max="3614" width="89.875" style="3053" customWidth="1"/>
    <col min="3615" max="3615" width="78.5" style="3053" customWidth="1"/>
    <col min="3616" max="3618" width="10.625" style="3053" customWidth="1"/>
    <col min="3619" max="3620" width="16" style="3053" customWidth="1"/>
    <col min="3621" max="3622" width="14.375" style="3053" customWidth="1"/>
    <col min="3623" max="3624" width="21.875" style="3053" customWidth="1"/>
    <col min="3625" max="3625" width="6.25" style="3053" customWidth="1"/>
    <col min="3626" max="3626" width="24.5" style="3053" customWidth="1"/>
    <col min="3627" max="3627" width="16.875" style="3053" customWidth="1"/>
    <col min="3628" max="3629" width="20.125" style="3053" customWidth="1"/>
    <col min="3630" max="3630" width="7.875" style="3053" customWidth="1"/>
    <col min="3631" max="3840" width="9" style="3053"/>
    <col min="3841" max="3841" width="17.25" style="3053" customWidth="1"/>
    <col min="3842" max="3842" width="6.25" style="3053" customWidth="1"/>
    <col min="3843" max="3843" width="13.875" style="3053" customWidth="1"/>
    <col min="3844" max="3844" width="6.25" style="3053" customWidth="1"/>
    <col min="3845" max="3845" width="9.625" style="3053" customWidth="1"/>
    <col min="3846" max="3846" width="14.5" style="3053" customWidth="1"/>
    <col min="3847" max="3847" width="7.875" style="3053" customWidth="1"/>
    <col min="3848" max="3848" width="23.125" style="3053" customWidth="1"/>
    <col min="3849" max="3849" width="16.625" style="3053" customWidth="1"/>
    <col min="3850" max="3851" width="13.875" style="3053" customWidth="1"/>
    <col min="3852" max="3852" width="20.75" style="3053" customWidth="1"/>
    <col min="3853" max="3853" width="7.875" style="3053" customWidth="1"/>
    <col min="3854" max="3854" width="21.25" style="3053" customWidth="1"/>
    <col min="3855" max="3855" width="24.125" style="3053" customWidth="1"/>
    <col min="3856" max="3856" width="9.625" style="3053" customWidth="1"/>
    <col min="3857" max="3858" width="15.5" style="3053" customWidth="1"/>
    <col min="3859" max="3859" width="69.5" style="3053" customWidth="1"/>
    <col min="3860" max="3860" width="50.125" style="3053" customWidth="1"/>
    <col min="3861" max="3861" width="37.25" style="3053" customWidth="1"/>
    <col min="3862" max="3862" width="17.875" style="3053" customWidth="1"/>
    <col min="3863" max="3863" width="7.875" style="3053" customWidth="1"/>
    <col min="3864" max="3867" width="9" style="3053" customWidth="1"/>
    <col min="3868" max="3868" width="23.125" style="3053" customWidth="1"/>
    <col min="3869" max="3869" width="7.875" style="3053" customWidth="1"/>
    <col min="3870" max="3870" width="89.875" style="3053" customWidth="1"/>
    <col min="3871" max="3871" width="78.5" style="3053" customWidth="1"/>
    <col min="3872" max="3874" width="10.625" style="3053" customWidth="1"/>
    <col min="3875" max="3876" width="16" style="3053" customWidth="1"/>
    <col min="3877" max="3878" width="14.375" style="3053" customWidth="1"/>
    <col min="3879" max="3880" width="21.875" style="3053" customWidth="1"/>
    <col min="3881" max="3881" width="6.25" style="3053" customWidth="1"/>
    <col min="3882" max="3882" width="24.5" style="3053" customWidth="1"/>
    <col min="3883" max="3883" width="16.875" style="3053" customWidth="1"/>
    <col min="3884" max="3885" width="20.125" style="3053" customWidth="1"/>
    <col min="3886" max="3886" width="7.875" style="3053" customWidth="1"/>
    <col min="3887" max="4096" width="9" style="3053"/>
    <col min="4097" max="4097" width="17.25" style="3053" customWidth="1"/>
    <col min="4098" max="4098" width="6.25" style="3053" customWidth="1"/>
    <col min="4099" max="4099" width="13.875" style="3053" customWidth="1"/>
    <col min="4100" max="4100" width="6.25" style="3053" customWidth="1"/>
    <col min="4101" max="4101" width="9.625" style="3053" customWidth="1"/>
    <col min="4102" max="4102" width="14.5" style="3053" customWidth="1"/>
    <col min="4103" max="4103" width="7.875" style="3053" customWidth="1"/>
    <col min="4104" max="4104" width="23.125" style="3053" customWidth="1"/>
    <col min="4105" max="4105" width="16.625" style="3053" customWidth="1"/>
    <col min="4106" max="4107" width="13.875" style="3053" customWidth="1"/>
    <col min="4108" max="4108" width="20.75" style="3053" customWidth="1"/>
    <col min="4109" max="4109" width="7.875" style="3053" customWidth="1"/>
    <col min="4110" max="4110" width="21.25" style="3053" customWidth="1"/>
    <col min="4111" max="4111" width="24.125" style="3053" customWidth="1"/>
    <col min="4112" max="4112" width="9.625" style="3053" customWidth="1"/>
    <col min="4113" max="4114" width="15.5" style="3053" customWidth="1"/>
    <col min="4115" max="4115" width="69.5" style="3053" customWidth="1"/>
    <col min="4116" max="4116" width="50.125" style="3053" customWidth="1"/>
    <col min="4117" max="4117" width="37.25" style="3053" customWidth="1"/>
    <col min="4118" max="4118" width="17.875" style="3053" customWidth="1"/>
    <col min="4119" max="4119" width="7.875" style="3053" customWidth="1"/>
    <col min="4120" max="4123" width="9" style="3053" customWidth="1"/>
    <col min="4124" max="4124" width="23.125" style="3053" customWidth="1"/>
    <col min="4125" max="4125" width="7.875" style="3053" customWidth="1"/>
    <col min="4126" max="4126" width="89.875" style="3053" customWidth="1"/>
    <col min="4127" max="4127" width="78.5" style="3053" customWidth="1"/>
    <col min="4128" max="4130" width="10.625" style="3053" customWidth="1"/>
    <col min="4131" max="4132" width="16" style="3053" customWidth="1"/>
    <col min="4133" max="4134" width="14.375" style="3053" customWidth="1"/>
    <col min="4135" max="4136" width="21.875" style="3053" customWidth="1"/>
    <col min="4137" max="4137" width="6.25" style="3053" customWidth="1"/>
    <col min="4138" max="4138" width="24.5" style="3053" customWidth="1"/>
    <col min="4139" max="4139" width="16.875" style="3053" customWidth="1"/>
    <col min="4140" max="4141" width="20.125" style="3053" customWidth="1"/>
    <col min="4142" max="4142" width="7.875" style="3053" customWidth="1"/>
    <col min="4143" max="4352" width="9" style="3053"/>
    <col min="4353" max="4353" width="17.25" style="3053" customWidth="1"/>
    <col min="4354" max="4354" width="6.25" style="3053" customWidth="1"/>
    <col min="4355" max="4355" width="13.875" style="3053" customWidth="1"/>
    <col min="4356" max="4356" width="6.25" style="3053" customWidth="1"/>
    <col min="4357" max="4357" width="9.625" style="3053" customWidth="1"/>
    <col min="4358" max="4358" width="14.5" style="3053" customWidth="1"/>
    <col min="4359" max="4359" width="7.875" style="3053" customWidth="1"/>
    <col min="4360" max="4360" width="23.125" style="3053" customWidth="1"/>
    <col min="4361" max="4361" width="16.625" style="3053" customWidth="1"/>
    <col min="4362" max="4363" width="13.875" style="3053" customWidth="1"/>
    <col min="4364" max="4364" width="20.75" style="3053" customWidth="1"/>
    <col min="4365" max="4365" width="7.875" style="3053" customWidth="1"/>
    <col min="4366" max="4366" width="21.25" style="3053" customWidth="1"/>
    <col min="4367" max="4367" width="24.125" style="3053" customWidth="1"/>
    <col min="4368" max="4368" width="9.625" style="3053" customWidth="1"/>
    <col min="4369" max="4370" width="15.5" style="3053" customWidth="1"/>
    <col min="4371" max="4371" width="69.5" style="3053" customWidth="1"/>
    <col min="4372" max="4372" width="50.125" style="3053" customWidth="1"/>
    <col min="4373" max="4373" width="37.25" style="3053" customWidth="1"/>
    <col min="4374" max="4374" width="17.875" style="3053" customWidth="1"/>
    <col min="4375" max="4375" width="7.875" style="3053" customWidth="1"/>
    <col min="4376" max="4379" width="9" style="3053" customWidth="1"/>
    <col min="4380" max="4380" width="23.125" style="3053" customWidth="1"/>
    <col min="4381" max="4381" width="7.875" style="3053" customWidth="1"/>
    <col min="4382" max="4382" width="89.875" style="3053" customWidth="1"/>
    <col min="4383" max="4383" width="78.5" style="3053" customWidth="1"/>
    <col min="4384" max="4386" width="10.625" style="3053" customWidth="1"/>
    <col min="4387" max="4388" width="16" style="3053" customWidth="1"/>
    <col min="4389" max="4390" width="14.375" style="3053" customWidth="1"/>
    <col min="4391" max="4392" width="21.875" style="3053" customWidth="1"/>
    <col min="4393" max="4393" width="6.25" style="3053" customWidth="1"/>
    <col min="4394" max="4394" width="24.5" style="3053" customWidth="1"/>
    <col min="4395" max="4395" width="16.875" style="3053" customWidth="1"/>
    <col min="4396" max="4397" width="20.125" style="3053" customWidth="1"/>
    <col min="4398" max="4398" width="7.875" style="3053" customWidth="1"/>
    <col min="4399" max="4608" width="9" style="3053"/>
    <col min="4609" max="4609" width="17.25" style="3053" customWidth="1"/>
    <col min="4610" max="4610" width="6.25" style="3053" customWidth="1"/>
    <col min="4611" max="4611" width="13.875" style="3053" customWidth="1"/>
    <col min="4612" max="4612" width="6.25" style="3053" customWidth="1"/>
    <col min="4613" max="4613" width="9.625" style="3053" customWidth="1"/>
    <col min="4614" max="4614" width="14.5" style="3053" customWidth="1"/>
    <col min="4615" max="4615" width="7.875" style="3053" customWidth="1"/>
    <col min="4616" max="4616" width="23.125" style="3053" customWidth="1"/>
    <col min="4617" max="4617" width="16.625" style="3053" customWidth="1"/>
    <col min="4618" max="4619" width="13.875" style="3053" customWidth="1"/>
    <col min="4620" max="4620" width="20.75" style="3053" customWidth="1"/>
    <col min="4621" max="4621" width="7.875" style="3053" customWidth="1"/>
    <col min="4622" max="4622" width="21.25" style="3053" customWidth="1"/>
    <col min="4623" max="4623" width="24.125" style="3053" customWidth="1"/>
    <col min="4624" max="4624" width="9.625" style="3053" customWidth="1"/>
    <col min="4625" max="4626" width="15.5" style="3053" customWidth="1"/>
    <col min="4627" max="4627" width="69.5" style="3053" customWidth="1"/>
    <col min="4628" max="4628" width="50.125" style="3053" customWidth="1"/>
    <col min="4629" max="4629" width="37.25" style="3053" customWidth="1"/>
    <col min="4630" max="4630" width="17.875" style="3053" customWidth="1"/>
    <col min="4631" max="4631" width="7.875" style="3053" customWidth="1"/>
    <col min="4632" max="4635" width="9" style="3053" customWidth="1"/>
    <col min="4636" max="4636" width="23.125" style="3053" customWidth="1"/>
    <col min="4637" max="4637" width="7.875" style="3053" customWidth="1"/>
    <col min="4638" max="4638" width="89.875" style="3053" customWidth="1"/>
    <col min="4639" max="4639" width="78.5" style="3053" customWidth="1"/>
    <col min="4640" max="4642" width="10.625" style="3053" customWidth="1"/>
    <col min="4643" max="4644" width="16" style="3053" customWidth="1"/>
    <col min="4645" max="4646" width="14.375" style="3053" customWidth="1"/>
    <col min="4647" max="4648" width="21.875" style="3053" customWidth="1"/>
    <col min="4649" max="4649" width="6.25" style="3053" customWidth="1"/>
    <col min="4650" max="4650" width="24.5" style="3053" customWidth="1"/>
    <col min="4651" max="4651" width="16.875" style="3053" customWidth="1"/>
    <col min="4652" max="4653" width="20.125" style="3053" customWidth="1"/>
    <col min="4654" max="4654" width="7.875" style="3053" customWidth="1"/>
    <col min="4655" max="4864" width="9" style="3053"/>
    <col min="4865" max="4865" width="17.25" style="3053" customWidth="1"/>
    <col min="4866" max="4866" width="6.25" style="3053" customWidth="1"/>
    <col min="4867" max="4867" width="13.875" style="3053" customWidth="1"/>
    <col min="4868" max="4868" width="6.25" style="3053" customWidth="1"/>
    <col min="4869" max="4869" width="9.625" style="3053" customWidth="1"/>
    <col min="4870" max="4870" width="14.5" style="3053" customWidth="1"/>
    <col min="4871" max="4871" width="7.875" style="3053" customWidth="1"/>
    <col min="4872" max="4872" width="23.125" style="3053" customWidth="1"/>
    <col min="4873" max="4873" width="16.625" style="3053" customWidth="1"/>
    <col min="4874" max="4875" width="13.875" style="3053" customWidth="1"/>
    <col min="4876" max="4876" width="20.75" style="3053" customWidth="1"/>
    <col min="4877" max="4877" width="7.875" style="3053" customWidth="1"/>
    <col min="4878" max="4878" width="21.25" style="3053" customWidth="1"/>
    <col min="4879" max="4879" width="24.125" style="3053" customWidth="1"/>
    <col min="4880" max="4880" width="9.625" style="3053" customWidth="1"/>
    <col min="4881" max="4882" width="15.5" style="3053" customWidth="1"/>
    <col min="4883" max="4883" width="69.5" style="3053" customWidth="1"/>
    <col min="4884" max="4884" width="50.125" style="3053" customWidth="1"/>
    <col min="4885" max="4885" width="37.25" style="3053" customWidth="1"/>
    <col min="4886" max="4886" width="17.875" style="3053" customWidth="1"/>
    <col min="4887" max="4887" width="7.875" style="3053" customWidth="1"/>
    <col min="4888" max="4891" width="9" style="3053" customWidth="1"/>
    <col min="4892" max="4892" width="23.125" style="3053" customWidth="1"/>
    <col min="4893" max="4893" width="7.875" style="3053" customWidth="1"/>
    <col min="4894" max="4894" width="89.875" style="3053" customWidth="1"/>
    <col min="4895" max="4895" width="78.5" style="3053" customWidth="1"/>
    <col min="4896" max="4898" width="10.625" style="3053" customWidth="1"/>
    <col min="4899" max="4900" width="16" style="3053" customWidth="1"/>
    <col min="4901" max="4902" width="14.375" style="3053" customWidth="1"/>
    <col min="4903" max="4904" width="21.875" style="3053" customWidth="1"/>
    <col min="4905" max="4905" width="6.25" style="3053" customWidth="1"/>
    <col min="4906" max="4906" width="24.5" style="3053" customWidth="1"/>
    <col min="4907" max="4907" width="16.875" style="3053" customWidth="1"/>
    <col min="4908" max="4909" width="20.125" style="3053" customWidth="1"/>
    <col min="4910" max="4910" width="7.875" style="3053" customWidth="1"/>
    <col min="4911" max="5120" width="9" style="3053"/>
    <col min="5121" max="5121" width="17.25" style="3053" customWidth="1"/>
    <col min="5122" max="5122" width="6.25" style="3053" customWidth="1"/>
    <col min="5123" max="5123" width="13.875" style="3053" customWidth="1"/>
    <col min="5124" max="5124" width="6.25" style="3053" customWidth="1"/>
    <col min="5125" max="5125" width="9.625" style="3053" customWidth="1"/>
    <col min="5126" max="5126" width="14.5" style="3053" customWidth="1"/>
    <col min="5127" max="5127" width="7.875" style="3053" customWidth="1"/>
    <col min="5128" max="5128" width="23.125" style="3053" customWidth="1"/>
    <col min="5129" max="5129" width="16.625" style="3053" customWidth="1"/>
    <col min="5130" max="5131" width="13.875" style="3053" customWidth="1"/>
    <col min="5132" max="5132" width="20.75" style="3053" customWidth="1"/>
    <col min="5133" max="5133" width="7.875" style="3053" customWidth="1"/>
    <col min="5134" max="5134" width="21.25" style="3053" customWidth="1"/>
    <col min="5135" max="5135" width="24.125" style="3053" customWidth="1"/>
    <col min="5136" max="5136" width="9.625" style="3053" customWidth="1"/>
    <col min="5137" max="5138" width="15.5" style="3053" customWidth="1"/>
    <col min="5139" max="5139" width="69.5" style="3053" customWidth="1"/>
    <col min="5140" max="5140" width="50.125" style="3053" customWidth="1"/>
    <col min="5141" max="5141" width="37.25" style="3053" customWidth="1"/>
    <col min="5142" max="5142" width="17.875" style="3053" customWidth="1"/>
    <col min="5143" max="5143" width="7.875" style="3053" customWidth="1"/>
    <col min="5144" max="5147" width="9" style="3053" customWidth="1"/>
    <col min="5148" max="5148" width="23.125" style="3053" customWidth="1"/>
    <col min="5149" max="5149" width="7.875" style="3053" customWidth="1"/>
    <col min="5150" max="5150" width="89.875" style="3053" customWidth="1"/>
    <col min="5151" max="5151" width="78.5" style="3053" customWidth="1"/>
    <col min="5152" max="5154" width="10.625" style="3053" customWidth="1"/>
    <col min="5155" max="5156" width="16" style="3053" customWidth="1"/>
    <col min="5157" max="5158" width="14.375" style="3053" customWidth="1"/>
    <col min="5159" max="5160" width="21.875" style="3053" customWidth="1"/>
    <col min="5161" max="5161" width="6.25" style="3053" customWidth="1"/>
    <col min="5162" max="5162" width="24.5" style="3053" customWidth="1"/>
    <col min="5163" max="5163" width="16.875" style="3053" customWidth="1"/>
    <col min="5164" max="5165" width="20.125" style="3053" customWidth="1"/>
    <col min="5166" max="5166" width="7.875" style="3053" customWidth="1"/>
    <col min="5167" max="5376" width="9" style="3053"/>
    <col min="5377" max="5377" width="17.25" style="3053" customWidth="1"/>
    <col min="5378" max="5378" width="6.25" style="3053" customWidth="1"/>
    <col min="5379" max="5379" width="13.875" style="3053" customWidth="1"/>
    <col min="5380" max="5380" width="6.25" style="3053" customWidth="1"/>
    <col min="5381" max="5381" width="9.625" style="3053" customWidth="1"/>
    <col min="5382" max="5382" width="14.5" style="3053" customWidth="1"/>
    <col min="5383" max="5383" width="7.875" style="3053" customWidth="1"/>
    <col min="5384" max="5384" width="23.125" style="3053" customWidth="1"/>
    <col min="5385" max="5385" width="16.625" style="3053" customWidth="1"/>
    <col min="5386" max="5387" width="13.875" style="3053" customWidth="1"/>
    <col min="5388" max="5388" width="20.75" style="3053" customWidth="1"/>
    <col min="5389" max="5389" width="7.875" style="3053" customWidth="1"/>
    <col min="5390" max="5390" width="21.25" style="3053" customWidth="1"/>
    <col min="5391" max="5391" width="24.125" style="3053" customWidth="1"/>
    <col min="5392" max="5392" width="9.625" style="3053" customWidth="1"/>
    <col min="5393" max="5394" width="15.5" style="3053" customWidth="1"/>
    <col min="5395" max="5395" width="69.5" style="3053" customWidth="1"/>
    <col min="5396" max="5396" width="50.125" style="3053" customWidth="1"/>
    <col min="5397" max="5397" width="37.25" style="3053" customWidth="1"/>
    <col min="5398" max="5398" width="17.875" style="3053" customWidth="1"/>
    <col min="5399" max="5399" width="7.875" style="3053" customWidth="1"/>
    <col min="5400" max="5403" width="9" style="3053" customWidth="1"/>
    <col min="5404" max="5404" width="23.125" style="3053" customWidth="1"/>
    <col min="5405" max="5405" width="7.875" style="3053" customWidth="1"/>
    <col min="5406" max="5406" width="89.875" style="3053" customWidth="1"/>
    <col min="5407" max="5407" width="78.5" style="3053" customWidth="1"/>
    <col min="5408" max="5410" width="10.625" style="3053" customWidth="1"/>
    <col min="5411" max="5412" width="16" style="3053" customWidth="1"/>
    <col min="5413" max="5414" width="14.375" style="3053" customWidth="1"/>
    <col min="5415" max="5416" width="21.875" style="3053" customWidth="1"/>
    <col min="5417" max="5417" width="6.25" style="3053" customWidth="1"/>
    <col min="5418" max="5418" width="24.5" style="3053" customWidth="1"/>
    <col min="5419" max="5419" width="16.875" style="3053" customWidth="1"/>
    <col min="5420" max="5421" width="20.125" style="3053" customWidth="1"/>
    <col min="5422" max="5422" width="7.875" style="3053" customWidth="1"/>
    <col min="5423" max="5632" width="9" style="3053"/>
    <col min="5633" max="5633" width="17.25" style="3053" customWidth="1"/>
    <col min="5634" max="5634" width="6.25" style="3053" customWidth="1"/>
    <col min="5635" max="5635" width="13.875" style="3053" customWidth="1"/>
    <col min="5636" max="5636" width="6.25" style="3053" customWidth="1"/>
    <col min="5637" max="5637" width="9.625" style="3053" customWidth="1"/>
    <col min="5638" max="5638" width="14.5" style="3053" customWidth="1"/>
    <col min="5639" max="5639" width="7.875" style="3053" customWidth="1"/>
    <col min="5640" max="5640" width="23.125" style="3053" customWidth="1"/>
    <col min="5641" max="5641" width="16.625" style="3053" customWidth="1"/>
    <col min="5642" max="5643" width="13.875" style="3053" customWidth="1"/>
    <col min="5644" max="5644" width="20.75" style="3053" customWidth="1"/>
    <col min="5645" max="5645" width="7.875" style="3053" customWidth="1"/>
    <col min="5646" max="5646" width="21.25" style="3053" customWidth="1"/>
    <col min="5647" max="5647" width="24.125" style="3053" customWidth="1"/>
    <col min="5648" max="5648" width="9.625" style="3053" customWidth="1"/>
    <col min="5649" max="5650" width="15.5" style="3053" customWidth="1"/>
    <col min="5651" max="5651" width="69.5" style="3053" customWidth="1"/>
    <col min="5652" max="5652" width="50.125" style="3053" customWidth="1"/>
    <col min="5653" max="5653" width="37.25" style="3053" customWidth="1"/>
    <col min="5654" max="5654" width="17.875" style="3053" customWidth="1"/>
    <col min="5655" max="5655" width="7.875" style="3053" customWidth="1"/>
    <col min="5656" max="5659" width="9" style="3053" customWidth="1"/>
    <col min="5660" max="5660" width="23.125" style="3053" customWidth="1"/>
    <col min="5661" max="5661" width="7.875" style="3053" customWidth="1"/>
    <col min="5662" max="5662" width="89.875" style="3053" customWidth="1"/>
    <col min="5663" max="5663" width="78.5" style="3053" customWidth="1"/>
    <col min="5664" max="5666" width="10.625" style="3053" customWidth="1"/>
    <col min="5667" max="5668" width="16" style="3053" customWidth="1"/>
    <col min="5669" max="5670" width="14.375" style="3053" customWidth="1"/>
    <col min="5671" max="5672" width="21.875" style="3053" customWidth="1"/>
    <col min="5673" max="5673" width="6.25" style="3053" customWidth="1"/>
    <col min="5674" max="5674" width="24.5" style="3053" customWidth="1"/>
    <col min="5675" max="5675" width="16.875" style="3053" customWidth="1"/>
    <col min="5676" max="5677" width="20.125" style="3053" customWidth="1"/>
    <col min="5678" max="5678" width="7.875" style="3053" customWidth="1"/>
    <col min="5679" max="5888" width="9" style="3053"/>
    <col min="5889" max="5889" width="17.25" style="3053" customWidth="1"/>
    <col min="5890" max="5890" width="6.25" style="3053" customWidth="1"/>
    <col min="5891" max="5891" width="13.875" style="3053" customWidth="1"/>
    <col min="5892" max="5892" width="6.25" style="3053" customWidth="1"/>
    <col min="5893" max="5893" width="9.625" style="3053" customWidth="1"/>
    <col min="5894" max="5894" width="14.5" style="3053" customWidth="1"/>
    <col min="5895" max="5895" width="7.875" style="3053" customWidth="1"/>
    <col min="5896" max="5896" width="23.125" style="3053" customWidth="1"/>
    <col min="5897" max="5897" width="16.625" style="3053" customWidth="1"/>
    <col min="5898" max="5899" width="13.875" style="3053" customWidth="1"/>
    <col min="5900" max="5900" width="20.75" style="3053" customWidth="1"/>
    <col min="5901" max="5901" width="7.875" style="3053" customWidth="1"/>
    <col min="5902" max="5902" width="21.25" style="3053" customWidth="1"/>
    <col min="5903" max="5903" width="24.125" style="3053" customWidth="1"/>
    <col min="5904" max="5904" width="9.625" style="3053" customWidth="1"/>
    <col min="5905" max="5906" width="15.5" style="3053" customWidth="1"/>
    <col min="5907" max="5907" width="69.5" style="3053" customWidth="1"/>
    <col min="5908" max="5908" width="50.125" style="3053" customWidth="1"/>
    <col min="5909" max="5909" width="37.25" style="3053" customWidth="1"/>
    <col min="5910" max="5910" width="17.875" style="3053" customWidth="1"/>
    <col min="5911" max="5911" width="7.875" style="3053" customWidth="1"/>
    <col min="5912" max="5915" width="9" style="3053" customWidth="1"/>
    <col min="5916" max="5916" width="23.125" style="3053" customWidth="1"/>
    <col min="5917" max="5917" width="7.875" style="3053" customWidth="1"/>
    <col min="5918" max="5918" width="89.875" style="3053" customWidth="1"/>
    <col min="5919" max="5919" width="78.5" style="3053" customWidth="1"/>
    <col min="5920" max="5922" width="10.625" style="3053" customWidth="1"/>
    <col min="5923" max="5924" width="16" style="3053" customWidth="1"/>
    <col min="5925" max="5926" width="14.375" style="3053" customWidth="1"/>
    <col min="5927" max="5928" width="21.875" style="3053" customWidth="1"/>
    <col min="5929" max="5929" width="6.25" style="3053" customWidth="1"/>
    <col min="5930" max="5930" width="24.5" style="3053" customWidth="1"/>
    <col min="5931" max="5931" width="16.875" style="3053" customWidth="1"/>
    <col min="5932" max="5933" width="20.125" style="3053" customWidth="1"/>
    <col min="5934" max="5934" width="7.875" style="3053" customWidth="1"/>
    <col min="5935" max="6144" width="9" style="3053"/>
    <col min="6145" max="6145" width="17.25" style="3053" customWidth="1"/>
    <col min="6146" max="6146" width="6.25" style="3053" customWidth="1"/>
    <col min="6147" max="6147" width="13.875" style="3053" customWidth="1"/>
    <col min="6148" max="6148" width="6.25" style="3053" customWidth="1"/>
    <col min="6149" max="6149" width="9.625" style="3053" customWidth="1"/>
    <col min="6150" max="6150" width="14.5" style="3053" customWidth="1"/>
    <col min="6151" max="6151" width="7.875" style="3053" customWidth="1"/>
    <col min="6152" max="6152" width="23.125" style="3053" customWidth="1"/>
    <col min="6153" max="6153" width="16.625" style="3053" customWidth="1"/>
    <col min="6154" max="6155" width="13.875" style="3053" customWidth="1"/>
    <col min="6156" max="6156" width="20.75" style="3053" customWidth="1"/>
    <col min="6157" max="6157" width="7.875" style="3053" customWidth="1"/>
    <col min="6158" max="6158" width="21.25" style="3053" customWidth="1"/>
    <col min="6159" max="6159" width="24.125" style="3053" customWidth="1"/>
    <col min="6160" max="6160" width="9.625" style="3053" customWidth="1"/>
    <col min="6161" max="6162" width="15.5" style="3053" customWidth="1"/>
    <col min="6163" max="6163" width="69.5" style="3053" customWidth="1"/>
    <col min="6164" max="6164" width="50.125" style="3053" customWidth="1"/>
    <col min="6165" max="6165" width="37.25" style="3053" customWidth="1"/>
    <col min="6166" max="6166" width="17.875" style="3053" customWidth="1"/>
    <col min="6167" max="6167" width="7.875" style="3053" customWidth="1"/>
    <col min="6168" max="6171" width="9" style="3053" customWidth="1"/>
    <col min="6172" max="6172" width="23.125" style="3053" customWidth="1"/>
    <col min="6173" max="6173" width="7.875" style="3053" customWidth="1"/>
    <col min="6174" max="6174" width="89.875" style="3053" customWidth="1"/>
    <col min="6175" max="6175" width="78.5" style="3053" customWidth="1"/>
    <col min="6176" max="6178" width="10.625" style="3053" customWidth="1"/>
    <col min="6179" max="6180" width="16" style="3053" customWidth="1"/>
    <col min="6181" max="6182" width="14.375" style="3053" customWidth="1"/>
    <col min="6183" max="6184" width="21.875" style="3053" customWidth="1"/>
    <col min="6185" max="6185" width="6.25" style="3053" customWidth="1"/>
    <col min="6186" max="6186" width="24.5" style="3053" customWidth="1"/>
    <col min="6187" max="6187" width="16.875" style="3053" customWidth="1"/>
    <col min="6188" max="6189" width="20.125" style="3053" customWidth="1"/>
    <col min="6190" max="6190" width="7.875" style="3053" customWidth="1"/>
    <col min="6191" max="6400" width="9" style="3053"/>
    <col min="6401" max="6401" width="17.25" style="3053" customWidth="1"/>
    <col min="6402" max="6402" width="6.25" style="3053" customWidth="1"/>
    <col min="6403" max="6403" width="13.875" style="3053" customWidth="1"/>
    <col min="6404" max="6404" width="6.25" style="3053" customWidth="1"/>
    <col min="6405" max="6405" width="9.625" style="3053" customWidth="1"/>
    <col min="6406" max="6406" width="14.5" style="3053" customWidth="1"/>
    <col min="6407" max="6407" width="7.875" style="3053" customWidth="1"/>
    <col min="6408" max="6408" width="23.125" style="3053" customWidth="1"/>
    <col min="6409" max="6409" width="16.625" style="3053" customWidth="1"/>
    <col min="6410" max="6411" width="13.875" style="3053" customWidth="1"/>
    <col min="6412" max="6412" width="20.75" style="3053" customWidth="1"/>
    <col min="6413" max="6413" width="7.875" style="3053" customWidth="1"/>
    <col min="6414" max="6414" width="21.25" style="3053" customWidth="1"/>
    <col min="6415" max="6415" width="24.125" style="3053" customWidth="1"/>
    <col min="6416" max="6416" width="9.625" style="3053" customWidth="1"/>
    <col min="6417" max="6418" width="15.5" style="3053" customWidth="1"/>
    <col min="6419" max="6419" width="69.5" style="3053" customWidth="1"/>
    <col min="6420" max="6420" width="50.125" style="3053" customWidth="1"/>
    <col min="6421" max="6421" width="37.25" style="3053" customWidth="1"/>
    <col min="6422" max="6422" width="17.875" style="3053" customWidth="1"/>
    <col min="6423" max="6423" width="7.875" style="3053" customWidth="1"/>
    <col min="6424" max="6427" width="9" style="3053" customWidth="1"/>
    <col min="6428" max="6428" width="23.125" style="3053" customWidth="1"/>
    <col min="6429" max="6429" width="7.875" style="3053" customWidth="1"/>
    <col min="6430" max="6430" width="89.875" style="3053" customWidth="1"/>
    <col min="6431" max="6431" width="78.5" style="3053" customWidth="1"/>
    <col min="6432" max="6434" width="10.625" style="3053" customWidth="1"/>
    <col min="6435" max="6436" width="16" style="3053" customWidth="1"/>
    <col min="6437" max="6438" width="14.375" style="3053" customWidth="1"/>
    <col min="6439" max="6440" width="21.875" style="3053" customWidth="1"/>
    <col min="6441" max="6441" width="6.25" style="3053" customWidth="1"/>
    <col min="6442" max="6442" width="24.5" style="3053" customWidth="1"/>
    <col min="6443" max="6443" width="16.875" style="3053" customWidth="1"/>
    <col min="6444" max="6445" width="20.125" style="3053" customWidth="1"/>
    <col min="6446" max="6446" width="7.875" style="3053" customWidth="1"/>
    <col min="6447" max="6656" width="9" style="3053"/>
    <col min="6657" max="6657" width="17.25" style="3053" customWidth="1"/>
    <col min="6658" max="6658" width="6.25" style="3053" customWidth="1"/>
    <col min="6659" max="6659" width="13.875" style="3053" customWidth="1"/>
    <col min="6660" max="6660" width="6.25" style="3053" customWidth="1"/>
    <col min="6661" max="6661" width="9.625" style="3053" customWidth="1"/>
    <col min="6662" max="6662" width="14.5" style="3053" customWidth="1"/>
    <col min="6663" max="6663" width="7.875" style="3053" customWidth="1"/>
    <col min="6664" max="6664" width="23.125" style="3053" customWidth="1"/>
    <col min="6665" max="6665" width="16.625" style="3053" customWidth="1"/>
    <col min="6666" max="6667" width="13.875" style="3053" customWidth="1"/>
    <col min="6668" max="6668" width="20.75" style="3053" customWidth="1"/>
    <col min="6669" max="6669" width="7.875" style="3053" customWidth="1"/>
    <col min="6670" max="6670" width="21.25" style="3053" customWidth="1"/>
    <col min="6671" max="6671" width="24.125" style="3053" customWidth="1"/>
    <col min="6672" max="6672" width="9.625" style="3053" customWidth="1"/>
    <col min="6673" max="6674" width="15.5" style="3053" customWidth="1"/>
    <col min="6675" max="6675" width="69.5" style="3053" customWidth="1"/>
    <col min="6676" max="6676" width="50.125" style="3053" customWidth="1"/>
    <col min="6677" max="6677" width="37.25" style="3053" customWidth="1"/>
    <col min="6678" max="6678" width="17.875" style="3053" customWidth="1"/>
    <col min="6679" max="6679" width="7.875" style="3053" customWidth="1"/>
    <col min="6680" max="6683" width="9" style="3053" customWidth="1"/>
    <col min="6684" max="6684" width="23.125" style="3053" customWidth="1"/>
    <col min="6685" max="6685" width="7.875" style="3053" customWidth="1"/>
    <col min="6686" max="6686" width="89.875" style="3053" customWidth="1"/>
    <col min="6687" max="6687" width="78.5" style="3053" customWidth="1"/>
    <col min="6688" max="6690" width="10.625" style="3053" customWidth="1"/>
    <col min="6691" max="6692" width="16" style="3053" customWidth="1"/>
    <col min="6693" max="6694" width="14.375" style="3053" customWidth="1"/>
    <col min="6695" max="6696" width="21.875" style="3053" customWidth="1"/>
    <col min="6697" max="6697" width="6.25" style="3053" customWidth="1"/>
    <col min="6698" max="6698" width="24.5" style="3053" customWidth="1"/>
    <col min="6699" max="6699" width="16.875" style="3053" customWidth="1"/>
    <col min="6700" max="6701" width="20.125" style="3053" customWidth="1"/>
    <col min="6702" max="6702" width="7.875" style="3053" customWidth="1"/>
    <col min="6703" max="6912" width="9" style="3053"/>
    <col min="6913" max="6913" width="17.25" style="3053" customWidth="1"/>
    <col min="6914" max="6914" width="6.25" style="3053" customWidth="1"/>
    <col min="6915" max="6915" width="13.875" style="3053" customWidth="1"/>
    <col min="6916" max="6916" width="6.25" style="3053" customWidth="1"/>
    <col min="6917" max="6917" width="9.625" style="3053" customWidth="1"/>
    <col min="6918" max="6918" width="14.5" style="3053" customWidth="1"/>
    <col min="6919" max="6919" width="7.875" style="3053" customWidth="1"/>
    <col min="6920" max="6920" width="23.125" style="3053" customWidth="1"/>
    <col min="6921" max="6921" width="16.625" style="3053" customWidth="1"/>
    <col min="6922" max="6923" width="13.875" style="3053" customWidth="1"/>
    <col min="6924" max="6924" width="20.75" style="3053" customWidth="1"/>
    <col min="6925" max="6925" width="7.875" style="3053" customWidth="1"/>
    <col min="6926" max="6926" width="21.25" style="3053" customWidth="1"/>
    <col min="6927" max="6927" width="24.125" style="3053" customWidth="1"/>
    <col min="6928" max="6928" width="9.625" style="3053" customWidth="1"/>
    <col min="6929" max="6930" width="15.5" style="3053" customWidth="1"/>
    <col min="6931" max="6931" width="69.5" style="3053" customWidth="1"/>
    <col min="6932" max="6932" width="50.125" style="3053" customWidth="1"/>
    <col min="6933" max="6933" width="37.25" style="3053" customWidth="1"/>
    <col min="6934" max="6934" width="17.875" style="3053" customWidth="1"/>
    <col min="6935" max="6935" width="7.875" style="3053" customWidth="1"/>
    <col min="6936" max="6939" width="9" style="3053" customWidth="1"/>
    <col min="6940" max="6940" width="23.125" style="3053" customWidth="1"/>
    <col min="6941" max="6941" width="7.875" style="3053" customWidth="1"/>
    <col min="6942" max="6942" width="89.875" style="3053" customWidth="1"/>
    <col min="6943" max="6943" width="78.5" style="3053" customWidth="1"/>
    <col min="6944" max="6946" width="10.625" style="3053" customWidth="1"/>
    <col min="6947" max="6948" width="16" style="3053" customWidth="1"/>
    <col min="6949" max="6950" width="14.375" style="3053" customWidth="1"/>
    <col min="6951" max="6952" width="21.875" style="3053" customWidth="1"/>
    <col min="6953" max="6953" width="6.25" style="3053" customWidth="1"/>
    <col min="6954" max="6954" width="24.5" style="3053" customWidth="1"/>
    <col min="6955" max="6955" width="16.875" style="3053" customWidth="1"/>
    <col min="6956" max="6957" width="20.125" style="3053" customWidth="1"/>
    <col min="6958" max="6958" width="7.875" style="3053" customWidth="1"/>
    <col min="6959" max="7168" width="9" style="3053"/>
    <col min="7169" max="7169" width="17.25" style="3053" customWidth="1"/>
    <col min="7170" max="7170" width="6.25" style="3053" customWidth="1"/>
    <col min="7171" max="7171" width="13.875" style="3053" customWidth="1"/>
    <col min="7172" max="7172" width="6.25" style="3053" customWidth="1"/>
    <col min="7173" max="7173" width="9.625" style="3053" customWidth="1"/>
    <col min="7174" max="7174" width="14.5" style="3053" customWidth="1"/>
    <col min="7175" max="7175" width="7.875" style="3053" customWidth="1"/>
    <col min="7176" max="7176" width="23.125" style="3053" customWidth="1"/>
    <col min="7177" max="7177" width="16.625" style="3053" customWidth="1"/>
    <col min="7178" max="7179" width="13.875" style="3053" customWidth="1"/>
    <col min="7180" max="7180" width="20.75" style="3053" customWidth="1"/>
    <col min="7181" max="7181" width="7.875" style="3053" customWidth="1"/>
    <col min="7182" max="7182" width="21.25" style="3053" customWidth="1"/>
    <col min="7183" max="7183" width="24.125" style="3053" customWidth="1"/>
    <col min="7184" max="7184" width="9.625" style="3053" customWidth="1"/>
    <col min="7185" max="7186" width="15.5" style="3053" customWidth="1"/>
    <col min="7187" max="7187" width="69.5" style="3053" customWidth="1"/>
    <col min="7188" max="7188" width="50.125" style="3053" customWidth="1"/>
    <col min="7189" max="7189" width="37.25" style="3053" customWidth="1"/>
    <col min="7190" max="7190" width="17.875" style="3053" customWidth="1"/>
    <col min="7191" max="7191" width="7.875" style="3053" customWidth="1"/>
    <col min="7192" max="7195" width="9" style="3053" customWidth="1"/>
    <col min="7196" max="7196" width="23.125" style="3053" customWidth="1"/>
    <col min="7197" max="7197" width="7.875" style="3053" customWidth="1"/>
    <col min="7198" max="7198" width="89.875" style="3053" customWidth="1"/>
    <col min="7199" max="7199" width="78.5" style="3053" customWidth="1"/>
    <col min="7200" max="7202" width="10.625" style="3053" customWidth="1"/>
    <col min="7203" max="7204" width="16" style="3053" customWidth="1"/>
    <col min="7205" max="7206" width="14.375" style="3053" customWidth="1"/>
    <col min="7207" max="7208" width="21.875" style="3053" customWidth="1"/>
    <col min="7209" max="7209" width="6.25" style="3053" customWidth="1"/>
    <col min="7210" max="7210" width="24.5" style="3053" customWidth="1"/>
    <col min="7211" max="7211" width="16.875" style="3053" customWidth="1"/>
    <col min="7212" max="7213" width="20.125" style="3053" customWidth="1"/>
    <col min="7214" max="7214" width="7.875" style="3053" customWidth="1"/>
    <col min="7215" max="7424" width="9" style="3053"/>
    <col min="7425" max="7425" width="17.25" style="3053" customWidth="1"/>
    <col min="7426" max="7426" width="6.25" style="3053" customWidth="1"/>
    <col min="7427" max="7427" width="13.875" style="3053" customWidth="1"/>
    <col min="7428" max="7428" width="6.25" style="3053" customWidth="1"/>
    <col min="7429" max="7429" width="9.625" style="3053" customWidth="1"/>
    <col min="7430" max="7430" width="14.5" style="3053" customWidth="1"/>
    <col min="7431" max="7431" width="7.875" style="3053" customWidth="1"/>
    <col min="7432" max="7432" width="23.125" style="3053" customWidth="1"/>
    <col min="7433" max="7433" width="16.625" style="3053" customWidth="1"/>
    <col min="7434" max="7435" width="13.875" style="3053" customWidth="1"/>
    <col min="7436" max="7436" width="20.75" style="3053" customWidth="1"/>
    <col min="7437" max="7437" width="7.875" style="3053" customWidth="1"/>
    <col min="7438" max="7438" width="21.25" style="3053" customWidth="1"/>
    <col min="7439" max="7439" width="24.125" style="3053" customWidth="1"/>
    <col min="7440" max="7440" width="9.625" style="3053" customWidth="1"/>
    <col min="7441" max="7442" width="15.5" style="3053" customWidth="1"/>
    <col min="7443" max="7443" width="69.5" style="3053" customWidth="1"/>
    <col min="7444" max="7444" width="50.125" style="3053" customWidth="1"/>
    <col min="7445" max="7445" width="37.25" style="3053" customWidth="1"/>
    <col min="7446" max="7446" width="17.875" style="3053" customWidth="1"/>
    <col min="7447" max="7447" width="7.875" style="3053" customWidth="1"/>
    <col min="7448" max="7451" width="9" style="3053" customWidth="1"/>
    <col min="7452" max="7452" width="23.125" style="3053" customWidth="1"/>
    <col min="7453" max="7453" width="7.875" style="3053" customWidth="1"/>
    <col min="7454" max="7454" width="89.875" style="3053" customWidth="1"/>
    <col min="7455" max="7455" width="78.5" style="3053" customWidth="1"/>
    <col min="7456" max="7458" width="10.625" style="3053" customWidth="1"/>
    <col min="7459" max="7460" width="16" style="3053" customWidth="1"/>
    <col min="7461" max="7462" width="14.375" style="3053" customWidth="1"/>
    <col min="7463" max="7464" width="21.875" style="3053" customWidth="1"/>
    <col min="7465" max="7465" width="6.25" style="3053" customWidth="1"/>
    <col min="7466" max="7466" width="24.5" style="3053" customWidth="1"/>
    <col min="7467" max="7467" width="16.875" style="3053" customWidth="1"/>
    <col min="7468" max="7469" width="20.125" style="3053" customWidth="1"/>
    <col min="7470" max="7470" width="7.875" style="3053" customWidth="1"/>
    <col min="7471" max="7680" width="9" style="3053"/>
    <col min="7681" max="7681" width="17.25" style="3053" customWidth="1"/>
    <col min="7682" max="7682" width="6.25" style="3053" customWidth="1"/>
    <col min="7683" max="7683" width="13.875" style="3053" customWidth="1"/>
    <col min="7684" max="7684" width="6.25" style="3053" customWidth="1"/>
    <col min="7685" max="7685" width="9.625" style="3053" customWidth="1"/>
    <col min="7686" max="7686" width="14.5" style="3053" customWidth="1"/>
    <col min="7687" max="7687" width="7.875" style="3053" customWidth="1"/>
    <col min="7688" max="7688" width="23.125" style="3053" customWidth="1"/>
    <col min="7689" max="7689" width="16.625" style="3053" customWidth="1"/>
    <col min="7690" max="7691" width="13.875" style="3053" customWidth="1"/>
    <col min="7692" max="7692" width="20.75" style="3053" customWidth="1"/>
    <col min="7693" max="7693" width="7.875" style="3053" customWidth="1"/>
    <col min="7694" max="7694" width="21.25" style="3053" customWidth="1"/>
    <col min="7695" max="7695" width="24.125" style="3053" customWidth="1"/>
    <col min="7696" max="7696" width="9.625" style="3053" customWidth="1"/>
    <col min="7697" max="7698" width="15.5" style="3053" customWidth="1"/>
    <col min="7699" max="7699" width="69.5" style="3053" customWidth="1"/>
    <col min="7700" max="7700" width="50.125" style="3053" customWidth="1"/>
    <col min="7701" max="7701" width="37.25" style="3053" customWidth="1"/>
    <col min="7702" max="7702" width="17.875" style="3053" customWidth="1"/>
    <col min="7703" max="7703" width="7.875" style="3053" customWidth="1"/>
    <col min="7704" max="7707" width="9" style="3053" customWidth="1"/>
    <col min="7708" max="7708" width="23.125" style="3053" customWidth="1"/>
    <col min="7709" max="7709" width="7.875" style="3053" customWidth="1"/>
    <col min="7710" max="7710" width="89.875" style="3053" customWidth="1"/>
    <col min="7711" max="7711" width="78.5" style="3053" customWidth="1"/>
    <col min="7712" max="7714" width="10.625" style="3053" customWidth="1"/>
    <col min="7715" max="7716" width="16" style="3053" customWidth="1"/>
    <col min="7717" max="7718" width="14.375" style="3053" customWidth="1"/>
    <col min="7719" max="7720" width="21.875" style="3053" customWidth="1"/>
    <col min="7721" max="7721" width="6.25" style="3053" customWidth="1"/>
    <col min="7722" max="7722" width="24.5" style="3053" customWidth="1"/>
    <col min="7723" max="7723" width="16.875" style="3053" customWidth="1"/>
    <col min="7724" max="7725" width="20.125" style="3053" customWidth="1"/>
    <col min="7726" max="7726" width="7.875" style="3053" customWidth="1"/>
    <col min="7727" max="7936" width="9" style="3053"/>
    <col min="7937" max="7937" width="17.25" style="3053" customWidth="1"/>
    <col min="7938" max="7938" width="6.25" style="3053" customWidth="1"/>
    <col min="7939" max="7939" width="13.875" style="3053" customWidth="1"/>
    <col min="7940" max="7940" width="6.25" style="3053" customWidth="1"/>
    <col min="7941" max="7941" width="9.625" style="3053" customWidth="1"/>
    <col min="7942" max="7942" width="14.5" style="3053" customWidth="1"/>
    <col min="7943" max="7943" width="7.875" style="3053" customWidth="1"/>
    <col min="7944" max="7944" width="23.125" style="3053" customWidth="1"/>
    <col min="7945" max="7945" width="16.625" style="3053" customWidth="1"/>
    <col min="7946" max="7947" width="13.875" style="3053" customWidth="1"/>
    <col min="7948" max="7948" width="20.75" style="3053" customWidth="1"/>
    <col min="7949" max="7949" width="7.875" style="3053" customWidth="1"/>
    <col min="7950" max="7950" width="21.25" style="3053" customWidth="1"/>
    <col min="7951" max="7951" width="24.125" style="3053" customWidth="1"/>
    <col min="7952" max="7952" width="9.625" style="3053" customWidth="1"/>
    <col min="7953" max="7954" width="15.5" style="3053" customWidth="1"/>
    <col min="7955" max="7955" width="69.5" style="3053" customWidth="1"/>
    <col min="7956" max="7956" width="50.125" style="3053" customWidth="1"/>
    <col min="7957" max="7957" width="37.25" style="3053" customWidth="1"/>
    <col min="7958" max="7958" width="17.875" style="3053" customWidth="1"/>
    <col min="7959" max="7959" width="7.875" style="3053" customWidth="1"/>
    <col min="7960" max="7963" width="9" style="3053" customWidth="1"/>
    <col min="7964" max="7964" width="23.125" style="3053" customWidth="1"/>
    <col min="7965" max="7965" width="7.875" style="3053" customWidth="1"/>
    <col min="7966" max="7966" width="89.875" style="3053" customWidth="1"/>
    <col min="7967" max="7967" width="78.5" style="3053" customWidth="1"/>
    <col min="7968" max="7970" width="10.625" style="3053" customWidth="1"/>
    <col min="7971" max="7972" width="16" style="3053" customWidth="1"/>
    <col min="7973" max="7974" width="14.375" style="3053" customWidth="1"/>
    <col min="7975" max="7976" width="21.875" style="3053" customWidth="1"/>
    <col min="7977" max="7977" width="6.25" style="3053" customWidth="1"/>
    <col min="7978" max="7978" width="24.5" style="3053" customWidth="1"/>
    <col min="7979" max="7979" width="16.875" style="3053" customWidth="1"/>
    <col min="7980" max="7981" width="20.125" style="3053" customWidth="1"/>
    <col min="7982" max="7982" width="7.875" style="3053" customWidth="1"/>
    <col min="7983" max="8192" width="9" style="3053"/>
    <col min="8193" max="8193" width="17.25" style="3053" customWidth="1"/>
    <col min="8194" max="8194" width="6.25" style="3053" customWidth="1"/>
    <col min="8195" max="8195" width="13.875" style="3053" customWidth="1"/>
    <col min="8196" max="8196" width="6.25" style="3053" customWidth="1"/>
    <col min="8197" max="8197" width="9.625" style="3053" customWidth="1"/>
    <col min="8198" max="8198" width="14.5" style="3053" customWidth="1"/>
    <col min="8199" max="8199" width="7.875" style="3053" customWidth="1"/>
    <col min="8200" max="8200" width="23.125" style="3053" customWidth="1"/>
    <col min="8201" max="8201" width="16.625" style="3053" customWidth="1"/>
    <col min="8202" max="8203" width="13.875" style="3053" customWidth="1"/>
    <col min="8204" max="8204" width="20.75" style="3053" customWidth="1"/>
    <col min="8205" max="8205" width="7.875" style="3053" customWidth="1"/>
    <col min="8206" max="8206" width="21.25" style="3053" customWidth="1"/>
    <col min="8207" max="8207" width="24.125" style="3053" customWidth="1"/>
    <col min="8208" max="8208" width="9.625" style="3053" customWidth="1"/>
    <col min="8209" max="8210" width="15.5" style="3053" customWidth="1"/>
    <col min="8211" max="8211" width="69.5" style="3053" customWidth="1"/>
    <col min="8212" max="8212" width="50.125" style="3053" customWidth="1"/>
    <col min="8213" max="8213" width="37.25" style="3053" customWidth="1"/>
    <col min="8214" max="8214" width="17.875" style="3053" customWidth="1"/>
    <col min="8215" max="8215" width="7.875" style="3053" customWidth="1"/>
    <col min="8216" max="8219" width="9" style="3053" customWidth="1"/>
    <col min="8220" max="8220" width="23.125" style="3053" customWidth="1"/>
    <col min="8221" max="8221" width="7.875" style="3053" customWidth="1"/>
    <col min="8222" max="8222" width="89.875" style="3053" customWidth="1"/>
    <col min="8223" max="8223" width="78.5" style="3053" customWidth="1"/>
    <col min="8224" max="8226" width="10.625" style="3053" customWidth="1"/>
    <col min="8227" max="8228" width="16" style="3053" customWidth="1"/>
    <col min="8229" max="8230" width="14.375" style="3053" customWidth="1"/>
    <col min="8231" max="8232" width="21.875" style="3053" customWidth="1"/>
    <col min="8233" max="8233" width="6.25" style="3053" customWidth="1"/>
    <col min="8234" max="8234" width="24.5" style="3053" customWidth="1"/>
    <col min="8235" max="8235" width="16.875" style="3053" customWidth="1"/>
    <col min="8236" max="8237" width="20.125" style="3053" customWidth="1"/>
    <col min="8238" max="8238" width="7.875" style="3053" customWidth="1"/>
    <col min="8239" max="8448" width="9" style="3053"/>
    <col min="8449" max="8449" width="17.25" style="3053" customWidth="1"/>
    <col min="8450" max="8450" width="6.25" style="3053" customWidth="1"/>
    <col min="8451" max="8451" width="13.875" style="3053" customWidth="1"/>
    <col min="8452" max="8452" width="6.25" style="3053" customWidth="1"/>
    <col min="8453" max="8453" width="9.625" style="3053" customWidth="1"/>
    <col min="8454" max="8454" width="14.5" style="3053" customWidth="1"/>
    <col min="8455" max="8455" width="7.875" style="3053" customWidth="1"/>
    <col min="8456" max="8456" width="23.125" style="3053" customWidth="1"/>
    <col min="8457" max="8457" width="16.625" style="3053" customWidth="1"/>
    <col min="8458" max="8459" width="13.875" style="3053" customWidth="1"/>
    <col min="8460" max="8460" width="20.75" style="3053" customWidth="1"/>
    <col min="8461" max="8461" width="7.875" style="3053" customWidth="1"/>
    <col min="8462" max="8462" width="21.25" style="3053" customWidth="1"/>
    <col min="8463" max="8463" width="24.125" style="3053" customWidth="1"/>
    <col min="8464" max="8464" width="9.625" style="3053" customWidth="1"/>
    <col min="8465" max="8466" width="15.5" style="3053" customWidth="1"/>
    <col min="8467" max="8467" width="69.5" style="3053" customWidth="1"/>
    <col min="8468" max="8468" width="50.125" style="3053" customWidth="1"/>
    <col min="8469" max="8469" width="37.25" style="3053" customWidth="1"/>
    <col min="8470" max="8470" width="17.875" style="3053" customWidth="1"/>
    <col min="8471" max="8471" width="7.875" style="3053" customWidth="1"/>
    <col min="8472" max="8475" width="9" style="3053" customWidth="1"/>
    <col min="8476" max="8476" width="23.125" style="3053" customWidth="1"/>
    <col min="8477" max="8477" width="7.875" style="3053" customWidth="1"/>
    <col min="8478" max="8478" width="89.875" style="3053" customWidth="1"/>
    <col min="8479" max="8479" width="78.5" style="3053" customWidth="1"/>
    <col min="8480" max="8482" width="10.625" style="3053" customWidth="1"/>
    <col min="8483" max="8484" width="16" style="3053" customWidth="1"/>
    <col min="8485" max="8486" width="14.375" style="3053" customWidth="1"/>
    <col min="8487" max="8488" width="21.875" style="3053" customWidth="1"/>
    <col min="8489" max="8489" width="6.25" style="3053" customWidth="1"/>
    <col min="8490" max="8490" width="24.5" style="3053" customWidth="1"/>
    <col min="8491" max="8491" width="16.875" style="3053" customWidth="1"/>
    <col min="8492" max="8493" width="20.125" style="3053" customWidth="1"/>
    <col min="8494" max="8494" width="7.875" style="3053" customWidth="1"/>
    <col min="8495" max="8704" width="9" style="3053"/>
    <col min="8705" max="8705" width="17.25" style="3053" customWidth="1"/>
    <col min="8706" max="8706" width="6.25" style="3053" customWidth="1"/>
    <col min="8707" max="8707" width="13.875" style="3053" customWidth="1"/>
    <col min="8708" max="8708" width="6.25" style="3053" customWidth="1"/>
    <col min="8709" max="8709" width="9.625" style="3053" customWidth="1"/>
    <col min="8710" max="8710" width="14.5" style="3053" customWidth="1"/>
    <col min="8711" max="8711" width="7.875" style="3053" customWidth="1"/>
    <col min="8712" max="8712" width="23.125" style="3053" customWidth="1"/>
    <col min="8713" max="8713" width="16.625" style="3053" customWidth="1"/>
    <col min="8714" max="8715" width="13.875" style="3053" customWidth="1"/>
    <col min="8716" max="8716" width="20.75" style="3053" customWidth="1"/>
    <col min="8717" max="8717" width="7.875" style="3053" customWidth="1"/>
    <col min="8718" max="8718" width="21.25" style="3053" customWidth="1"/>
    <col min="8719" max="8719" width="24.125" style="3053" customWidth="1"/>
    <col min="8720" max="8720" width="9.625" style="3053" customWidth="1"/>
    <col min="8721" max="8722" width="15.5" style="3053" customWidth="1"/>
    <col min="8723" max="8723" width="69.5" style="3053" customWidth="1"/>
    <col min="8724" max="8724" width="50.125" style="3053" customWidth="1"/>
    <col min="8725" max="8725" width="37.25" style="3053" customWidth="1"/>
    <col min="8726" max="8726" width="17.875" style="3053" customWidth="1"/>
    <col min="8727" max="8727" width="7.875" style="3053" customWidth="1"/>
    <col min="8728" max="8731" width="9" style="3053" customWidth="1"/>
    <col min="8732" max="8732" width="23.125" style="3053" customWidth="1"/>
    <col min="8733" max="8733" width="7.875" style="3053" customWidth="1"/>
    <col min="8734" max="8734" width="89.875" style="3053" customWidth="1"/>
    <col min="8735" max="8735" width="78.5" style="3053" customWidth="1"/>
    <col min="8736" max="8738" width="10.625" style="3053" customWidth="1"/>
    <col min="8739" max="8740" width="16" style="3053" customWidth="1"/>
    <col min="8741" max="8742" width="14.375" style="3053" customWidth="1"/>
    <col min="8743" max="8744" width="21.875" style="3053" customWidth="1"/>
    <col min="8745" max="8745" width="6.25" style="3053" customWidth="1"/>
    <col min="8746" max="8746" width="24.5" style="3053" customWidth="1"/>
    <col min="8747" max="8747" width="16.875" style="3053" customWidth="1"/>
    <col min="8748" max="8749" width="20.125" style="3053" customWidth="1"/>
    <col min="8750" max="8750" width="7.875" style="3053" customWidth="1"/>
    <col min="8751" max="8960" width="9" style="3053"/>
    <col min="8961" max="8961" width="17.25" style="3053" customWidth="1"/>
    <col min="8962" max="8962" width="6.25" style="3053" customWidth="1"/>
    <col min="8963" max="8963" width="13.875" style="3053" customWidth="1"/>
    <col min="8964" max="8964" width="6.25" style="3053" customWidth="1"/>
    <col min="8965" max="8965" width="9.625" style="3053" customWidth="1"/>
    <col min="8966" max="8966" width="14.5" style="3053" customWidth="1"/>
    <col min="8967" max="8967" width="7.875" style="3053" customWidth="1"/>
    <col min="8968" max="8968" width="23.125" style="3053" customWidth="1"/>
    <col min="8969" max="8969" width="16.625" style="3053" customWidth="1"/>
    <col min="8970" max="8971" width="13.875" style="3053" customWidth="1"/>
    <col min="8972" max="8972" width="20.75" style="3053" customWidth="1"/>
    <col min="8973" max="8973" width="7.875" style="3053" customWidth="1"/>
    <col min="8974" max="8974" width="21.25" style="3053" customWidth="1"/>
    <col min="8975" max="8975" width="24.125" style="3053" customWidth="1"/>
    <col min="8976" max="8976" width="9.625" style="3053" customWidth="1"/>
    <col min="8977" max="8978" width="15.5" style="3053" customWidth="1"/>
    <col min="8979" max="8979" width="69.5" style="3053" customWidth="1"/>
    <col min="8980" max="8980" width="50.125" style="3053" customWidth="1"/>
    <col min="8981" max="8981" width="37.25" style="3053" customWidth="1"/>
    <col min="8982" max="8982" width="17.875" style="3053" customWidth="1"/>
    <col min="8983" max="8983" width="7.875" style="3053" customWidth="1"/>
    <col min="8984" max="8987" width="9" style="3053" customWidth="1"/>
    <col min="8988" max="8988" width="23.125" style="3053" customWidth="1"/>
    <col min="8989" max="8989" width="7.875" style="3053" customWidth="1"/>
    <col min="8990" max="8990" width="89.875" style="3053" customWidth="1"/>
    <col min="8991" max="8991" width="78.5" style="3053" customWidth="1"/>
    <col min="8992" max="8994" width="10.625" style="3053" customWidth="1"/>
    <col min="8995" max="8996" width="16" style="3053" customWidth="1"/>
    <col min="8997" max="8998" width="14.375" style="3053" customWidth="1"/>
    <col min="8999" max="9000" width="21.875" style="3053" customWidth="1"/>
    <col min="9001" max="9001" width="6.25" style="3053" customWidth="1"/>
    <col min="9002" max="9002" width="24.5" style="3053" customWidth="1"/>
    <col min="9003" max="9003" width="16.875" style="3053" customWidth="1"/>
    <col min="9004" max="9005" width="20.125" style="3053" customWidth="1"/>
    <col min="9006" max="9006" width="7.875" style="3053" customWidth="1"/>
    <col min="9007" max="9216" width="9" style="3053"/>
    <col min="9217" max="9217" width="17.25" style="3053" customWidth="1"/>
    <col min="9218" max="9218" width="6.25" style="3053" customWidth="1"/>
    <col min="9219" max="9219" width="13.875" style="3053" customWidth="1"/>
    <col min="9220" max="9220" width="6.25" style="3053" customWidth="1"/>
    <col min="9221" max="9221" width="9.625" style="3053" customWidth="1"/>
    <col min="9222" max="9222" width="14.5" style="3053" customWidth="1"/>
    <col min="9223" max="9223" width="7.875" style="3053" customWidth="1"/>
    <col min="9224" max="9224" width="23.125" style="3053" customWidth="1"/>
    <col min="9225" max="9225" width="16.625" style="3053" customWidth="1"/>
    <col min="9226" max="9227" width="13.875" style="3053" customWidth="1"/>
    <col min="9228" max="9228" width="20.75" style="3053" customWidth="1"/>
    <col min="9229" max="9229" width="7.875" style="3053" customWidth="1"/>
    <col min="9230" max="9230" width="21.25" style="3053" customWidth="1"/>
    <col min="9231" max="9231" width="24.125" style="3053" customWidth="1"/>
    <col min="9232" max="9232" width="9.625" style="3053" customWidth="1"/>
    <col min="9233" max="9234" width="15.5" style="3053" customWidth="1"/>
    <col min="9235" max="9235" width="69.5" style="3053" customWidth="1"/>
    <col min="9236" max="9236" width="50.125" style="3053" customWidth="1"/>
    <col min="9237" max="9237" width="37.25" style="3053" customWidth="1"/>
    <col min="9238" max="9238" width="17.875" style="3053" customWidth="1"/>
    <col min="9239" max="9239" width="7.875" style="3053" customWidth="1"/>
    <col min="9240" max="9243" width="9" style="3053" customWidth="1"/>
    <col min="9244" max="9244" width="23.125" style="3053" customWidth="1"/>
    <col min="9245" max="9245" width="7.875" style="3053" customWidth="1"/>
    <col min="9246" max="9246" width="89.875" style="3053" customWidth="1"/>
    <col min="9247" max="9247" width="78.5" style="3053" customWidth="1"/>
    <col min="9248" max="9250" width="10.625" style="3053" customWidth="1"/>
    <col min="9251" max="9252" width="16" style="3053" customWidth="1"/>
    <col min="9253" max="9254" width="14.375" style="3053" customWidth="1"/>
    <col min="9255" max="9256" width="21.875" style="3053" customWidth="1"/>
    <col min="9257" max="9257" width="6.25" style="3053" customWidth="1"/>
    <col min="9258" max="9258" width="24.5" style="3053" customWidth="1"/>
    <col min="9259" max="9259" width="16.875" style="3053" customWidth="1"/>
    <col min="9260" max="9261" width="20.125" style="3053" customWidth="1"/>
    <col min="9262" max="9262" width="7.875" style="3053" customWidth="1"/>
    <col min="9263" max="9472" width="9" style="3053"/>
    <col min="9473" max="9473" width="17.25" style="3053" customWidth="1"/>
    <col min="9474" max="9474" width="6.25" style="3053" customWidth="1"/>
    <col min="9475" max="9475" width="13.875" style="3053" customWidth="1"/>
    <col min="9476" max="9476" width="6.25" style="3053" customWidth="1"/>
    <col min="9477" max="9477" width="9.625" style="3053" customWidth="1"/>
    <col min="9478" max="9478" width="14.5" style="3053" customWidth="1"/>
    <col min="9479" max="9479" width="7.875" style="3053" customWidth="1"/>
    <col min="9480" max="9480" width="23.125" style="3053" customWidth="1"/>
    <col min="9481" max="9481" width="16.625" style="3053" customWidth="1"/>
    <col min="9482" max="9483" width="13.875" style="3053" customWidth="1"/>
    <col min="9484" max="9484" width="20.75" style="3053" customWidth="1"/>
    <col min="9485" max="9485" width="7.875" style="3053" customWidth="1"/>
    <col min="9486" max="9486" width="21.25" style="3053" customWidth="1"/>
    <col min="9487" max="9487" width="24.125" style="3053" customWidth="1"/>
    <col min="9488" max="9488" width="9.625" style="3053" customWidth="1"/>
    <col min="9489" max="9490" width="15.5" style="3053" customWidth="1"/>
    <col min="9491" max="9491" width="69.5" style="3053" customWidth="1"/>
    <col min="9492" max="9492" width="50.125" style="3053" customWidth="1"/>
    <col min="9493" max="9493" width="37.25" style="3053" customWidth="1"/>
    <col min="9494" max="9494" width="17.875" style="3053" customWidth="1"/>
    <col min="9495" max="9495" width="7.875" style="3053" customWidth="1"/>
    <col min="9496" max="9499" width="9" style="3053" customWidth="1"/>
    <col min="9500" max="9500" width="23.125" style="3053" customWidth="1"/>
    <col min="9501" max="9501" width="7.875" style="3053" customWidth="1"/>
    <col min="9502" max="9502" width="89.875" style="3053" customWidth="1"/>
    <col min="9503" max="9503" width="78.5" style="3053" customWidth="1"/>
    <col min="9504" max="9506" width="10.625" style="3053" customWidth="1"/>
    <col min="9507" max="9508" width="16" style="3053" customWidth="1"/>
    <col min="9509" max="9510" width="14.375" style="3053" customWidth="1"/>
    <col min="9511" max="9512" width="21.875" style="3053" customWidth="1"/>
    <col min="9513" max="9513" width="6.25" style="3053" customWidth="1"/>
    <col min="9514" max="9514" width="24.5" style="3053" customWidth="1"/>
    <col min="9515" max="9515" width="16.875" style="3053" customWidth="1"/>
    <col min="9516" max="9517" width="20.125" style="3053" customWidth="1"/>
    <col min="9518" max="9518" width="7.875" style="3053" customWidth="1"/>
    <col min="9519" max="9728" width="9" style="3053"/>
    <col min="9729" max="9729" width="17.25" style="3053" customWidth="1"/>
    <col min="9730" max="9730" width="6.25" style="3053" customWidth="1"/>
    <col min="9731" max="9731" width="13.875" style="3053" customWidth="1"/>
    <col min="9732" max="9732" width="6.25" style="3053" customWidth="1"/>
    <col min="9733" max="9733" width="9.625" style="3053" customWidth="1"/>
    <col min="9734" max="9734" width="14.5" style="3053" customWidth="1"/>
    <col min="9735" max="9735" width="7.875" style="3053" customWidth="1"/>
    <col min="9736" max="9736" width="23.125" style="3053" customWidth="1"/>
    <col min="9737" max="9737" width="16.625" style="3053" customWidth="1"/>
    <col min="9738" max="9739" width="13.875" style="3053" customWidth="1"/>
    <col min="9740" max="9740" width="20.75" style="3053" customWidth="1"/>
    <col min="9741" max="9741" width="7.875" style="3053" customWidth="1"/>
    <col min="9742" max="9742" width="21.25" style="3053" customWidth="1"/>
    <col min="9743" max="9743" width="24.125" style="3053" customWidth="1"/>
    <col min="9744" max="9744" width="9.625" style="3053" customWidth="1"/>
    <col min="9745" max="9746" width="15.5" style="3053" customWidth="1"/>
    <col min="9747" max="9747" width="69.5" style="3053" customWidth="1"/>
    <col min="9748" max="9748" width="50.125" style="3053" customWidth="1"/>
    <col min="9749" max="9749" width="37.25" style="3053" customWidth="1"/>
    <col min="9750" max="9750" width="17.875" style="3053" customWidth="1"/>
    <col min="9751" max="9751" width="7.875" style="3053" customWidth="1"/>
    <col min="9752" max="9755" width="9" style="3053" customWidth="1"/>
    <col min="9756" max="9756" width="23.125" style="3053" customWidth="1"/>
    <col min="9757" max="9757" width="7.875" style="3053" customWidth="1"/>
    <col min="9758" max="9758" width="89.875" style="3053" customWidth="1"/>
    <col min="9759" max="9759" width="78.5" style="3053" customWidth="1"/>
    <col min="9760" max="9762" width="10.625" style="3053" customWidth="1"/>
    <col min="9763" max="9764" width="16" style="3053" customWidth="1"/>
    <col min="9765" max="9766" width="14.375" style="3053" customWidth="1"/>
    <col min="9767" max="9768" width="21.875" style="3053" customWidth="1"/>
    <col min="9769" max="9769" width="6.25" style="3053" customWidth="1"/>
    <col min="9770" max="9770" width="24.5" style="3053" customWidth="1"/>
    <col min="9771" max="9771" width="16.875" style="3053" customWidth="1"/>
    <col min="9772" max="9773" width="20.125" style="3053" customWidth="1"/>
    <col min="9774" max="9774" width="7.875" style="3053" customWidth="1"/>
    <col min="9775" max="9984" width="9" style="3053"/>
    <col min="9985" max="9985" width="17.25" style="3053" customWidth="1"/>
    <col min="9986" max="9986" width="6.25" style="3053" customWidth="1"/>
    <col min="9987" max="9987" width="13.875" style="3053" customWidth="1"/>
    <col min="9988" max="9988" width="6.25" style="3053" customWidth="1"/>
    <col min="9989" max="9989" width="9.625" style="3053" customWidth="1"/>
    <col min="9990" max="9990" width="14.5" style="3053" customWidth="1"/>
    <col min="9991" max="9991" width="7.875" style="3053" customWidth="1"/>
    <col min="9992" max="9992" width="23.125" style="3053" customWidth="1"/>
    <col min="9993" max="9993" width="16.625" style="3053" customWidth="1"/>
    <col min="9994" max="9995" width="13.875" style="3053" customWidth="1"/>
    <col min="9996" max="9996" width="20.75" style="3053" customWidth="1"/>
    <col min="9997" max="9997" width="7.875" style="3053" customWidth="1"/>
    <col min="9998" max="9998" width="21.25" style="3053" customWidth="1"/>
    <col min="9999" max="9999" width="24.125" style="3053" customWidth="1"/>
    <col min="10000" max="10000" width="9.625" style="3053" customWidth="1"/>
    <col min="10001" max="10002" width="15.5" style="3053" customWidth="1"/>
    <col min="10003" max="10003" width="69.5" style="3053" customWidth="1"/>
    <col min="10004" max="10004" width="50.125" style="3053" customWidth="1"/>
    <col min="10005" max="10005" width="37.25" style="3053" customWidth="1"/>
    <col min="10006" max="10006" width="17.875" style="3053" customWidth="1"/>
    <col min="10007" max="10007" width="7.875" style="3053" customWidth="1"/>
    <col min="10008" max="10011" width="9" style="3053" customWidth="1"/>
    <col min="10012" max="10012" width="23.125" style="3053" customWidth="1"/>
    <col min="10013" max="10013" width="7.875" style="3053" customWidth="1"/>
    <col min="10014" max="10014" width="89.875" style="3053" customWidth="1"/>
    <col min="10015" max="10015" width="78.5" style="3053" customWidth="1"/>
    <col min="10016" max="10018" width="10.625" style="3053" customWidth="1"/>
    <col min="10019" max="10020" width="16" style="3053" customWidth="1"/>
    <col min="10021" max="10022" width="14.375" style="3053" customWidth="1"/>
    <col min="10023" max="10024" width="21.875" style="3053" customWidth="1"/>
    <col min="10025" max="10025" width="6.25" style="3053" customWidth="1"/>
    <col min="10026" max="10026" width="24.5" style="3053" customWidth="1"/>
    <col min="10027" max="10027" width="16.875" style="3053" customWidth="1"/>
    <col min="10028" max="10029" width="20.125" style="3053" customWidth="1"/>
    <col min="10030" max="10030" width="7.875" style="3053" customWidth="1"/>
    <col min="10031" max="10240" width="9" style="3053"/>
    <col min="10241" max="10241" width="17.25" style="3053" customWidth="1"/>
    <col min="10242" max="10242" width="6.25" style="3053" customWidth="1"/>
    <col min="10243" max="10243" width="13.875" style="3053" customWidth="1"/>
    <col min="10244" max="10244" width="6.25" style="3053" customWidth="1"/>
    <col min="10245" max="10245" width="9.625" style="3053" customWidth="1"/>
    <col min="10246" max="10246" width="14.5" style="3053" customWidth="1"/>
    <col min="10247" max="10247" width="7.875" style="3053" customWidth="1"/>
    <col min="10248" max="10248" width="23.125" style="3053" customWidth="1"/>
    <col min="10249" max="10249" width="16.625" style="3053" customWidth="1"/>
    <col min="10250" max="10251" width="13.875" style="3053" customWidth="1"/>
    <col min="10252" max="10252" width="20.75" style="3053" customWidth="1"/>
    <col min="10253" max="10253" width="7.875" style="3053" customWidth="1"/>
    <col min="10254" max="10254" width="21.25" style="3053" customWidth="1"/>
    <col min="10255" max="10255" width="24.125" style="3053" customWidth="1"/>
    <col min="10256" max="10256" width="9.625" style="3053" customWidth="1"/>
    <col min="10257" max="10258" width="15.5" style="3053" customWidth="1"/>
    <col min="10259" max="10259" width="69.5" style="3053" customWidth="1"/>
    <col min="10260" max="10260" width="50.125" style="3053" customWidth="1"/>
    <col min="10261" max="10261" width="37.25" style="3053" customWidth="1"/>
    <col min="10262" max="10262" width="17.875" style="3053" customWidth="1"/>
    <col min="10263" max="10263" width="7.875" style="3053" customWidth="1"/>
    <col min="10264" max="10267" width="9" style="3053" customWidth="1"/>
    <col min="10268" max="10268" width="23.125" style="3053" customWidth="1"/>
    <col min="10269" max="10269" width="7.875" style="3053" customWidth="1"/>
    <col min="10270" max="10270" width="89.875" style="3053" customWidth="1"/>
    <col min="10271" max="10271" width="78.5" style="3053" customWidth="1"/>
    <col min="10272" max="10274" width="10.625" style="3053" customWidth="1"/>
    <col min="10275" max="10276" width="16" style="3053" customWidth="1"/>
    <col min="10277" max="10278" width="14.375" style="3053" customWidth="1"/>
    <col min="10279" max="10280" width="21.875" style="3053" customWidth="1"/>
    <col min="10281" max="10281" width="6.25" style="3053" customWidth="1"/>
    <col min="10282" max="10282" width="24.5" style="3053" customWidth="1"/>
    <col min="10283" max="10283" width="16.875" style="3053" customWidth="1"/>
    <col min="10284" max="10285" width="20.125" style="3053" customWidth="1"/>
    <col min="10286" max="10286" width="7.875" style="3053" customWidth="1"/>
    <col min="10287" max="10496" width="9" style="3053"/>
    <col min="10497" max="10497" width="17.25" style="3053" customWidth="1"/>
    <col min="10498" max="10498" width="6.25" style="3053" customWidth="1"/>
    <col min="10499" max="10499" width="13.875" style="3053" customWidth="1"/>
    <col min="10500" max="10500" width="6.25" style="3053" customWidth="1"/>
    <col min="10501" max="10501" width="9.625" style="3053" customWidth="1"/>
    <col min="10502" max="10502" width="14.5" style="3053" customWidth="1"/>
    <col min="10503" max="10503" width="7.875" style="3053" customWidth="1"/>
    <col min="10504" max="10504" width="23.125" style="3053" customWidth="1"/>
    <col min="10505" max="10505" width="16.625" style="3053" customWidth="1"/>
    <col min="10506" max="10507" width="13.875" style="3053" customWidth="1"/>
    <col min="10508" max="10508" width="20.75" style="3053" customWidth="1"/>
    <col min="10509" max="10509" width="7.875" style="3053" customWidth="1"/>
    <col min="10510" max="10510" width="21.25" style="3053" customWidth="1"/>
    <col min="10511" max="10511" width="24.125" style="3053" customWidth="1"/>
    <col min="10512" max="10512" width="9.625" style="3053" customWidth="1"/>
    <col min="10513" max="10514" width="15.5" style="3053" customWidth="1"/>
    <col min="10515" max="10515" width="69.5" style="3053" customWidth="1"/>
    <col min="10516" max="10516" width="50.125" style="3053" customWidth="1"/>
    <col min="10517" max="10517" width="37.25" style="3053" customWidth="1"/>
    <col min="10518" max="10518" width="17.875" style="3053" customWidth="1"/>
    <col min="10519" max="10519" width="7.875" style="3053" customWidth="1"/>
    <col min="10520" max="10523" width="9" style="3053" customWidth="1"/>
    <col min="10524" max="10524" width="23.125" style="3053" customWidth="1"/>
    <col min="10525" max="10525" width="7.875" style="3053" customWidth="1"/>
    <col min="10526" max="10526" width="89.875" style="3053" customWidth="1"/>
    <col min="10527" max="10527" width="78.5" style="3053" customWidth="1"/>
    <col min="10528" max="10530" width="10.625" style="3053" customWidth="1"/>
    <col min="10531" max="10532" width="16" style="3053" customWidth="1"/>
    <col min="10533" max="10534" width="14.375" style="3053" customWidth="1"/>
    <col min="10535" max="10536" width="21.875" style="3053" customWidth="1"/>
    <col min="10537" max="10537" width="6.25" style="3053" customWidth="1"/>
    <col min="10538" max="10538" width="24.5" style="3053" customWidth="1"/>
    <col min="10539" max="10539" width="16.875" style="3053" customWidth="1"/>
    <col min="10540" max="10541" width="20.125" style="3053" customWidth="1"/>
    <col min="10542" max="10542" width="7.875" style="3053" customWidth="1"/>
    <col min="10543" max="10752" width="9" style="3053"/>
    <col min="10753" max="10753" width="17.25" style="3053" customWidth="1"/>
    <col min="10754" max="10754" width="6.25" style="3053" customWidth="1"/>
    <col min="10755" max="10755" width="13.875" style="3053" customWidth="1"/>
    <col min="10756" max="10756" width="6.25" style="3053" customWidth="1"/>
    <col min="10757" max="10757" width="9.625" style="3053" customWidth="1"/>
    <col min="10758" max="10758" width="14.5" style="3053" customWidth="1"/>
    <col min="10759" max="10759" width="7.875" style="3053" customWidth="1"/>
    <col min="10760" max="10760" width="23.125" style="3053" customWidth="1"/>
    <col min="10761" max="10761" width="16.625" style="3053" customWidth="1"/>
    <col min="10762" max="10763" width="13.875" style="3053" customWidth="1"/>
    <col min="10764" max="10764" width="20.75" style="3053" customWidth="1"/>
    <col min="10765" max="10765" width="7.875" style="3053" customWidth="1"/>
    <col min="10766" max="10766" width="21.25" style="3053" customWidth="1"/>
    <col min="10767" max="10767" width="24.125" style="3053" customWidth="1"/>
    <col min="10768" max="10768" width="9.625" style="3053" customWidth="1"/>
    <col min="10769" max="10770" width="15.5" style="3053" customWidth="1"/>
    <col min="10771" max="10771" width="69.5" style="3053" customWidth="1"/>
    <col min="10772" max="10772" width="50.125" style="3053" customWidth="1"/>
    <col min="10773" max="10773" width="37.25" style="3053" customWidth="1"/>
    <col min="10774" max="10774" width="17.875" style="3053" customWidth="1"/>
    <col min="10775" max="10775" width="7.875" style="3053" customWidth="1"/>
    <col min="10776" max="10779" width="9" style="3053" customWidth="1"/>
    <col min="10780" max="10780" width="23.125" style="3053" customWidth="1"/>
    <col min="10781" max="10781" width="7.875" style="3053" customWidth="1"/>
    <col min="10782" max="10782" width="89.875" style="3053" customWidth="1"/>
    <col min="10783" max="10783" width="78.5" style="3053" customWidth="1"/>
    <col min="10784" max="10786" width="10.625" style="3053" customWidth="1"/>
    <col min="10787" max="10788" width="16" style="3053" customWidth="1"/>
    <col min="10789" max="10790" width="14.375" style="3053" customWidth="1"/>
    <col min="10791" max="10792" width="21.875" style="3053" customWidth="1"/>
    <col min="10793" max="10793" width="6.25" style="3053" customWidth="1"/>
    <col min="10794" max="10794" width="24.5" style="3053" customWidth="1"/>
    <col min="10795" max="10795" width="16.875" style="3053" customWidth="1"/>
    <col min="10796" max="10797" width="20.125" style="3053" customWidth="1"/>
    <col min="10798" max="10798" width="7.875" style="3053" customWidth="1"/>
    <col min="10799" max="11008" width="9" style="3053"/>
    <col min="11009" max="11009" width="17.25" style="3053" customWidth="1"/>
    <col min="11010" max="11010" width="6.25" style="3053" customWidth="1"/>
    <col min="11011" max="11011" width="13.875" style="3053" customWidth="1"/>
    <col min="11012" max="11012" width="6.25" style="3053" customWidth="1"/>
    <col min="11013" max="11013" width="9.625" style="3053" customWidth="1"/>
    <col min="11014" max="11014" width="14.5" style="3053" customWidth="1"/>
    <col min="11015" max="11015" width="7.875" style="3053" customWidth="1"/>
    <col min="11016" max="11016" width="23.125" style="3053" customWidth="1"/>
    <col min="11017" max="11017" width="16.625" style="3053" customWidth="1"/>
    <col min="11018" max="11019" width="13.875" style="3053" customWidth="1"/>
    <col min="11020" max="11020" width="20.75" style="3053" customWidth="1"/>
    <col min="11021" max="11021" width="7.875" style="3053" customWidth="1"/>
    <col min="11022" max="11022" width="21.25" style="3053" customWidth="1"/>
    <col min="11023" max="11023" width="24.125" style="3053" customWidth="1"/>
    <col min="11024" max="11024" width="9.625" style="3053" customWidth="1"/>
    <col min="11025" max="11026" width="15.5" style="3053" customWidth="1"/>
    <col min="11027" max="11027" width="69.5" style="3053" customWidth="1"/>
    <col min="11028" max="11028" width="50.125" style="3053" customWidth="1"/>
    <col min="11029" max="11029" width="37.25" style="3053" customWidth="1"/>
    <col min="11030" max="11030" width="17.875" style="3053" customWidth="1"/>
    <col min="11031" max="11031" width="7.875" style="3053" customWidth="1"/>
    <col min="11032" max="11035" width="9" style="3053" customWidth="1"/>
    <col min="11036" max="11036" width="23.125" style="3053" customWidth="1"/>
    <col min="11037" max="11037" width="7.875" style="3053" customWidth="1"/>
    <col min="11038" max="11038" width="89.875" style="3053" customWidth="1"/>
    <col min="11039" max="11039" width="78.5" style="3053" customWidth="1"/>
    <col min="11040" max="11042" width="10.625" style="3053" customWidth="1"/>
    <col min="11043" max="11044" width="16" style="3053" customWidth="1"/>
    <col min="11045" max="11046" width="14.375" style="3053" customWidth="1"/>
    <col min="11047" max="11048" width="21.875" style="3053" customWidth="1"/>
    <col min="11049" max="11049" width="6.25" style="3053" customWidth="1"/>
    <col min="11050" max="11050" width="24.5" style="3053" customWidth="1"/>
    <col min="11051" max="11051" width="16.875" style="3053" customWidth="1"/>
    <col min="11052" max="11053" width="20.125" style="3053" customWidth="1"/>
    <col min="11054" max="11054" width="7.875" style="3053" customWidth="1"/>
    <col min="11055" max="11264" width="9" style="3053"/>
    <col min="11265" max="11265" width="17.25" style="3053" customWidth="1"/>
    <col min="11266" max="11266" width="6.25" style="3053" customWidth="1"/>
    <col min="11267" max="11267" width="13.875" style="3053" customWidth="1"/>
    <col min="11268" max="11268" width="6.25" style="3053" customWidth="1"/>
    <col min="11269" max="11269" width="9.625" style="3053" customWidth="1"/>
    <col min="11270" max="11270" width="14.5" style="3053" customWidth="1"/>
    <col min="11271" max="11271" width="7.875" style="3053" customWidth="1"/>
    <col min="11272" max="11272" width="23.125" style="3053" customWidth="1"/>
    <col min="11273" max="11273" width="16.625" style="3053" customWidth="1"/>
    <col min="11274" max="11275" width="13.875" style="3053" customWidth="1"/>
    <col min="11276" max="11276" width="20.75" style="3053" customWidth="1"/>
    <col min="11277" max="11277" width="7.875" style="3053" customWidth="1"/>
    <col min="11278" max="11278" width="21.25" style="3053" customWidth="1"/>
    <col min="11279" max="11279" width="24.125" style="3053" customWidth="1"/>
    <col min="11280" max="11280" width="9.625" style="3053" customWidth="1"/>
    <col min="11281" max="11282" width="15.5" style="3053" customWidth="1"/>
    <col min="11283" max="11283" width="69.5" style="3053" customWidth="1"/>
    <col min="11284" max="11284" width="50.125" style="3053" customWidth="1"/>
    <col min="11285" max="11285" width="37.25" style="3053" customWidth="1"/>
    <col min="11286" max="11286" width="17.875" style="3053" customWidth="1"/>
    <col min="11287" max="11287" width="7.875" style="3053" customWidth="1"/>
    <col min="11288" max="11291" width="9" style="3053" customWidth="1"/>
    <col min="11292" max="11292" width="23.125" style="3053" customWidth="1"/>
    <col min="11293" max="11293" width="7.875" style="3053" customWidth="1"/>
    <col min="11294" max="11294" width="89.875" style="3053" customWidth="1"/>
    <col min="11295" max="11295" width="78.5" style="3053" customWidth="1"/>
    <col min="11296" max="11298" width="10.625" style="3053" customWidth="1"/>
    <col min="11299" max="11300" width="16" style="3053" customWidth="1"/>
    <col min="11301" max="11302" width="14.375" style="3053" customWidth="1"/>
    <col min="11303" max="11304" width="21.875" style="3053" customWidth="1"/>
    <col min="11305" max="11305" width="6.25" style="3053" customWidth="1"/>
    <col min="11306" max="11306" width="24.5" style="3053" customWidth="1"/>
    <col min="11307" max="11307" width="16.875" style="3053" customWidth="1"/>
    <col min="11308" max="11309" width="20.125" style="3053" customWidth="1"/>
    <col min="11310" max="11310" width="7.875" style="3053" customWidth="1"/>
    <col min="11311" max="11520" width="9" style="3053"/>
    <col min="11521" max="11521" width="17.25" style="3053" customWidth="1"/>
    <col min="11522" max="11522" width="6.25" style="3053" customWidth="1"/>
    <col min="11523" max="11523" width="13.875" style="3053" customWidth="1"/>
    <col min="11524" max="11524" width="6.25" style="3053" customWidth="1"/>
    <col min="11525" max="11525" width="9.625" style="3053" customWidth="1"/>
    <col min="11526" max="11526" width="14.5" style="3053" customWidth="1"/>
    <col min="11527" max="11527" width="7.875" style="3053" customWidth="1"/>
    <col min="11528" max="11528" width="23.125" style="3053" customWidth="1"/>
    <col min="11529" max="11529" width="16.625" style="3053" customWidth="1"/>
    <col min="11530" max="11531" width="13.875" style="3053" customWidth="1"/>
    <col min="11532" max="11532" width="20.75" style="3053" customWidth="1"/>
    <col min="11533" max="11533" width="7.875" style="3053" customWidth="1"/>
    <col min="11534" max="11534" width="21.25" style="3053" customWidth="1"/>
    <col min="11535" max="11535" width="24.125" style="3053" customWidth="1"/>
    <col min="11536" max="11536" width="9.625" style="3053" customWidth="1"/>
    <col min="11537" max="11538" width="15.5" style="3053" customWidth="1"/>
    <col min="11539" max="11539" width="69.5" style="3053" customWidth="1"/>
    <col min="11540" max="11540" width="50.125" style="3053" customWidth="1"/>
    <col min="11541" max="11541" width="37.25" style="3053" customWidth="1"/>
    <col min="11542" max="11542" width="17.875" style="3053" customWidth="1"/>
    <col min="11543" max="11543" width="7.875" style="3053" customWidth="1"/>
    <col min="11544" max="11547" width="9" style="3053" customWidth="1"/>
    <col min="11548" max="11548" width="23.125" style="3053" customWidth="1"/>
    <col min="11549" max="11549" width="7.875" style="3053" customWidth="1"/>
    <col min="11550" max="11550" width="89.875" style="3053" customWidth="1"/>
    <col min="11551" max="11551" width="78.5" style="3053" customWidth="1"/>
    <col min="11552" max="11554" width="10.625" style="3053" customWidth="1"/>
    <col min="11555" max="11556" width="16" style="3053" customWidth="1"/>
    <col min="11557" max="11558" width="14.375" style="3053" customWidth="1"/>
    <col min="11559" max="11560" width="21.875" style="3053" customWidth="1"/>
    <col min="11561" max="11561" width="6.25" style="3053" customWidth="1"/>
    <col min="11562" max="11562" width="24.5" style="3053" customWidth="1"/>
    <col min="11563" max="11563" width="16.875" style="3053" customWidth="1"/>
    <col min="11564" max="11565" width="20.125" style="3053" customWidth="1"/>
    <col min="11566" max="11566" width="7.875" style="3053" customWidth="1"/>
    <col min="11567" max="11776" width="9" style="3053"/>
    <col min="11777" max="11777" width="17.25" style="3053" customWidth="1"/>
    <col min="11778" max="11778" width="6.25" style="3053" customWidth="1"/>
    <col min="11779" max="11779" width="13.875" style="3053" customWidth="1"/>
    <col min="11780" max="11780" width="6.25" style="3053" customWidth="1"/>
    <col min="11781" max="11781" width="9.625" style="3053" customWidth="1"/>
    <col min="11782" max="11782" width="14.5" style="3053" customWidth="1"/>
    <col min="11783" max="11783" width="7.875" style="3053" customWidth="1"/>
    <col min="11784" max="11784" width="23.125" style="3053" customWidth="1"/>
    <col min="11785" max="11785" width="16.625" style="3053" customWidth="1"/>
    <col min="11786" max="11787" width="13.875" style="3053" customWidth="1"/>
    <col min="11788" max="11788" width="20.75" style="3053" customWidth="1"/>
    <col min="11789" max="11789" width="7.875" style="3053" customWidth="1"/>
    <col min="11790" max="11790" width="21.25" style="3053" customWidth="1"/>
    <col min="11791" max="11791" width="24.125" style="3053" customWidth="1"/>
    <col min="11792" max="11792" width="9.625" style="3053" customWidth="1"/>
    <col min="11793" max="11794" width="15.5" style="3053" customWidth="1"/>
    <col min="11795" max="11795" width="69.5" style="3053" customWidth="1"/>
    <col min="11796" max="11796" width="50.125" style="3053" customWidth="1"/>
    <col min="11797" max="11797" width="37.25" style="3053" customWidth="1"/>
    <col min="11798" max="11798" width="17.875" style="3053" customWidth="1"/>
    <col min="11799" max="11799" width="7.875" style="3053" customWidth="1"/>
    <col min="11800" max="11803" width="9" style="3053" customWidth="1"/>
    <col min="11804" max="11804" width="23.125" style="3053" customWidth="1"/>
    <col min="11805" max="11805" width="7.875" style="3053" customWidth="1"/>
    <col min="11806" max="11806" width="89.875" style="3053" customWidth="1"/>
    <col min="11807" max="11807" width="78.5" style="3053" customWidth="1"/>
    <col min="11808" max="11810" width="10.625" style="3053" customWidth="1"/>
    <col min="11811" max="11812" width="16" style="3053" customWidth="1"/>
    <col min="11813" max="11814" width="14.375" style="3053" customWidth="1"/>
    <col min="11815" max="11816" width="21.875" style="3053" customWidth="1"/>
    <col min="11817" max="11817" width="6.25" style="3053" customWidth="1"/>
    <col min="11818" max="11818" width="24.5" style="3053" customWidth="1"/>
    <col min="11819" max="11819" width="16.875" style="3053" customWidth="1"/>
    <col min="11820" max="11821" width="20.125" style="3053" customWidth="1"/>
    <col min="11822" max="11822" width="7.875" style="3053" customWidth="1"/>
    <col min="11823" max="12032" width="9" style="3053"/>
    <col min="12033" max="12033" width="17.25" style="3053" customWidth="1"/>
    <col min="12034" max="12034" width="6.25" style="3053" customWidth="1"/>
    <col min="12035" max="12035" width="13.875" style="3053" customWidth="1"/>
    <col min="12036" max="12036" width="6.25" style="3053" customWidth="1"/>
    <col min="12037" max="12037" width="9.625" style="3053" customWidth="1"/>
    <col min="12038" max="12038" width="14.5" style="3053" customWidth="1"/>
    <col min="12039" max="12039" width="7.875" style="3053" customWidth="1"/>
    <col min="12040" max="12040" width="23.125" style="3053" customWidth="1"/>
    <col min="12041" max="12041" width="16.625" style="3053" customWidth="1"/>
    <col min="12042" max="12043" width="13.875" style="3053" customWidth="1"/>
    <col min="12044" max="12044" width="20.75" style="3053" customWidth="1"/>
    <col min="12045" max="12045" width="7.875" style="3053" customWidth="1"/>
    <col min="12046" max="12046" width="21.25" style="3053" customWidth="1"/>
    <col min="12047" max="12047" width="24.125" style="3053" customWidth="1"/>
    <col min="12048" max="12048" width="9.625" style="3053" customWidth="1"/>
    <col min="12049" max="12050" width="15.5" style="3053" customWidth="1"/>
    <col min="12051" max="12051" width="69.5" style="3053" customWidth="1"/>
    <col min="12052" max="12052" width="50.125" style="3053" customWidth="1"/>
    <col min="12053" max="12053" width="37.25" style="3053" customWidth="1"/>
    <col min="12054" max="12054" width="17.875" style="3053" customWidth="1"/>
    <col min="12055" max="12055" width="7.875" style="3053" customWidth="1"/>
    <col min="12056" max="12059" width="9" style="3053" customWidth="1"/>
    <col min="12060" max="12060" width="23.125" style="3053" customWidth="1"/>
    <col min="12061" max="12061" width="7.875" style="3053" customWidth="1"/>
    <col min="12062" max="12062" width="89.875" style="3053" customWidth="1"/>
    <col min="12063" max="12063" width="78.5" style="3053" customWidth="1"/>
    <col min="12064" max="12066" width="10.625" style="3053" customWidth="1"/>
    <col min="12067" max="12068" width="16" style="3053" customWidth="1"/>
    <col min="12069" max="12070" width="14.375" style="3053" customWidth="1"/>
    <col min="12071" max="12072" width="21.875" style="3053" customWidth="1"/>
    <col min="12073" max="12073" width="6.25" style="3053" customWidth="1"/>
    <col min="12074" max="12074" width="24.5" style="3053" customWidth="1"/>
    <col min="12075" max="12075" width="16.875" style="3053" customWidth="1"/>
    <col min="12076" max="12077" width="20.125" style="3053" customWidth="1"/>
    <col min="12078" max="12078" width="7.875" style="3053" customWidth="1"/>
    <col min="12079" max="12288" width="9" style="3053"/>
    <col min="12289" max="12289" width="17.25" style="3053" customWidth="1"/>
    <col min="12290" max="12290" width="6.25" style="3053" customWidth="1"/>
    <col min="12291" max="12291" width="13.875" style="3053" customWidth="1"/>
    <col min="12292" max="12292" width="6.25" style="3053" customWidth="1"/>
    <col min="12293" max="12293" width="9.625" style="3053" customWidth="1"/>
    <col min="12294" max="12294" width="14.5" style="3053" customWidth="1"/>
    <col min="12295" max="12295" width="7.875" style="3053" customWidth="1"/>
    <col min="12296" max="12296" width="23.125" style="3053" customWidth="1"/>
    <col min="12297" max="12297" width="16.625" style="3053" customWidth="1"/>
    <col min="12298" max="12299" width="13.875" style="3053" customWidth="1"/>
    <col min="12300" max="12300" width="20.75" style="3053" customWidth="1"/>
    <col min="12301" max="12301" width="7.875" style="3053" customWidth="1"/>
    <col min="12302" max="12302" width="21.25" style="3053" customWidth="1"/>
    <col min="12303" max="12303" width="24.125" style="3053" customWidth="1"/>
    <col min="12304" max="12304" width="9.625" style="3053" customWidth="1"/>
    <col min="12305" max="12306" width="15.5" style="3053" customWidth="1"/>
    <col min="12307" max="12307" width="69.5" style="3053" customWidth="1"/>
    <col min="12308" max="12308" width="50.125" style="3053" customWidth="1"/>
    <col min="12309" max="12309" width="37.25" style="3053" customWidth="1"/>
    <col min="12310" max="12310" width="17.875" style="3053" customWidth="1"/>
    <col min="12311" max="12311" width="7.875" style="3053" customWidth="1"/>
    <col min="12312" max="12315" width="9" style="3053" customWidth="1"/>
    <col min="12316" max="12316" width="23.125" style="3053" customWidth="1"/>
    <col min="12317" max="12317" width="7.875" style="3053" customWidth="1"/>
    <col min="12318" max="12318" width="89.875" style="3053" customWidth="1"/>
    <col min="12319" max="12319" width="78.5" style="3053" customWidth="1"/>
    <col min="12320" max="12322" width="10.625" style="3053" customWidth="1"/>
    <col min="12323" max="12324" width="16" style="3053" customWidth="1"/>
    <col min="12325" max="12326" width="14.375" style="3053" customWidth="1"/>
    <col min="12327" max="12328" width="21.875" style="3053" customWidth="1"/>
    <col min="12329" max="12329" width="6.25" style="3053" customWidth="1"/>
    <col min="12330" max="12330" width="24.5" style="3053" customWidth="1"/>
    <col min="12331" max="12331" width="16.875" style="3053" customWidth="1"/>
    <col min="12332" max="12333" width="20.125" style="3053" customWidth="1"/>
    <col min="12334" max="12334" width="7.875" style="3053" customWidth="1"/>
    <col min="12335" max="12544" width="9" style="3053"/>
    <col min="12545" max="12545" width="17.25" style="3053" customWidth="1"/>
    <col min="12546" max="12546" width="6.25" style="3053" customWidth="1"/>
    <col min="12547" max="12547" width="13.875" style="3053" customWidth="1"/>
    <col min="12548" max="12548" width="6.25" style="3053" customWidth="1"/>
    <col min="12549" max="12549" width="9.625" style="3053" customWidth="1"/>
    <col min="12550" max="12550" width="14.5" style="3053" customWidth="1"/>
    <col min="12551" max="12551" width="7.875" style="3053" customWidth="1"/>
    <col min="12552" max="12552" width="23.125" style="3053" customWidth="1"/>
    <col min="12553" max="12553" width="16.625" style="3053" customWidth="1"/>
    <col min="12554" max="12555" width="13.875" style="3053" customWidth="1"/>
    <col min="12556" max="12556" width="20.75" style="3053" customWidth="1"/>
    <col min="12557" max="12557" width="7.875" style="3053" customWidth="1"/>
    <col min="12558" max="12558" width="21.25" style="3053" customWidth="1"/>
    <col min="12559" max="12559" width="24.125" style="3053" customWidth="1"/>
    <col min="12560" max="12560" width="9.625" style="3053" customWidth="1"/>
    <col min="12561" max="12562" width="15.5" style="3053" customWidth="1"/>
    <col min="12563" max="12563" width="69.5" style="3053" customWidth="1"/>
    <col min="12564" max="12564" width="50.125" style="3053" customWidth="1"/>
    <col min="12565" max="12565" width="37.25" style="3053" customWidth="1"/>
    <col min="12566" max="12566" width="17.875" style="3053" customWidth="1"/>
    <col min="12567" max="12567" width="7.875" style="3053" customWidth="1"/>
    <col min="12568" max="12571" width="9" style="3053" customWidth="1"/>
    <col min="12572" max="12572" width="23.125" style="3053" customWidth="1"/>
    <col min="12573" max="12573" width="7.875" style="3053" customWidth="1"/>
    <col min="12574" max="12574" width="89.875" style="3053" customWidth="1"/>
    <col min="12575" max="12575" width="78.5" style="3053" customWidth="1"/>
    <col min="12576" max="12578" width="10.625" style="3053" customWidth="1"/>
    <col min="12579" max="12580" width="16" style="3053" customWidth="1"/>
    <col min="12581" max="12582" width="14.375" style="3053" customWidth="1"/>
    <col min="12583" max="12584" width="21.875" style="3053" customWidth="1"/>
    <col min="12585" max="12585" width="6.25" style="3053" customWidth="1"/>
    <col min="12586" max="12586" width="24.5" style="3053" customWidth="1"/>
    <col min="12587" max="12587" width="16.875" style="3053" customWidth="1"/>
    <col min="12588" max="12589" width="20.125" style="3053" customWidth="1"/>
    <col min="12590" max="12590" width="7.875" style="3053" customWidth="1"/>
    <col min="12591" max="12800" width="9" style="3053"/>
    <col min="12801" max="12801" width="17.25" style="3053" customWidth="1"/>
    <col min="12802" max="12802" width="6.25" style="3053" customWidth="1"/>
    <col min="12803" max="12803" width="13.875" style="3053" customWidth="1"/>
    <col min="12804" max="12804" width="6.25" style="3053" customWidth="1"/>
    <col min="12805" max="12805" width="9.625" style="3053" customWidth="1"/>
    <col min="12806" max="12806" width="14.5" style="3053" customWidth="1"/>
    <col min="12807" max="12807" width="7.875" style="3053" customWidth="1"/>
    <col min="12808" max="12808" width="23.125" style="3053" customWidth="1"/>
    <col min="12809" max="12809" width="16.625" style="3053" customWidth="1"/>
    <col min="12810" max="12811" width="13.875" style="3053" customWidth="1"/>
    <col min="12812" max="12812" width="20.75" style="3053" customWidth="1"/>
    <col min="12813" max="12813" width="7.875" style="3053" customWidth="1"/>
    <col min="12814" max="12814" width="21.25" style="3053" customWidth="1"/>
    <col min="12815" max="12815" width="24.125" style="3053" customWidth="1"/>
    <col min="12816" max="12816" width="9.625" style="3053" customWidth="1"/>
    <col min="12817" max="12818" width="15.5" style="3053" customWidth="1"/>
    <col min="12819" max="12819" width="69.5" style="3053" customWidth="1"/>
    <col min="12820" max="12820" width="50.125" style="3053" customWidth="1"/>
    <col min="12821" max="12821" width="37.25" style="3053" customWidth="1"/>
    <col min="12822" max="12822" width="17.875" style="3053" customWidth="1"/>
    <col min="12823" max="12823" width="7.875" style="3053" customWidth="1"/>
    <col min="12824" max="12827" width="9" style="3053" customWidth="1"/>
    <col min="12828" max="12828" width="23.125" style="3053" customWidth="1"/>
    <col min="12829" max="12829" width="7.875" style="3053" customWidth="1"/>
    <col min="12830" max="12830" width="89.875" style="3053" customWidth="1"/>
    <col min="12831" max="12831" width="78.5" style="3053" customWidth="1"/>
    <col min="12832" max="12834" width="10.625" style="3053" customWidth="1"/>
    <col min="12835" max="12836" width="16" style="3053" customWidth="1"/>
    <col min="12837" max="12838" width="14.375" style="3053" customWidth="1"/>
    <col min="12839" max="12840" width="21.875" style="3053" customWidth="1"/>
    <col min="12841" max="12841" width="6.25" style="3053" customWidth="1"/>
    <col min="12842" max="12842" width="24.5" style="3053" customWidth="1"/>
    <col min="12843" max="12843" width="16.875" style="3053" customWidth="1"/>
    <col min="12844" max="12845" width="20.125" style="3053" customWidth="1"/>
    <col min="12846" max="12846" width="7.875" style="3053" customWidth="1"/>
    <col min="12847" max="13056" width="9" style="3053"/>
    <col min="13057" max="13057" width="17.25" style="3053" customWidth="1"/>
    <col min="13058" max="13058" width="6.25" style="3053" customWidth="1"/>
    <col min="13059" max="13059" width="13.875" style="3053" customWidth="1"/>
    <col min="13060" max="13060" width="6.25" style="3053" customWidth="1"/>
    <col min="13061" max="13061" width="9.625" style="3053" customWidth="1"/>
    <col min="13062" max="13062" width="14.5" style="3053" customWidth="1"/>
    <col min="13063" max="13063" width="7.875" style="3053" customWidth="1"/>
    <col min="13064" max="13064" width="23.125" style="3053" customWidth="1"/>
    <col min="13065" max="13065" width="16.625" style="3053" customWidth="1"/>
    <col min="13066" max="13067" width="13.875" style="3053" customWidth="1"/>
    <col min="13068" max="13068" width="20.75" style="3053" customWidth="1"/>
    <col min="13069" max="13069" width="7.875" style="3053" customWidth="1"/>
    <col min="13070" max="13070" width="21.25" style="3053" customWidth="1"/>
    <col min="13071" max="13071" width="24.125" style="3053" customWidth="1"/>
    <col min="13072" max="13072" width="9.625" style="3053" customWidth="1"/>
    <col min="13073" max="13074" width="15.5" style="3053" customWidth="1"/>
    <col min="13075" max="13075" width="69.5" style="3053" customWidth="1"/>
    <col min="13076" max="13076" width="50.125" style="3053" customWidth="1"/>
    <col min="13077" max="13077" width="37.25" style="3053" customWidth="1"/>
    <col min="13078" max="13078" width="17.875" style="3053" customWidth="1"/>
    <col min="13079" max="13079" width="7.875" style="3053" customWidth="1"/>
    <col min="13080" max="13083" width="9" style="3053" customWidth="1"/>
    <col min="13084" max="13084" width="23.125" style="3053" customWidth="1"/>
    <col min="13085" max="13085" width="7.875" style="3053" customWidth="1"/>
    <col min="13086" max="13086" width="89.875" style="3053" customWidth="1"/>
    <col min="13087" max="13087" width="78.5" style="3053" customWidth="1"/>
    <col min="13088" max="13090" width="10.625" style="3053" customWidth="1"/>
    <col min="13091" max="13092" width="16" style="3053" customWidth="1"/>
    <col min="13093" max="13094" width="14.375" style="3053" customWidth="1"/>
    <col min="13095" max="13096" width="21.875" style="3053" customWidth="1"/>
    <col min="13097" max="13097" width="6.25" style="3053" customWidth="1"/>
    <col min="13098" max="13098" width="24.5" style="3053" customWidth="1"/>
    <col min="13099" max="13099" width="16.875" style="3053" customWidth="1"/>
    <col min="13100" max="13101" width="20.125" style="3053" customWidth="1"/>
    <col min="13102" max="13102" width="7.875" style="3053" customWidth="1"/>
    <col min="13103" max="13312" width="9" style="3053"/>
    <col min="13313" max="13313" width="17.25" style="3053" customWidth="1"/>
    <col min="13314" max="13314" width="6.25" style="3053" customWidth="1"/>
    <col min="13315" max="13315" width="13.875" style="3053" customWidth="1"/>
    <col min="13316" max="13316" width="6.25" style="3053" customWidth="1"/>
    <col min="13317" max="13317" width="9.625" style="3053" customWidth="1"/>
    <col min="13318" max="13318" width="14.5" style="3053" customWidth="1"/>
    <col min="13319" max="13319" width="7.875" style="3053" customWidth="1"/>
    <col min="13320" max="13320" width="23.125" style="3053" customWidth="1"/>
    <col min="13321" max="13321" width="16.625" style="3053" customWidth="1"/>
    <col min="13322" max="13323" width="13.875" style="3053" customWidth="1"/>
    <col min="13324" max="13324" width="20.75" style="3053" customWidth="1"/>
    <col min="13325" max="13325" width="7.875" style="3053" customWidth="1"/>
    <col min="13326" max="13326" width="21.25" style="3053" customWidth="1"/>
    <col min="13327" max="13327" width="24.125" style="3053" customWidth="1"/>
    <col min="13328" max="13328" width="9.625" style="3053" customWidth="1"/>
    <col min="13329" max="13330" width="15.5" style="3053" customWidth="1"/>
    <col min="13331" max="13331" width="69.5" style="3053" customWidth="1"/>
    <col min="13332" max="13332" width="50.125" style="3053" customWidth="1"/>
    <col min="13333" max="13333" width="37.25" style="3053" customWidth="1"/>
    <col min="13334" max="13334" width="17.875" style="3053" customWidth="1"/>
    <col min="13335" max="13335" width="7.875" style="3053" customWidth="1"/>
    <col min="13336" max="13339" width="9" style="3053" customWidth="1"/>
    <col min="13340" max="13340" width="23.125" style="3053" customWidth="1"/>
    <col min="13341" max="13341" width="7.875" style="3053" customWidth="1"/>
    <col min="13342" max="13342" width="89.875" style="3053" customWidth="1"/>
    <col min="13343" max="13343" width="78.5" style="3053" customWidth="1"/>
    <col min="13344" max="13346" width="10.625" style="3053" customWidth="1"/>
    <col min="13347" max="13348" width="16" style="3053" customWidth="1"/>
    <col min="13349" max="13350" width="14.375" style="3053" customWidth="1"/>
    <col min="13351" max="13352" width="21.875" style="3053" customWidth="1"/>
    <col min="13353" max="13353" width="6.25" style="3053" customWidth="1"/>
    <col min="13354" max="13354" width="24.5" style="3053" customWidth="1"/>
    <col min="13355" max="13355" width="16.875" style="3053" customWidth="1"/>
    <col min="13356" max="13357" width="20.125" style="3053" customWidth="1"/>
    <col min="13358" max="13358" width="7.875" style="3053" customWidth="1"/>
    <col min="13359" max="13568" width="9" style="3053"/>
    <col min="13569" max="13569" width="17.25" style="3053" customWidth="1"/>
    <col min="13570" max="13570" width="6.25" style="3053" customWidth="1"/>
    <col min="13571" max="13571" width="13.875" style="3053" customWidth="1"/>
    <col min="13572" max="13572" width="6.25" style="3053" customWidth="1"/>
    <col min="13573" max="13573" width="9.625" style="3053" customWidth="1"/>
    <col min="13574" max="13574" width="14.5" style="3053" customWidth="1"/>
    <col min="13575" max="13575" width="7.875" style="3053" customWidth="1"/>
    <col min="13576" max="13576" width="23.125" style="3053" customWidth="1"/>
    <col min="13577" max="13577" width="16.625" style="3053" customWidth="1"/>
    <col min="13578" max="13579" width="13.875" style="3053" customWidth="1"/>
    <col min="13580" max="13580" width="20.75" style="3053" customWidth="1"/>
    <col min="13581" max="13581" width="7.875" style="3053" customWidth="1"/>
    <col min="13582" max="13582" width="21.25" style="3053" customWidth="1"/>
    <col min="13583" max="13583" width="24.125" style="3053" customWidth="1"/>
    <col min="13584" max="13584" width="9.625" style="3053" customWidth="1"/>
    <col min="13585" max="13586" width="15.5" style="3053" customWidth="1"/>
    <col min="13587" max="13587" width="69.5" style="3053" customWidth="1"/>
    <col min="13588" max="13588" width="50.125" style="3053" customWidth="1"/>
    <col min="13589" max="13589" width="37.25" style="3053" customWidth="1"/>
    <col min="13590" max="13590" width="17.875" style="3053" customWidth="1"/>
    <col min="13591" max="13591" width="7.875" style="3053" customWidth="1"/>
    <col min="13592" max="13595" width="9" style="3053" customWidth="1"/>
    <col min="13596" max="13596" width="23.125" style="3053" customWidth="1"/>
    <col min="13597" max="13597" width="7.875" style="3053" customWidth="1"/>
    <col min="13598" max="13598" width="89.875" style="3053" customWidth="1"/>
    <col min="13599" max="13599" width="78.5" style="3053" customWidth="1"/>
    <col min="13600" max="13602" width="10.625" style="3053" customWidth="1"/>
    <col min="13603" max="13604" width="16" style="3053" customWidth="1"/>
    <col min="13605" max="13606" width="14.375" style="3053" customWidth="1"/>
    <col min="13607" max="13608" width="21.875" style="3053" customWidth="1"/>
    <col min="13609" max="13609" width="6.25" style="3053" customWidth="1"/>
    <col min="13610" max="13610" width="24.5" style="3053" customWidth="1"/>
    <col min="13611" max="13611" width="16.875" style="3053" customWidth="1"/>
    <col min="13612" max="13613" width="20.125" style="3053" customWidth="1"/>
    <col min="13614" max="13614" width="7.875" style="3053" customWidth="1"/>
    <col min="13615" max="13824" width="9" style="3053"/>
    <col min="13825" max="13825" width="17.25" style="3053" customWidth="1"/>
    <col min="13826" max="13826" width="6.25" style="3053" customWidth="1"/>
    <col min="13827" max="13827" width="13.875" style="3053" customWidth="1"/>
    <col min="13828" max="13828" width="6.25" style="3053" customWidth="1"/>
    <col min="13829" max="13829" width="9.625" style="3053" customWidth="1"/>
    <col min="13830" max="13830" width="14.5" style="3053" customWidth="1"/>
    <col min="13831" max="13831" width="7.875" style="3053" customWidth="1"/>
    <col min="13832" max="13832" width="23.125" style="3053" customWidth="1"/>
    <col min="13833" max="13833" width="16.625" style="3053" customWidth="1"/>
    <col min="13834" max="13835" width="13.875" style="3053" customWidth="1"/>
    <col min="13836" max="13836" width="20.75" style="3053" customWidth="1"/>
    <col min="13837" max="13837" width="7.875" style="3053" customWidth="1"/>
    <col min="13838" max="13838" width="21.25" style="3053" customWidth="1"/>
    <col min="13839" max="13839" width="24.125" style="3053" customWidth="1"/>
    <col min="13840" max="13840" width="9.625" style="3053" customWidth="1"/>
    <col min="13841" max="13842" width="15.5" style="3053" customWidth="1"/>
    <col min="13843" max="13843" width="69.5" style="3053" customWidth="1"/>
    <col min="13844" max="13844" width="50.125" style="3053" customWidth="1"/>
    <col min="13845" max="13845" width="37.25" style="3053" customWidth="1"/>
    <col min="13846" max="13846" width="17.875" style="3053" customWidth="1"/>
    <col min="13847" max="13847" width="7.875" style="3053" customWidth="1"/>
    <col min="13848" max="13851" width="9" style="3053" customWidth="1"/>
    <col min="13852" max="13852" width="23.125" style="3053" customWidth="1"/>
    <col min="13853" max="13853" width="7.875" style="3053" customWidth="1"/>
    <col min="13854" max="13854" width="89.875" style="3053" customWidth="1"/>
    <col min="13855" max="13855" width="78.5" style="3053" customWidth="1"/>
    <col min="13856" max="13858" width="10.625" style="3053" customWidth="1"/>
    <col min="13859" max="13860" width="16" style="3053" customWidth="1"/>
    <col min="13861" max="13862" width="14.375" style="3053" customWidth="1"/>
    <col min="13863" max="13864" width="21.875" style="3053" customWidth="1"/>
    <col min="13865" max="13865" width="6.25" style="3053" customWidth="1"/>
    <col min="13866" max="13866" width="24.5" style="3053" customWidth="1"/>
    <col min="13867" max="13867" width="16.875" style="3053" customWidth="1"/>
    <col min="13868" max="13869" width="20.125" style="3053" customWidth="1"/>
    <col min="13870" max="13870" width="7.875" style="3053" customWidth="1"/>
    <col min="13871" max="14080" width="9" style="3053"/>
    <col min="14081" max="14081" width="17.25" style="3053" customWidth="1"/>
    <col min="14082" max="14082" width="6.25" style="3053" customWidth="1"/>
    <col min="14083" max="14083" width="13.875" style="3053" customWidth="1"/>
    <col min="14084" max="14084" width="6.25" style="3053" customWidth="1"/>
    <col min="14085" max="14085" width="9.625" style="3053" customWidth="1"/>
    <col min="14086" max="14086" width="14.5" style="3053" customWidth="1"/>
    <col min="14087" max="14087" width="7.875" style="3053" customWidth="1"/>
    <col min="14088" max="14088" width="23.125" style="3053" customWidth="1"/>
    <col min="14089" max="14089" width="16.625" style="3053" customWidth="1"/>
    <col min="14090" max="14091" width="13.875" style="3053" customWidth="1"/>
    <col min="14092" max="14092" width="20.75" style="3053" customWidth="1"/>
    <col min="14093" max="14093" width="7.875" style="3053" customWidth="1"/>
    <col min="14094" max="14094" width="21.25" style="3053" customWidth="1"/>
    <col min="14095" max="14095" width="24.125" style="3053" customWidth="1"/>
    <col min="14096" max="14096" width="9.625" style="3053" customWidth="1"/>
    <col min="14097" max="14098" width="15.5" style="3053" customWidth="1"/>
    <col min="14099" max="14099" width="69.5" style="3053" customWidth="1"/>
    <col min="14100" max="14100" width="50.125" style="3053" customWidth="1"/>
    <col min="14101" max="14101" width="37.25" style="3053" customWidth="1"/>
    <col min="14102" max="14102" width="17.875" style="3053" customWidth="1"/>
    <col min="14103" max="14103" width="7.875" style="3053" customWidth="1"/>
    <col min="14104" max="14107" width="9" style="3053" customWidth="1"/>
    <col min="14108" max="14108" width="23.125" style="3053" customWidth="1"/>
    <col min="14109" max="14109" width="7.875" style="3053" customWidth="1"/>
    <col min="14110" max="14110" width="89.875" style="3053" customWidth="1"/>
    <col min="14111" max="14111" width="78.5" style="3053" customWidth="1"/>
    <col min="14112" max="14114" width="10.625" style="3053" customWidth="1"/>
    <col min="14115" max="14116" width="16" style="3053" customWidth="1"/>
    <col min="14117" max="14118" width="14.375" style="3053" customWidth="1"/>
    <col min="14119" max="14120" width="21.875" style="3053" customWidth="1"/>
    <col min="14121" max="14121" width="6.25" style="3053" customWidth="1"/>
    <col min="14122" max="14122" width="24.5" style="3053" customWidth="1"/>
    <col min="14123" max="14123" width="16.875" style="3053" customWidth="1"/>
    <col min="14124" max="14125" width="20.125" style="3053" customWidth="1"/>
    <col min="14126" max="14126" width="7.875" style="3053" customWidth="1"/>
    <col min="14127" max="14336" width="9" style="3053"/>
    <col min="14337" max="14337" width="17.25" style="3053" customWidth="1"/>
    <col min="14338" max="14338" width="6.25" style="3053" customWidth="1"/>
    <col min="14339" max="14339" width="13.875" style="3053" customWidth="1"/>
    <col min="14340" max="14340" width="6.25" style="3053" customWidth="1"/>
    <col min="14341" max="14341" width="9.625" style="3053" customWidth="1"/>
    <col min="14342" max="14342" width="14.5" style="3053" customWidth="1"/>
    <col min="14343" max="14343" width="7.875" style="3053" customWidth="1"/>
    <col min="14344" max="14344" width="23.125" style="3053" customWidth="1"/>
    <col min="14345" max="14345" width="16.625" style="3053" customWidth="1"/>
    <col min="14346" max="14347" width="13.875" style="3053" customWidth="1"/>
    <col min="14348" max="14348" width="20.75" style="3053" customWidth="1"/>
    <col min="14349" max="14349" width="7.875" style="3053" customWidth="1"/>
    <col min="14350" max="14350" width="21.25" style="3053" customWidth="1"/>
    <col min="14351" max="14351" width="24.125" style="3053" customWidth="1"/>
    <col min="14352" max="14352" width="9.625" style="3053" customWidth="1"/>
    <col min="14353" max="14354" width="15.5" style="3053" customWidth="1"/>
    <col min="14355" max="14355" width="69.5" style="3053" customWidth="1"/>
    <col min="14356" max="14356" width="50.125" style="3053" customWidth="1"/>
    <col min="14357" max="14357" width="37.25" style="3053" customWidth="1"/>
    <col min="14358" max="14358" width="17.875" style="3053" customWidth="1"/>
    <col min="14359" max="14359" width="7.875" style="3053" customWidth="1"/>
    <col min="14360" max="14363" width="9" style="3053" customWidth="1"/>
    <col min="14364" max="14364" width="23.125" style="3053" customWidth="1"/>
    <col min="14365" max="14365" width="7.875" style="3053" customWidth="1"/>
    <col min="14366" max="14366" width="89.875" style="3053" customWidth="1"/>
    <col min="14367" max="14367" width="78.5" style="3053" customWidth="1"/>
    <col min="14368" max="14370" width="10.625" style="3053" customWidth="1"/>
    <col min="14371" max="14372" width="16" style="3053" customWidth="1"/>
    <col min="14373" max="14374" width="14.375" style="3053" customWidth="1"/>
    <col min="14375" max="14376" width="21.875" style="3053" customWidth="1"/>
    <col min="14377" max="14377" width="6.25" style="3053" customWidth="1"/>
    <col min="14378" max="14378" width="24.5" style="3053" customWidth="1"/>
    <col min="14379" max="14379" width="16.875" style="3053" customWidth="1"/>
    <col min="14380" max="14381" width="20.125" style="3053" customWidth="1"/>
    <col min="14382" max="14382" width="7.875" style="3053" customWidth="1"/>
    <col min="14383" max="14592" width="9" style="3053"/>
    <col min="14593" max="14593" width="17.25" style="3053" customWidth="1"/>
    <col min="14594" max="14594" width="6.25" style="3053" customWidth="1"/>
    <col min="14595" max="14595" width="13.875" style="3053" customWidth="1"/>
    <col min="14596" max="14596" width="6.25" style="3053" customWidth="1"/>
    <col min="14597" max="14597" width="9.625" style="3053" customWidth="1"/>
    <col min="14598" max="14598" width="14.5" style="3053" customWidth="1"/>
    <col min="14599" max="14599" width="7.875" style="3053" customWidth="1"/>
    <col min="14600" max="14600" width="23.125" style="3053" customWidth="1"/>
    <col min="14601" max="14601" width="16.625" style="3053" customWidth="1"/>
    <col min="14602" max="14603" width="13.875" style="3053" customWidth="1"/>
    <col min="14604" max="14604" width="20.75" style="3053" customWidth="1"/>
    <col min="14605" max="14605" width="7.875" style="3053" customWidth="1"/>
    <col min="14606" max="14606" width="21.25" style="3053" customWidth="1"/>
    <col min="14607" max="14607" width="24.125" style="3053" customWidth="1"/>
    <col min="14608" max="14608" width="9.625" style="3053" customWidth="1"/>
    <col min="14609" max="14610" width="15.5" style="3053" customWidth="1"/>
    <col min="14611" max="14611" width="69.5" style="3053" customWidth="1"/>
    <col min="14612" max="14612" width="50.125" style="3053" customWidth="1"/>
    <col min="14613" max="14613" width="37.25" style="3053" customWidth="1"/>
    <col min="14614" max="14614" width="17.875" style="3053" customWidth="1"/>
    <col min="14615" max="14615" width="7.875" style="3053" customWidth="1"/>
    <col min="14616" max="14619" width="9" style="3053" customWidth="1"/>
    <col min="14620" max="14620" width="23.125" style="3053" customWidth="1"/>
    <col min="14621" max="14621" width="7.875" style="3053" customWidth="1"/>
    <col min="14622" max="14622" width="89.875" style="3053" customWidth="1"/>
    <col min="14623" max="14623" width="78.5" style="3053" customWidth="1"/>
    <col min="14624" max="14626" width="10.625" style="3053" customWidth="1"/>
    <col min="14627" max="14628" width="16" style="3053" customWidth="1"/>
    <col min="14629" max="14630" width="14.375" style="3053" customWidth="1"/>
    <col min="14631" max="14632" width="21.875" style="3053" customWidth="1"/>
    <col min="14633" max="14633" width="6.25" style="3053" customWidth="1"/>
    <col min="14634" max="14634" width="24.5" style="3053" customWidth="1"/>
    <col min="14635" max="14635" width="16.875" style="3053" customWidth="1"/>
    <col min="14636" max="14637" width="20.125" style="3053" customWidth="1"/>
    <col min="14638" max="14638" width="7.875" style="3053" customWidth="1"/>
    <col min="14639" max="14848" width="9" style="3053"/>
    <col min="14849" max="14849" width="17.25" style="3053" customWidth="1"/>
    <col min="14850" max="14850" width="6.25" style="3053" customWidth="1"/>
    <col min="14851" max="14851" width="13.875" style="3053" customWidth="1"/>
    <col min="14852" max="14852" width="6.25" style="3053" customWidth="1"/>
    <col min="14853" max="14853" width="9.625" style="3053" customWidth="1"/>
    <col min="14854" max="14854" width="14.5" style="3053" customWidth="1"/>
    <col min="14855" max="14855" width="7.875" style="3053" customWidth="1"/>
    <col min="14856" max="14856" width="23.125" style="3053" customWidth="1"/>
    <col min="14857" max="14857" width="16.625" style="3053" customWidth="1"/>
    <col min="14858" max="14859" width="13.875" style="3053" customWidth="1"/>
    <col min="14860" max="14860" width="20.75" style="3053" customWidth="1"/>
    <col min="14861" max="14861" width="7.875" style="3053" customWidth="1"/>
    <col min="14862" max="14862" width="21.25" style="3053" customWidth="1"/>
    <col min="14863" max="14863" width="24.125" style="3053" customWidth="1"/>
    <col min="14864" max="14864" width="9.625" style="3053" customWidth="1"/>
    <col min="14865" max="14866" width="15.5" style="3053" customWidth="1"/>
    <col min="14867" max="14867" width="69.5" style="3053" customWidth="1"/>
    <col min="14868" max="14868" width="50.125" style="3053" customWidth="1"/>
    <col min="14869" max="14869" width="37.25" style="3053" customWidth="1"/>
    <col min="14870" max="14870" width="17.875" style="3053" customWidth="1"/>
    <col min="14871" max="14871" width="7.875" style="3053" customWidth="1"/>
    <col min="14872" max="14875" width="9" style="3053" customWidth="1"/>
    <col min="14876" max="14876" width="23.125" style="3053" customWidth="1"/>
    <col min="14877" max="14877" width="7.875" style="3053" customWidth="1"/>
    <col min="14878" max="14878" width="89.875" style="3053" customWidth="1"/>
    <col min="14879" max="14879" width="78.5" style="3053" customWidth="1"/>
    <col min="14880" max="14882" width="10.625" style="3053" customWidth="1"/>
    <col min="14883" max="14884" width="16" style="3053" customWidth="1"/>
    <col min="14885" max="14886" width="14.375" style="3053" customWidth="1"/>
    <col min="14887" max="14888" width="21.875" style="3053" customWidth="1"/>
    <col min="14889" max="14889" width="6.25" style="3053" customWidth="1"/>
    <col min="14890" max="14890" width="24.5" style="3053" customWidth="1"/>
    <col min="14891" max="14891" width="16.875" style="3053" customWidth="1"/>
    <col min="14892" max="14893" width="20.125" style="3053" customWidth="1"/>
    <col min="14894" max="14894" width="7.875" style="3053" customWidth="1"/>
    <col min="14895" max="15104" width="9" style="3053"/>
    <col min="15105" max="15105" width="17.25" style="3053" customWidth="1"/>
    <col min="15106" max="15106" width="6.25" style="3053" customWidth="1"/>
    <col min="15107" max="15107" width="13.875" style="3053" customWidth="1"/>
    <col min="15108" max="15108" width="6.25" style="3053" customWidth="1"/>
    <col min="15109" max="15109" width="9.625" style="3053" customWidth="1"/>
    <col min="15110" max="15110" width="14.5" style="3053" customWidth="1"/>
    <col min="15111" max="15111" width="7.875" style="3053" customWidth="1"/>
    <col min="15112" max="15112" width="23.125" style="3053" customWidth="1"/>
    <col min="15113" max="15113" width="16.625" style="3053" customWidth="1"/>
    <col min="15114" max="15115" width="13.875" style="3053" customWidth="1"/>
    <col min="15116" max="15116" width="20.75" style="3053" customWidth="1"/>
    <col min="15117" max="15117" width="7.875" style="3053" customWidth="1"/>
    <col min="15118" max="15118" width="21.25" style="3053" customWidth="1"/>
    <col min="15119" max="15119" width="24.125" style="3053" customWidth="1"/>
    <col min="15120" max="15120" width="9.625" style="3053" customWidth="1"/>
    <col min="15121" max="15122" width="15.5" style="3053" customWidth="1"/>
    <col min="15123" max="15123" width="69.5" style="3053" customWidth="1"/>
    <col min="15124" max="15124" width="50.125" style="3053" customWidth="1"/>
    <col min="15125" max="15125" width="37.25" style="3053" customWidth="1"/>
    <col min="15126" max="15126" width="17.875" style="3053" customWidth="1"/>
    <col min="15127" max="15127" width="7.875" style="3053" customWidth="1"/>
    <col min="15128" max="15131" width="9" style="3053" customWidth="1"/>
    <col min="15132" max="15132" width="23.125" style="3053" customWidth="1"/>
    <col min="15133" max="15133" width="7.875" style="3053" customWidth="1"/>
    <col min="15134" max="15134" width="89.875" style="3053" customWidth="1"/>
    <col min="15135" max="15135" width="78.5" style="3053" customWidth="1"/>
    <col min="15136" max="15138" width="10.625" style="3053" customWidth="1"/>
    <col min="15139" max="15140" width="16" style="3053" customWidth="1"/>
    <col min="15141" max="15142" width="14.375" style="3053" customWidth="1"/>
    <col min="15143" max="15144" width="21.875" style="3053" customWidth="1"/>
    <col min="15145" max="15145" width="6.25" style="3053" customWidth="1"/>
    <col min="15146" max="15146" width="24.5" style="3053" customWidth="1"/>
    <col min="15147" max="15147" width="16.875" style="3053" customWidth="1"/>
    <col min="15148" max="15149" width="20.125" style="3053" customWidth="1"/>
    <col min="15150" max="15150" width="7.875" style="3053" customWidth="1"/>
    <col min="15151" max="15360" width="9" style="3053"/>
    <col min="15361" max="15361" width="17.25" style="3053" customWidth="1"/>
    <col min="15362" max="15362" width="6.25" style="3053" customWidth="1"/>
    <col min="15363" max="15363" width="13.875" style="3053" customWidth="1"/>
    <col min="15364" max="15364" width="6.25" style="3053" customWidth="1"/>
    <col min="15365" max="15365" width="9.625" style="3053" customWidth="1"/>
    <col min="15366" max="15366" width="14.5" style="3053" customWidth="1"/>
    <col min="15367" max="15367" width="7.875" style="3053" customWidth="1"/>
    <col min="15368" max="15368" width="23.125" style="3053" customWidth="1"/>
    <col min="15369" max="15369" width="16.625" style="3053" customWidth="1"/>
    <col min="15370" max="15371" width="13.875" style="3053" customWidth="1"/>
    <col min="15372" max="15372" width="20.75" style="3053" customWidth="1"/>
    <col min="15373" max="15373" width="7.875" style="3053" customWidth="1"/>
    <col min="15374" max="15374" width="21.25" style="3053" customWidth="1"/>
    <col min="15375" max="15375" width="24.125" style="3053" customWidth="1"/>
    <col min="15376" max="15376" width="9.625" style="3053" customWidth="1"/>
    <col min="15377" max="15378" width="15.5" style="3053" customWidth="1"/>
    <col min="15379" max="15379" width="69.5" style="3053" customWidth="1"/>
    <col min="15380" max="15380" width="50.125" style="3053" customWidth="1"/>
    <col min="15381" max="15381" width="37.25" style="3053" customWidth="1"/>
    <col min="15382" max="15382" width="17.875" style="3053" customWidth="1"/>
    <col min="15383" max="15383" width="7.875" style="3053" customWidth="1"/>
    <col min="15384" max="15387" width="9" style="3053" customWidth="1"/>
    <col min="15388" max="15388" width="23.125" style="3053" customWidth="1"/>
    <col min="15389" max="15389" width="7.875" style="3053" customWidth="1"/>
    <col min="15390" max="15390" width="89.875" style="3053" customWidth="1"/>
    <col min="15391" max="15391" width="78.5" style="3053" customWidth="1"/>
    <col min="15392" max="15394" width="10.625" style="3053" customWidth="1"/>
    <col min="15395" max="15396" width="16" style="3053" customWidth="1"/>
    <col min="15397" max="15398" width="14.375" style="3053" customWidth="1"/>
    <col min="15399" max="15400" width="21.875" style="3053" customWidth="1"/>
    <col min="15401" max="15401" width="6.25" style="3053" customWidth="1"/>
    <col min="15402" max="15402" width="24.5" style="3053" customWidth="1"/>
    <col min="15403" max="15403" width="16.875" style="3053" customWidth="1"/>
    <col min="15404" max="15405" width="20.125" style="3053" customWidth="1"/>
    <col min="15406" max="15406" width="7.875" style="3053" customWidth="1"/>
    <col min="15407" max="15616" width="9" style="3053"/>
    <col min="15617" max="15617" width="17.25" style="3053" customWidth="1"/>
    <col min="15618" max="15618" width="6.25" style="3053" customWidth="1"/>
    <col min="15619" max="15619" width="13.875" style="3053" customWidth="1"/>
    <col min="15620" max="15620" width="6.25" style="3053" customWidth="1"/>
    <col min="15621" max="15621" width="9.625" style="3053" customWidth="1"/>
    <col min="15622" max="15622" width="14.5" style="3053" customWidth="1"/>
    <col min="15623" max="15623" width="7.875" style="3053" customWidth="1"/>
    <col min="15624" max="15624" width="23.125" style="3053" customWidth="1"/>
    <col min="15625" max="15625" width="16.625" style="3053" customWidth="1"/>
    <col min="15626" max="15627" width="13.875" style="3053" customWidth="1"/>
    <col min="15628" max="15628" width="20.75" style="3053" customWidth="1"/>
    <col min="15629" max="15629" width="7.875" style="3053" customWidth="1"/>
    <col min="15630" max="15630" width="21.25" style="3053" customWidth="1"/>
    <col min="15631" max="15631" width="24.125" style="3053" customWidth="1"/>
    <col min="15632" max="15632" width="9.625" style="3053" customWidth="1"/>
    <col min="15633" max="15634" width="15.5" style="3053" customWidth="1"/>
    <col min="15635" max="15635" width="69.5" style="3053" customWidth="1"/>
    <col min="15636" max="15636" width="50.125" style="3053" customWidth="1"/>
    <col min="15637" max="15637" width="37.25" style="3053" customWidth="1"/>
    <col min="15638" max="15638" width="17.875" style="3053" customWidth="1"/>
    <col min="15639" max="15639" width="7.875" style="3053" customWidth="1"/>
    <col min="15640" max="15643" width="9" style="3053" customWidth="1"/>
    <col min="15644" max="15644" width="23.125" style="3053" customWidth="1"/>
    <col min="15645" max="15645" width="7.875" style="3053" customWidth="1"/>
    <col min="15646" max="15646" width="89.875" style="3053" customWidth="1"/>
    <col min="15647" max="15647" width="78.5" style="3053" customWidth="1"/>
    <col min="15648" max="15650" width="10.625" style="3053" customWidth="1"/>
    <col min="15651" max="15652" width="16" style="3053" customWidth="1"/>
    <col min="15653" max="15654" width="14.375" style="3053" customWidth="1"/>
    <col min="15655" max="15656" width="21.875" style="3053" customWidth="1"/>
    <col min="15657" max="15657" width="6.25" style="3053" customWidth="1"/>
    <col min="15658" max="15658" width="24.5" style="3053" customWidth="1"/>
    <col min="15659" max="15659" width="16.875" style="3053" customWidth="1"/>
    <col min="15660" max="15661" width="20.125" style="3053" customWidth="1"/>
    <col min="15662" max="15662" width="7.875" style="3053" customWidth="1"/>
    <col min="15663" max="15872" width="9" style="3053"/>
    <col min="15873" max="15873" width="17.25" style="3053" customWidth="1"/>
    <col min="15874" max="15874" width="6.25" style="3053" customWidth="1"/>
    <col min="15875" max="15875" width="13.875" style="3053" customWidth="1"/>
    <col min="15876" max="15876" width="6.25" style="3053" customWidth="1"/>
    <col min="15877" max="15877" width="9.625" style="3053" customWidth="1"/>
    <col min="15878" max="15878" width="14.5" style="3053" customWidth="1"/>
    <col min="15879" max="15879" width="7.875" style="3053" customWidth="1"/>
    <col min="15880" max="15880" width="23.125" style="3053" customWidth="1"/>
    <col min="15881" max="15881" width="16.625" style="3053" customWidth="1"/>
    <col min="15882" max="15883" width="13.875" style="3053" customWidth="1"/>
    <col min="15884" max="15884" width="20.75" style="3053" customWidth="1"/>
    <col min="15885" max="15885" width="7.875" style="3053" customWidth="1"/>
    <col min="15886" max="15886" width="21.25" style="3053" customWidth="1"/>
    <col min="15887" max="15887" width="24.125" style="3053" customWidth="1"/>
    <col min="15888" max="15888" width="9.625" style="3053" customWidth="1"/>
    <col min="15889" max="15890" width="15.5" style="3053" customWidth="1"/>
    <col min="15891" max="15891" width="69.5" style="3053" customWidth="1"/>
    <col min="15892" max="15892" width="50.125" style="3053" customWidth="1"/>
    <col min="15893" max="15893" width="37.25" style="3053" customWidth="1"/>
    <col min="15894" max="15894" width="17.875" style="3053" customWidth="1"/>
    <col min="15895" max="15895" width="7.875" style="3053" customWidth="1"/>
    <col min="15896" max="15899" width="9" style="3053" customWidth="1"/>
    <col min="15900" max="15900" width="23.125" style="3053" customWidth="1"/>
    <col min="15901" max="15901" width="7.875" style="3053" customWidth="1"/>
    <col min="15902" max="15902" width="89.875" style="3053" customWidth="1"/>
    <col min="15903" max="15903" width="78.5" style="3053" customWidth="1"/>
    <col min="15904" max="15906" width="10.625" style="3053" customWidth="1"/>
    <col min="15907" max="15908" width="16" style="3053" customWidth="1"/>
    <col min="15909" max="15910" width="14.375" style="3053" customWidth="1"/>
    <col min="15911" max="15912" width="21.875" style="3053" customWidth="1"/>
    <col min="15913" max="15913" width="6.25" style="3053" customWidth="1"/>
    <col min="15914" max="15914" width="24.5" style="3053" customWidth="1"/>
    <col min="15915" max="15915" width="16.875" style="3053" customWidth="1"/>
    <col min="15916" max="15917" width="20.125" style="3053" customWidth="1"/>
    <col min="15918" max="15918" width="7.875" style="3053" customWidth="1"/>
    <col min="15919" max="16128" width="9" style="3053"/>
    <col min="16129" max="16129" width="17.25" style="3053" customWidth="1"/>
    <col min="16130" max="16130" width="6.25" style="3053" customWidth="1"/>
    <col min="16131" max="16131" width="13.875" style="3053" customWidth="1"/>
    <col min="16132" max="16132" width="6.25" style="3053" customWidth="1"/>
    <col min="16133" max="16133" width="9.625" style="3053" customWidth="1"/>
    <col min="16134" max="16134" width="14.5" style="3053" customWidth="1"/>
    <col min="16135" max="16135" width="7.875" style="3053" customWidth="1"/>
    <col min="16136" max="16136" width="23.125" style="3053" customWidth="1"/>
    <col min="16137" max="16137" width="16.625" style="3053" customWidth="1"/>
    <col min="16138" max="16139" width="13.875" style="3053" customWidth="1"/>
    <col min="16140" max="16140" width="20.75" style="3053" customWidth="1"/>
    <col min="16141" max="16141" width="7.875" style="3053" customWidth="1"/>
    <col min="16142" max="16142" width="21.25" style="3053" customWidth="1"/>
    <col min="16143" max="16143" width="24.125" style="3053" customWidth="1"/>
    <col min="16144" max="16144" width="9.625" style="3053" customWidth="1"/>
    <col min="16145" max="16146" width="15.5" style="3053" customWidth="1"/>
    <col min="16147" max="16147" width="69.5" style="3053" customWidth="1"/>
    <col min="16148" max="16148" width="50.125" style="3053" customWidth="1"/>
    <col min="16149" max="16149" width="37.25" style="3053" customWidth="1"/>
    <col min="16150" max="16150" width="17.875" style="3053" customWidth="1"/>
    <col min="16151" max="16151" width="7.875" style="3053" customWidth="1"/>
    <col min="16152" max="16155" width="9" style="3053" customWidth="1"/>
    <col min="16156" max="16156" width="23.125" style="3053" customWidth="1"/>
    <col min="16157" max="16157" width="7.875" style="3053" customWidth="1"/>
    <col min="16158" max="16158" width="89.875" style="3053" customWidth="1"/>
    <col min="16159" max="16159" width="78.5" style="3053" customWidth="1"/>
    <col min="16160" max="16162" width="10.625" style="3053" customWidth="1"/>
    <col min="16163" max="16164" width="16" style="3053" customWidth="1"/>
    <col min="16165" max="16166" width="14.375" style="3053" customWidth="1"/>
    <col min="16167" max="16168" width="21.875" style="3053" customWidth="1"/>
    <col min="16169" max="16169" width="6.25" style="3053" customWidth="1"/>
    <col min="16170" max="16170" width="24.5" style="3053" customWidth="1"/>
    <col min="16171" max="16171" width="16.875" style="3053" customWidth="1"/>
    <col min="16172" max="16173" width="20.125" style="3053" customWidth="1"/>
    <col min="16174" max="16174" width="7.875" style="3053" customWidth="1"/>
    <col min="16175" max="16384" width="9" style="3053"/>
  </cols>
  <sheetData>
    <row r="1" spans="1:46">
      <c r="A1" s="3053" t="s">
        <v>3039</v>
      </c>
      <c r="B1" s="3053" t="s">
        <v>3040</v>
      </c>
      <c r="C1" s="3053" t="s">
        <v>3041</v>
      </c>
      <c r="D1" s="3053" t="s">
        <v>3042</v>
      </c>
      <c r="E1" s="3053" t="s">
        <v>3043</v>
      </c>
      <c r="F1" s="3053" t="s">
        <v>3044</v>
      </c>
      <c r="G1" s="3053" t="s">
        <v>3045</v>
      </c>
      <c r="H1" s="3053" t="s">
        <v>3046</v>
      </c>
      <c r="I1" s="3053" t="s">
        <v>3047</v>
      </c>
      <c r="J1" s="3053" t="s">
        <v>3048</v>
      </c>
      <c r="K1" s="3053" t="s">
        <v>3049</v>
      </c>
      <c r="L1" s="3053" t="s">
        <v>3050</v>
      </c>
      <c r="M1" s="3053" t="s">
        <v>3051</v>
      </c>
      <c r="N1" s="3053" t="s">
        <v>3052</v>
      </c>
      <c r="O1" s="3053" t="s">
        <v>3053</v>
      </c>
      <c r="P1" s="3053" t="s">
        <v>3054</v>
      </c>
      <c r="Q1" s="3053" t="s">
        <v>3055</v>
      </c>
      <c r="R1" s="3053" t="s">
        <v>3056</v>
      </c>
      <c r="S1" s="3053" t="s">
        <v>3057</v>
      </c>
      <c r="T1" s="3053" t="s">
        <v>3058</v>
      </c>
      <c r="U1" s="3053" t="s">
        <v>3059</v>
      </c>
      <c r="V1" s="3053" t="s">
        <v>3060</v>
      </c>
      <c r="W1" s="3053" t="s">
        <v>3061</v>
      </c>
      <c r="X1" s="3053" t="s">
        <v>3062</v>
      </c>
      <c r="Y1" s="3053" t="s">
        <v>3063</v>
      </c>
      <c r="Z1" s="3053" t="s">
        <v>3064</v>
      </c>
      <c r="AA1" s="3053" t="s">
        <v>3065</v>
      </c>
      <c r="AB1" s="3053" t="s">
        <v>3066</v>
      </c>
      <c r="AC1" s="3053" t="s">
        <v>3067</v>
      </c>
      <c r="AD1" s="3053" t="s">
        <v>3068</v>
      </c>
      <c r="AE1" s="3053" t="s">
        <v>3069</v>
      </c>
      <c r="AF1" s="3053" t="s">
        <v>3070</v>
      </c>
      <c r="AG1" s="3053" t="s">
        <v>3071</v>
      </c>
      <c r="AH1" s="3053" t="s">
        <v>3072</v>
      </c>
      <c r="AI1" s="3053" t="s">
        <v>3073</v>
      </c>
      <c r="AJ1" s="3053" t="s">
        <v>3074</v>
      </c>
      <c r="AK1" s="3053" t="s">
        <v>3075</v>
      </c>
      <c r="AL1" s="3053" t="s">
        <v>3076</v>
      </c>
      <c r="AM1" s="3053" t="s">
        <v>3077</v>
      </c>
      <c r="AN1" s="3053" t="s">
        <v>3078</v>
      </c>
      <c r="AO1" s="3053" t="s">
        <v>3079</v>
      </c>
      <c r="AP1" s="3053" t="s">
        <v>3080</v>
      </c>
      <c r="AQ1" s="3053" t="s">
        <v>3081</v>
      </c>
      <c r="AR1" s="3053" t="s">
        <v>3082</v>
      </c>
      <c r="AS1" s="3053" t="s">
        <v>3083</v>
      </c>
      <c r="AT1" s="3053" t="s">
        <v>3084</v>
      </c>
    </row>
    <row r="2" spans="1:46" s="3075" customFormat="1">
      <c r="A2" s="3075" t="s">
        <v>3093</v>
      </c>
      <c r="B2" s="3075" t="s">
        <v>3025</v>
      </c>
      <c r="C2" s="3075" t="s">
        <v>3094</v>
      </c>
      <c r="D2" s="3075" t="s">
        <v>3086</v>
      </c>
      <c r="E2" s="3075" t="s">
        <v>3095</v>
      </c>
      <c r="F2" s="3075" t="s">
        <v>3096</v>
      </c>
      <c r="G2" s="3075" t="s">
        <v>3088</v>
      </c>
      <c r="H2" s="3075" t="s">
        <v>3097</v>
      </c>
      <c r="I2" s="3075" t="s">
        <v>3098</v>
      </c>
      <c r="J2" s="3075">
        <v>56860.73</v>
      </c>
      <c r="K2" s="3075">
        <v>133065.75</v>
      </c>
      <c r="L2" s="3075" t="s">
        <v>3099</v>
      </c>
      <c r="M2" s="3075" t="s">
        <v>1298</v>
      </c>
      <c r="N2" s="3075" t="s">
        <v>1298</v>
      </c>
      <c r="O2" s="3075" t="s">
        <v>1298</v>
      </c>
      <c r="P2" s="3075" t="s">
        <v>1298</v>
      </c>
      <c r="Q2" s="3075" t="s">
        <v>1298</v>
      </c>
      <c r="R2" s="3075" t="s">
        <v>1298</v>
      </c>
      <c r="S2" s="3075" t="s">
        <v>1298</v>
      </c>
      <c r="T2" s="3075" t="s">
        <v>3100</v>
      </c>
      <c r="U2" s="3075" t="s">
        <v>3101</v>
      </c>
      <c r="V2" s="3075" t="s">
        <v>1298</v>
      </c>
      <c r="W2" s="3075" t="s">
        <v>3089</v>
      </c>
      <c r="X2" s="3075" t="s">
        <v>3102</v>
      </c>
      <c r="Y2" s="3075" t="s">
        <v>3103</v>
      </c>
      <c r="Z2" s="3075" t="s">
        <v>3104</v>
      </c>
      <c r="AA2" s="3075" t="s">
        <v>3104</v>
      </c>
      <c r="AB2" s="3075" t="s">
        <v>3097</v>
      </c>
      <c r="AC2" s="3075" t="s">
        <v>3090</v>
      </c>
      <c r="AD2" s="3075" t="s">
        <v>3105</v>
      </c>
      <c r="AE2" s="3075" t="s">
        <v>3106</v>
      </c>
      <c r="AF2" s="3075">
        <v>85000</v>
      </c>
      <c r="AG2" s="3075">
        <v>420000</v>
      </c>
      <c r="AH2" s="3075">
        <v>465700</v>
      </c>
      <c r="AI2" s="3075">
        <v>4924.3100000000004</v>
      </c>
      <c r="AJ2" s="3075">
        <v>5460.12</v>
      </c>
      <c r="AK2" s="3075">
        <v>31563.34</v>
      </c>
      <c r="AL2" s="3075">
        <v>34997.730000000003</v>
      </c>
      <c r="AM2" s="3075" t="s">
        <v>1298</v>
      </c>
      <c r="AN2" s="3075" t="s">
        <v>1298</v>
      </c>
      <c r="AO2" s="3075">
        <v>10.88</v>
      </c>
      <c r="AP2" s="3075" t="s">
        <v>3091</v>
      </c>
      <c r="AQ2" s="3075">
        <v>21</v>
      </c>
      <c r="AR2" s="3075" t="s">
        <v>1298</v>
      </c>
      <c r="AS2" s="3075" t="s">
        <v>1298</v>
      </c>
      <c r="AT2" s="3075" t="s">
        <v>3107</v>
      </c>
    </row>
    <row r="3" spans="1:46" s="3054" customFormat="1">
      <c r="A3" s="3054" t="s">
        <v>3108</v>
      </c>
      <c r="B3" s="3054" t="s">
        <v>3025</v>
      </c>
      <c r="C3" s="3054" t="s">
        <v>3085</v>
      </c>
      <c r="D3" s="3054" t="s">
        <v>3086</v>
      </c>
      <c r="E3" s="3054" t="s">
        <v>3087</v>
      </c>
      <c r="F3" s="3054" t="s">
        <v>3109</v>
      </c>
      <c r="G3" s="3054" t="s">
        <v>3088</v>
      </c>
      <c r="H3" s="3054" t="s">
        <v>3110</v>
      </c>
      <c r="I3" s="3054" t="s">
        <v>3111</v>
      </c>
      <c r="J3" s="3054">
        <v>85128.1</v>
      </c>
      <c r="K3" s="3054">
        <v>201473.8</v>
      </c>
      <c r="L3" s="3054" t="s">
        <v>3112</v>
      </c>
      <c r="M3" s="3054" t="s">
        <v>1298</v>
      </c>
      <c r="N3" s="3054" t="s">
        <v>3113</v>
      </c>
      <c r="O3" s="3054" t="s">
        <v>3114</v>
      </c>
      <c r="P3" s="3054" t="s">
        <v>1298</v>
      </c>
      <c r="Q3" s="3054" t="s">
        <v>1298</v>
      </c>
      <c r="R3" s="3054" t="s">
        <v>1298</v>
      </c>
      <c r="S3" s="3054" t="s">
        <v>1298</v>
      </c>
      <c r="T3" s="3054" t="s">
        <v>3100</v>
      </c>
      <c r="U3" s="3054" t="s">
        <v>3101</v>
      </c>
      <c r="V3" s="3054" t="s">
        <v>1298</v>
      </c>
      <c r="W3" s="3054" t="s">
        <v>3115</v>
      </c>
      <c r="X3" s="3054" t="s">
        <v>3116</v>
      </c>
      <c r="Y3" s="3054" t="s">
        <v>3117</v>
      </c>
      <c r="Z3" s="3054" t="s">
        <v>3118</v>
      </c>
      <c r="AA3" s="3054" t="s">
        <v>3118</v>
      </c>
      <c r="AB3" s="3054" t="s">
        <v>3110</v>
      </c>
      <c r="AC3" s="3054" t="s">
        <v>3090</v>
      </c>
      <c r="AD3" s="3054" t="s">
        <v>3119</v>
      </c>
      <c r="AE3" s="3054" t="s">
        <v>3120</v>
      </c>
      <c r="AF3" s="3054">
        <v>128000</v>
      </c>
      <c r="AG3" s="3054">
        <v>640000</v>
      </c>
      <c r="AH3" s="3054">
        <v>790000</v>
      </c>
      <c r="AI3" s="3054">
        <v>5012.05</v>
      </c>
      <c r="AJ3" s="3054">
        <v>6186.75</v>
      </c>
      <c r="AK3" s="3054">
        <v>31765.91</v>
      </c>
      <c r="AL3" s="3054">
        <v>39211.050000000003</v>
      </c>
      <c r="AM3" s="3054" t="s">
        <v>1298</v>
      </c>
      <c r="AN3" s="3054" t="s">
        <v>1298</v>
      </c>
      <c r="AO3" s="3054">
        <v>23.44</v>
      </c>
      <c r="AP3" s="3054" t="s">
        <v>3091</v>
      </c>
      <c r="AQ3" s="3054" t="s">
        <v>1298</v>
      </c>
      <c r="AR3" s="3054" t="s">
        <v>1298</v>
      </c>
      <c r="AS3" s="3054" t="s">
        <v>1298</v>
      </c>
      <c r="AT3" s="3054" t="s">
        <v>3092</v>
      </c>
    </row>
    <row r="4" spans="1:46" s="3075" customFormat="1">
      <c r="A4" s="3075" t="s">
        <v>3124</v>
      </c>
      <c r="B4" s="3075" t="s">
        <v>3025</v>
      </c>
      <c r="C4" s="3075" t="s">
        <v>3085</v>
      </c>
      <c r="D4" s="3075" t="s">
        <v>3086</v>
      </c>
      <c r="E4" s="3075" t="s">
        <v>3095</v>
      </c>
      <c r="F4" s="3075" t="s">
        <v>3096</v>
      </c>
      <c r="G4" s="3075" t="s">
        <v>3088</v>
      </c>
      <c r="H4" s="3075" t="s">
        <v>3125</v>
      </c>
      <c r="I4" s="3075" t="s">
        <v>3126</v>
      </c>
      <c r="J4" s="3075">
        <v>78681.47</v>
      </c>
      <c r="K4" s="3075">
        <v>188033.66</v>
      </c>
      <c r="L4" s="3075" t="s">
        <v>3127</v>
      </c>
      <c r="M4" s="3075" t="s">
        <v>1298</v>
      </c>
      <c r="N4" s="3075" t="s">
        <v>3113</v>
      </c>
      <c r="O4" s="3075" t="s">
        <v>3128</v>
      </c>
      <c r="P4" s="3075" t="s">
        <v>1298</v>
      </c>
      <c r="Q4" s="3075" t="s">
        <v>1298</v>
      </c>
      <c r="R4" s="3075" t="s">
        <v>1298</v>
      </c>
      <c r="S4" s="3075" t="s">
        <v>1298</v>
      </c>
      <c r="T4" s="3075" t="s">
        <v>3100</v>
      </c>
      <c r="U4" s="3075" t="s">
        <v>3101</v>
      </c>
      <c r="V4" s="3075" t="s">
        <v>1298</v>
      </c>
      <c r="W4" s="3075" t="s">
        <v>3115</v>
      </c>
      <c r="X4" s="3075" t="s">
        <v>3121</v>
      </c>
      <c r="Y4" s="3075" t="s">
        <v>3122</v>
      </c>
      <c r="Z4" s="3075" t="s">
        <v>3123</v>
      </c>
      <c r="AA4" s="3075" t="s">
        <v>3123</v>
      </c>
      <c r="AB4" s="3075" t="s">
        <v>3125</v>
      </c>
      <c r="AC4" s="3075" t="s">
        <v>3090</v>
      </c>
      <c r="AD4" s="3075" t="s">
        <v>3129</v>
      </c>
      <c r="AE4" s="3075" t="s">
        <v>3130</v>
      </c>
      <c r="AF4" s="3075">
        <v>100000</v>
      </c>
      <c r="AG4" s="3075">
        <v>500000</v>
      </c>
      <c r="AH4" s="3075">
        <v>670000</v>
      </c>
      <c r="AI4" s="3075">
        <v>4236.49</v>
      </c>
      <c r="AJ4" s="3075">
        <v>5676.9</v>
      </c>
      <c r="AK4" s="3075">
        <v>26590.98</v>
      </c>
      <c r="AL4" s="3075">
        <v>35631.910000000003</v>
      </c>
      <c r="AM4" s="3075" t="s">
        <v>1298</v>
      </c>
      <c r="AN4" s="3075" t="s">
        <v>1298</v>
      </c>
      <c r="AO4" s="3075">
        <v>34</v>
      </c>
      <c r="AP4" s="3075" t="s">
        <v>3091</v>
      </c>
      <c r="AQ4" s="3075" t="s">
        <v>1298</v>
      </c>
      <c r="AR4" s="3075" t="s">
        <v>1298</v>
      </c>
      <c r="AS4" s="3075" t="s">
        <v>1298</v>
      </c>
      <c r="AT4" s="3075" t="s">
        <v>3107</v>
      </c>
    </row>
    <row r="5" spans="1:46" s="3054" customFormat="1">
      <c r="A5" s="3054" t="s">
        <v>3205</v>
      </c>
      <c r="B5" s="3054" t="s">
        <v>3025</v>
      </c>
      <c r="C5" s="3054" t="s">
        <v>3094</v>
      </c>
      <c r="D5" s="3054" t="s">
        <v>3086</v>
      </c>
      <c r="E5" s="3054" t="s">
        <v>3206</v>
      </c>
      <c r="F5" s="3054" t="s">
        <v>3207</v>
      </c>
      <c r="G5" s="3054" t="s">
        <v>3088</v>
      </c>
      <c r="H5" s="3054" t="s">
        <v>3208</v>
      </c>
      <c r="I5" s="3054" t="s">
        <v>3098</v>
      </c>
      <c r="J5" s="3054">
        <v>45081.99</v>
      </c>
      <c r="K5" s="3054">
        <v>94672</v>
      </c>
      <c r="L5" s="3054" t="s">
        <v>3209</v>
      </c>
      <c r="M5" s="3054" t="s">
        <v>1298</v>
      </c>
      <c r="N5" s="3054" t="s">
        <v>3113</v>
      </c>
      <c r="O5" s="3054" t="s">
        <v>3210</v>
      </c>
      <c r="P5" s="3054" t="s">
        <v>1298</v>
      </c>
      <c r="Q5" s="3054" t="s">
        <v>1298</v>
      </c>
      <c r="R5" s="3054" t="s">
        <v>1298</v>
      </c>
      <c r="S5" s="3054" t="s">
        <v>1298</v>
      </c>
      <c r="T5" s="3054" t="s">
        <v>3211</v>
      </c>
      <c r="U5" s="3054" t="s">
        <v>3212</v>
      </c>
      <c r="V5" s="3054" t="s">
        <v>1298</v>
      </c>
      <c r="W5" s="3054" t="s">
        <v>3115</v>
      </c>
      <c r="X5" s="3054" t="s">
        <v>3213</v>
      </c>
      <c r="Y5" s="3054" t="s">
        <v>3214</v>
      </c>
      <c r="Z5" s="3054" t="s">
        <v>3215</v>
      </c>
      <c r="AA5" s="3054" t="s">
        <v>3215</v>
      </c>
      <c r="AB5" s="3054" t="s">
        <v>3208</v>
      </c>
      <c r="AC5" s="3054" t="s">
        <v>3090</v>
      </c>
      <c r="AD5" s="3054" t="s">
        <v>3216</v>
      </c>
      <c r="AE5" s="3054" t="s">
        <v>3217</v>
      </c>
      <c r="AF5" s="3054">
        <v>72600</v>
      </c>
      <c r="AG5" s="3054">
        <v>363000</v>
      </c>
      <c r="AH5" s="3054">
        <v>374000</v>
      </c>
      <c r="AI5" s="3054">
        <v>5368</v>
      </c>
      <c r="AJ5" s="3054">
        <v>5530.66</v>
      </c>
      <c r="AK5" s="3054">
        <v>38342.910000000003</v>
      </c>
      <c r="AL5" s="3054">
        <v>39504.81</v>
      </c>
      <c r="AM5" s="3054" t="s">
        <v>1298</v>
      </c>
      <c r="AN5" s="3054" t="s">
        <v>1298</v>
      </c>
      <c r="AO5" s="3054">
        <v>3.03</v>
      </c>
      <c r="AP5" s="3054" t="s">
        <v>3091</v>
      </c>
      <c r="AQ5" s="3054" t="s">
        <v>1298</v>
      </c>
      <c r="AR5" s="3054" t="s">
        <v>1298</v>
      </c>
      <c r="AS5" s="3054" t="s">
        <v>1298</v>
      </c>
      <c r="AT5" s="3054" t="s">
        <v>3092</v>
      </c>
    </row>
    <row r="6" spans="1:46" s="3054" customFormat="1">
      <c r="A6" s="3054" t="s">
        <v>3218</v>
      </c>
      <c r="B6" s="3054" t="s">
        <v>3025</v>
      </c>
      <c r="C6" s="3054" t="s">
        <v>3085</v>
      </c>
      <c r="D6" s="3054" t="s">
        <v>3086</v>
      </c>
      <c r="E6" s="3054" t="s">
        <v>3206</v>
      </c>
      <c r="F6" s="3054" t="s">
        <v>3207</v>
      </c>
      <c r="G6" s="3054" t="s">
        <v>3088</v>
      </c>
      <c r="H6" s="3054" t="s">
        <v>3219</v>
      </c>
      <c r="I6" s="3054" t="s">
        <v>3220</v>
      </c>
      <c r="J6" s="3054">
        <v>39577.68</v>
      </c>
      <c r="K6" s="3054">
        <v>75553</v>
      </c>
      <c r="L6" s="3054" t="s">
        <v>3221</v>
      </c>
      <c r="M6" s="3054" t="s">
        <v>1298</v>
      </c>
      <c r="N6" s="3054" t="s">
        <v>3113</v>
      </c>
      <c r="O6" s="3054" t="s">
        <v>3210</v>
      </c>
      <c r="P6" s="3054" t="s">
        <v>1298</v>
      </c>
      <c r="Q6" s="3054" t="s">
        <v>1298</v>
      </c>
      <c r="R6" s="3054" t="s">
        <v>1298</v>
      </c>
      <c r="S6" s="3054" t="s">
        <v>1298</v>
      </c>
      <c r="T6" s="3054" t="s">
        <v>3211</v>
      </c>
      <c r="U6" s="3054" t="s">
        <v>3212</v>
      </c>
      <c r="V6" s="3054" t="s">
        <v>1298</v>
      </c>
      <c r="W6" s="3054" t="s">
        <v>3115</v>
      </c>
      <c r="X6" s="3054" t="s">
        <v>3213</v>
      </c>
      <c r="Y6" s="3054" t="s">
        <v>3214</v>
      </c>
      <c r="Z6" s="3054" t="s">
        <v>3215</v>
      </c>
      <c r="AA6" s="3054" t="s">
        <v>3215</v>
      </c>
      <c r="AB6" s="3054" t="s">
        <v>3219</v>
      </c>
      <c r="AC6" s="3054" t="s">
        <v>3090</v>
      </c>
      <c r="AD6" s="3054" t="s">
        <v>3222</v>
      </c>
      <c r="AE6" s="3054" t="s">
        <v>3223</v>
      </c>
      <c r="AF6" s="3054">
        <v>55000</v>
      </c>
      <c r="AG6" s="3054">
        <v>273800</v>
      </c>
      <c r="AH6" s="3054">
        <v>294000</v>
      </c>
      <c r="AI6" s="3054">
        <v>4612.03</v>
      </c>
      <c r="AJ6" s="3054">
        <v>4952.29</v>
      </c>
      <c r="AK6" s="3054">
        <v>36239.449999999997</v>
      </c>
      <c r="AL6" s="3054">
        <v>38913.08</v>
      </c>
      <c r="AM6" s="3054" t="s">
        <v>1298</v>
      </c>
      <c r="AN6" s="3054" t="s">
        <v>1298</v>
      </c>
      <c r="AO6" s="3054">
        <v>7.38</v>
      </c>
      <c r="AP6" s="3054" t="s">
        <v>3091</v>
      </c>
      <c r="AQ6" s="3054" t="s">
        <v>1298</v>
      </c>
      <c r="AR6" s="3054" t="s">
        <v>1298</v>
      </c>
      <c r="AS6" s="3054" t="s">
        <v>1298</v>
      </c>
      <c r="AT6" s="3054" t="s">
        <v>3092</v>
      </c>
    </row>
    <row r="9" spans="1:46" ht="13.5">
      <c r="AA9"/>
    </row>
    <row r="38" spans="1:2" ht="13.5">
      <c r="A38"/>
    </row>
    <row r="39" spans="1:2" ht="13.5">
      <c r="A39"/>
    </row>
    <row r="45" spans="1:2" ht="13.5">
      <c r="B45"/>
    </row>
    <row r="80" spans="1:1" ht="13.5">
      <c r="A80"/>
    </row>
    <row r="125" spans="1:1" ht="13.5">
      <c r="A125"/>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1606</v>
      </c>
      <c r="B2" s="3195" t="s">
        <v>1607</v>
      </c>
      <c r="C2" s="3195" t="s">
        <v>1608</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963" t="s">
        <v>1603</v>
      </c>
      <c r="E3" s="963" t="s">
        <v>1609</v>
      </c>
      <c r="F3" s="963" t="s">
        <v>1603</v>
      </c>
      <c r="G3" s="963" t="s">
        <v>1604</v>
      </c>
      <c r="H3" s="963" t="s">
        <v>1603</v>
      </c>
      <c r="I3" s="963" t="s">
        <v>1604</v>
      </c>
    </row>
    <row r="4" spans="1:9" ht="60">
      <c r="A4" s="1689" t="str">
        <f>项目基本情况!S2</f>
        <v>北京市大兴区旧宫镇DX07-0201-0006、0007地块R2二类居住用地住宅（自持）用房房地产房地产</v>
      </c>
      <c r="B4" s="963">
        <f>项目基本情况!C17</f>
        <v>130002.77000000002</v>
      </c>
      <c r="C4" s="963">
        <f>项目基本情况!C18</f>
        <v>37742.35</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96" t="s">
        <v>1605</v>
      </c>
      <c r="B5" s="3196"/>
      <c r="C5" s="3196"/>
      <c r="D5" s="3197" t="e">
        <f ca="1">结果表!D119</f>
        <v>#REF!</v>
      </c>
      <c r="E5" s="3197"/>
      <c r="F5" s="3197" t="e">
        <f ca="1">结果表!F119</f>
        <v>#REF!</v>
      </c>
      <c r="G5" s="3197"/>
      <c r="H5" s="3197" t="e">
        <f ca="1">结果表!H119</f>
        <v>#REF!</v>
      </c>
      <c r="I5" s="3197"/>
    </row>
    <row r="6" spans="1:9" ht="15.75">
      <c r="A6" s="3198" t="str">
        <f>结果表!A120</f>
        <v>估价师知悉的法定优先受偿款</v>
      </c>
      <c r="B6" s="3198"/>
      <c r="C6" s="3198"/>
      <c r="D6" s="3198">
        <f>结果表!D120</f>
        <v>0</v>
      </c>
      <c r="E6" s="3198"/>
      <c r="F6" s="3198"/>
      <c r="G6" s="3198"/>
      <c r="H6" s="3198"/>
      <c r="I6" s="3198"/>
    </row>
    <row r="7" spans="1:9" ht="15">
      <c r="A7" s="3196" t="s">
        <v>1605</v>
      </c>
      <c r="B7" s="3196"/>
      <c r="C7" s="3196"/>
      <c r="D7" s="3199" t="str">
        <f>结果表!D121</f>
        <v>零元整</v>
      </c>
      <c r="E7" s="3200"/>
      <c r="F7" s="3200"/>
      <c r="G7" s="3200"/>
      <c r="H7" s="3200"/>
      <c r="I7" s="3201"/>
    </row>
    <row r="8" spans="1:9" ht="15.75">
      <c r="A8" s="3198" t="str">
        <f>结果表!A122</f>
        <v>房地产抵押价值</v>
      </c>
      <c r="B8" s="3198"/>
      <c r="C8" s="3198"/>
      <c r="D8" s="3198" t="e">
        <f ca="1">结果表!D122</f>
        <v>#REF!</v>
      </c>
      <c r="E8" s="3198"/>
      <c r="F8" s="3198"/>
      <c r="G8" s="3198"/>
      <c r="H8" s="3198"/>
      <c r="I8" s="3198"/>
    </row>
    <row r="9" spans="1:9" ht="15">
      <c r="A9" s="3196" t="s">
        <v>1605</v>
      </c>
      <c r="B9" s="3196"/>
      <c r="C9" s="3196"/>
      <c r="D9" s="3197" t="e">
        <f ca="1">结果表!D123</f>
        <v>#REF!</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6" t="s">
        <v>1605</v>
      </c>
      <c r="B11" s="3196"/>
      <c r="C11" s="3196"/>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1605</v>
      </c>
      <c r="B13" s="3202"/>
      <c r="C13" s="3202"/>
      <c r="D13" s="3203" t="e">
        <f>结果表!D127</f>
        <v>#VALUE!</v>
      </c>
      <c r="E13" s="3203"/>
      <c r="F13" s="3203"/>
      <c r="G13" s="3203"/>
      <c r="H13" s="3203"/>
      <c r="I13" s="3203"/>
    </row>
    <row r="14" spans="1:9" ht="15" thickTop="1">
      <c r="A14" s="3204" t="s">
        <v>1610</v>
      </c>
      <c r="B14" s="3204"/>
      <c r="C14" s="3204"/>
      <c r="D14" s="3204"/>
      <c r="E14" s="3204"/>
      <c r="F14" s="3204"/>
      <c r="G14" s="3204"/>
      <c r="H14" s="3204"/>
      <c r="I14" s="3204"/>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205" t="s">
        <v>1627</v>
      </c>
      <c r="B1" s="3205"/>
      <c r="C1" s="3205"/>
      <c r="D1" s="3205"/>
    </row>
    <row r="2" spans="1:4" ht="18">
      <c r="A2" s="3206" t="s">
        <v>1611</v>
      </c>
      <c r="B2" s="3206"/>
      <c r="C2" s="3206"/>
      <c r="D2" s="3206"/>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206" t="s">
        <v>1617</v>
      </c>
      <c r="B6" s="3206"/>
      <c r="C6" s="3206"/>
      <c r="D6" s="3206"/>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207" t="s">
        <v>1620</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（1）根据估价对象《房屋所有权证》复印件、《国有土地使用权》复印件，截至价值时点，估价对象抵押权未见登记。</v>
      </c>
      <c r="B15" s="3208"/>
      <c r="C15" s="3208"/>
      <c r="D15" s="3208"/>
    </row>
    <row r="16" spans="1:4" ht="30" customHeight="1">
      <c r="A16" s="3211" t="s">
        <v>1621</v>
      </c>
      <c r="B16" s="3211"/>
      <c r="C16" s="3211"/>
      <c r="D16" s="3211"/>
    </row>
    <row r="17" spans="1:4" ht="144" customHeight="1">
      <c r="A17" s="3211" t="s">
        <v>1622</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1623</v>
      </c>
      <c r="B22" s="3213"/>
      <c r="C22" s="3213"/>
      <c r="D22" s="321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19" t="s">
        <v>1634</v>
      </c>
      <c r="B15" s="3214" t="s">
        <v>136</v>
      </c>
      <c r="C15" s="3215"/>
    </row>
    <row r="16" spans="1:7" ht="13.5">
      <c r="A16" s="3220"/>
      <c r="B16" s="3214" t="s">
        <v>69</v>
      </c>
      <c r="C16" s="3215"/>
    </row>
    <row r="17" spans="1:3" ht="13.5">
      <c r="A17" s="3220"/>
      <c r="B17" s="3217" t="s">
        <v>1635</v>
      </c>
      <c r="C17" s="1716" t="s">
        <v>1634</v>
      </c>
    </row>
    <row r="18" spans="1:3" ht="13.5">
      <c r="A18" s="3220"/>
      <c r="B18" s="3217"/>
      <c r="C18" s="1716" t="s">
        <v>1636</v>
      </c>
    </row>
    <row r="19" spans="1:3" ht="13.5">
      <c r="A19" s="3220"/>
      <c r="B19" s="3217"/>
      <c r="C19" s="1716" t="s">
        <v>1637</v>
      </c>
    </row>
    <row r="20" spans="1:3" ht="13.5">
      <c r="A20" s="3221"/>
      <c r="B20" s="3216" t="s">
        <v>1638</v>
      </c>
      <c r="C20" s="3215"/>
    </row>
    <row r="21" spans="1:3" ht="13.5">
      <c r="A21" s="1717" t="s">
        <v>1639</v>
      </c>
      <c r="B21" s="1718"/>
      <c r="C21" s="1719"/>
    </row>
    <row r="22" spans="1:3" ht="13.5">
      <c r="A22" s="3218" t="s">
        <v>1640</v>
      </c>
      <c r="B22" s="3216" t="s">
        <v>1641</v>
      </c>
      <c r="C22" s="3215"/>
    </row>
    <row r="23" spans="1:3" ht="13.5">
      <c r="A23" s="3218"/>
      <c r="B23" s="3216" t="s">
        <v>1642</v>
      </c>
      <c r="C23" s="3215"/>
    </row>
    <row r="24" spans="1:3" ht="13.5">
      <c r="A24" s="3218"/>
      <c r="B24" s="3216" t="s">
        <v>1643</v>
      </c>
      <c r="C24" s="3215"/>
    </row>
    <row r="25" spans="1:3" ht="13.5">
      <c r="A25" s="3218"/>
      <c r="B25" s="3217" t="s">
        <v>1644</v>
      </c>
      <c r="C25" s="1716" t="s">
        <v>1645</v>
      </c>
    </row>
    <row r="26" spans="1:3" ht="13.5">
      <c r="A26" s="3218"/>
      <c r="B26" s="3217"/>
      <c r="C26" s="1716" t="s">
        <v>1646</v>
      </c>
    </row>
    <row r="27" spans="1:3" ht="13.5">
      <c r="A27" s="3218"/>
      <c r="B27" s="3217"/>
      <c r="C27" s="1716" t="s">
        <v>1647</v>
      </c>
    </row>
    <row r="28" spans="1:3" ht="13.5">
      <c r="A28" s="3218"/>
      <c r="B28" s="3217"/>
      <c r="C28" s="1716" t="s">
        <v>1648</v>
      </c>
    </row>
    <row r="29" spans="1:3" ht="13.5">
      <c r="A29" s="3218"/>
      <c r="B29" s="3217"/>
      <c r="C29" s="1716" t="s">
        <v>1649</v>
      </c>
    </row>
    <row r="30" spans="1:3" ht="13.5">
      <c r="A30" s="3218"/>
      <c r="B30" s="3217"/>
      <c r="C30" s="1716" t="s">
        <v>1650</v>
      </c>
    </row>
    <row r="31" spans="1:3" ht="13.5">
      <c r="A31" s="3218"/>
      <c r="B31" s="3217"/>
      <c r="C31" s="1716" t="s">
        <v>1651</v>
      </c>
    </row>
    <row r="32" spans="1:3" ht="13.5">
      <c r="A32" s="3218"/>
      <c r="B32" s="3217"/>
      <c r="C32" s="1716" t="s">
        <v>1652</v>
      </c>
    </row>
    <row r="33" spans="1:3" ht="13.5">
      <c r="A33" s="3218"/>
      <c r="B33" s="3217"/>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2841</v>
      </c>
      <c r="B2" s="2558">
        <f ca="1">TODAY()</f>
        <v>44456</v>
      </c>
      <c r="C2" s="2559" t="s">
        <v>2842</v>
      </c>
      <c r="D2" s="2559"/>
      <c r="E2" s="2559"/>
      <c r="F2" s="2555"/>
      <c r="G2" s="2555"/>
      <c r="H2" s="2555"/>
    </row>
    <row r="3" spans="1:8" ht="24" customHeight="1">
      <c r="A3" s="2560" t="s">
        <v>2843</v>
      </c>
      <c r="B3" s="2561" t="s">
        <v>2844</v>
      </c>
      <c r="C3" s="2561" t="s">
        <v>2845</v>
      </c>
      <c r="D3" s="2562" t="s">
        <v>2846</v>
      </c>
      <c r="E3" s="2563" t="s">
        <v>2847</v>
      </c>
      <c r="F3" s="1471" t="s">
        <v>2848</v>
      </c>
      <c r="G3" s="2561" t="s">
        <v>2845</v>
      </c>
      <c r="H3" s="2562" t="s">
        <v>2849</v>
      </c>
    </row>
    <row r="4" spans="1:8" ht="24" customHeight="1">
      <c r="A4" s="1471" t="s">
        <v>2850</v>
      </c>
      <c r="B4" s="1471">
        <f ca="1">IF(C4&lt;B2,"已过期",1119970066)</f>
        <v>1119970066</v>
      </c>
      <c r="C4" s="2564">
        <v>44876</v>
      </c>
      <c r="D4" s="2565" t="str">
        <f ca="1">A4&amp;"（注册号："&amp;B4&amp;"）"</f>
        <v>梁津（注册号：1119970066）</v>
      </c>
      <c r="E4" s="2566" t="s">
        <v>2850</v>
      </c>
      <c r="F4" s="1471">
        <f ca="1">IF(G4&lt;B2,"已过期",96010014)</f>
        <v>96010014</v>
      </c>
      <c r="G4" s="2567">
        <v>47118</v>
      </c>
      <c r="H4" s="2568" t="str">
        <f ca="1">E4&amp;"（注册号："&amp;F4&amp;"）"</f>
        <v>梁津（注册号：96010014）</v>
      </c>
    </row>
    <row r="5" spans="1:8" ht="24" customHeight="1">
      <c r="A5" s="1471" t="s">
        <v>2851</v>
      </c>
      <c r="B5" s="1471">
        <f ca="1">IF(C5&lt;B2,"已过期",1119970111)</f>
        <v>1119970111</v>
      </c>
      <c r="C5" s="2564">
        <v>44876</v>
      </c>
      <c r="D5" s="2565" t="str">
        <f t="shared" ref="D5:D15" ca="1" si="0">A5&amp;"（注册号："&amp;B5&amp;"）"</f>
        <v>叶凌（注册号：1119970111）</v>
      </c>
      <c r="E5" s="2566" t="s">
        <v>2851</v>
      </c>
      <c r="F5" s="1471">
        <f ca="1">IF(G5&lt;B2,"已过期",94010078)</f>
        <v>94010078</v>
      </c>
      <c r="G5" s="2567">
        <v>46387</v>
      </c>
      <c r="H5" s="2568" t="str">
        <f t="shared" ref="H5:H16" ca="1" si="1">E5&amp;"（注册号："&amp;F5&amp;"）"</f>
        <v>叶凌（注册号：94010078）</v>
      </c>
    </row>
    <row r="6" spans="1:8" ht="24" customHeight="1">
      <c r="A6" s="1471" t="s">
        <v>2852</v>
      </c>
      <c r="B6" s="1471" t="str">
        <f ca="1">IF(C6&lt;B2,"已过期",1120050019)</f>
        <v>已过期</v>
      </c>
      <c r="C6" s="2564">
        <v>44395</v>
      </c>
      <c r="D6" s="2565" t="str">
        <f t="shared" ca="1" si="0"/>
        <v>王鹏（注册号：已过期）</v>
      </c>
      <c r="E6" s="2566" t="s">
        <v>2852</v>
      </c>
      <c r="F6" s="1471">
        <f ca="1">IF(G6&lt;B2,"已过期",2002110030)</f>
        <v>2002110030</v>
      </c>
      <c r="G6" s="2567">
        <v>46387</v>
      </c>
      <c r="H6" s="2568" t="str">
        <f t="shared" ca="1" si="1"/>
        <v>王鹏（注册号：2002110030）</v>
      </c>
    </row>
    <row r="7" spans="1:8" ht="24" customHeight="1">
      <c r="A7" s="1471" t="s">
        <v>2853</v>
      </c>
      <c r="B7" s="1471">
        <f ca="1">IF(C7&lt;B2,"已过期",1120000080)</f>
        <v>1120000080</v>
      </c>
      <c r="C7" s="2564">
        <v>44876</v>
      </c>
      <c r="D7" s="2565" t="str">
        <f t="shared" ca="1" si="0"/>
        <v>欧红伟（注册号：1120000080）</v>
      </c>
      <c r="E7" s="2566" t="s">
        <v>2853</v>
      </c>
      <c r="F7" s="1471">
        <f ca="1">IF(G7&lt;B2,"已过期",2000110082)</f>
        <v>2000110082</v>
      </c>
      <c r="G7" s="2567">
        <v>46387</v>
      </c>
      <c r="H7" s="2568" t="str">
        <f t="shared" ca="1" si="1"/>
        <v>欧红伟（注册号：2000110082）</v>
      </c>
    </row>
    <row r="8" spans="1:8" ht="24" customHeight="1">
      <c r="A8" s="1471" t="s">
        <v>2854</v>
      </c>
      <c r="B8" s="1471">
        <f ca="1">IF(C8&lt;B2,"已过期",1419970001)</f>
        <v>1419970001</v>
      </c>
      <c r="C8" s="2564">
        <v>44899</v>
      </c>
      <c r="D8" s="2565" t="str">
        <f t="shared" ca="1" si="0"/>
        <v>吴薇（注册号：1419970001）</v>
      </c>
      <c r="E8" s="2566" t="s">
        <v>2854</v>
      </c>
      <c r="F8" s="1471">
        <f ca="1">IF(G8&lt;B2,"已过期",2002110125)</f>
        <v>2002110125</v>
      </c>
      <c r="G8" s="2567">
        <v>47118</v>
      </c>
      <c r="H8" s="2568" t="str">
        <f t="shared" ca="1" si="1"/>
        <v>吴薇（注册号：2002110125）</v>
      </c>
    </row>
    <row r="9" spans="1:8" ht="24" customHeight="1">
      <c r="A9" s="1471" t="s">
        <v>2855</v>
      </c>
      <c r="B9" s="1471">
        <f ca="1">IF(C9&lt;B2,"已过期",1120060040)</f>
        <v>1120060040</v>
      </c>
      <c r="C9" s="2569">
        <v>44554</v>
      </c>
      <c r="D9" s="2565" t="str">
        <f t="shared" ca="1" si="0"/>
        <v>陈颖（注册号：1120060040）</v>
      </c>
      <c r="E9" s="2566" t="s">
        <v>2855</v>
      </c>
      <c r="F9" s="1471">
        <f ca="1">IF(G9&lt;B2,"已过期",2004110096)</f>
        <v>2004110096</v>
      </c>
      <c r="G9" s="2567">
        <v>47118</v>
      </c>
      <c r="H9" s="2568" t="str">
        <f t="shared" ca="1" si="1"/>
        <v>陈颖（注册号：2004110096）</v>
      </c>
    </row>
    <row r="10" spans="1:8" ht="24" customHeight="1">
      <c r="A10" s="1471" t="s">
        <v>2856</v>
      </c>
      <c r="B10" s="1471">
        <f ca="1">IF(C10&lt;B2,"已过期",1120100036)</f>
        <v>1120100036</v>
      </c>
      <c r="C10" s="2569">
        <v>44675</v>
      </c>
      <c r="D10" s="2565" t="str">
        <f t="shared" ca="1" si="0"/>
        <v>崔锴（注册号：1120100036）</v>
      </c>
      <c r="E10" s="2566" t="s">
        <v>2856</v>
      </c>
      <c r="F10" s="1471">
        <f ca="1">IF(G10&lt;B2,"已过期",2010110070)</f>
        <v>2010110070</v>
      </c>
      <c r="G10" s="2567">
        <v>47907</v>
      </c>
      <c r="H10" s="2568" t="str">
        <f t="shared" ca="1" si="1"/>
        <v>崔锴（注册号：2010110070）</v>
      </c>
    </row>
    <row r="11" spans="1:8" ht="24" customHeight="1">
      <c r="A11" s="1471" t="s">
        <v>2857</v>
      </c>
      <c r="B11" s="1471">
        <f ca="1">IF(C11&lt;B2,"已过期",1120070131)</f>
        <v>1120070131</v>
      </c>
      <c r="C11" s="2564">
        <v>44849</v>
      </c>
      <c r="D11" s="2565" t="str">
        <f t="shared" ca="1" si="0"/>
        <v>郑燚（注册号：1120070131）</v>
      </c>
      <c r="E11" s="2566" t="s">
        <v>2857</v>
      </c>
      <c r="F11" s="1471">
        <f ca="1">IF(G11&lt;B2,"已过期",2014110011)</f>
        <v>2014110011</v>
      </c>
      <c r="G11" s="2567">
        <v>49302</v>
      </c>
      <c r="H11" s="2568" t="str">
        <f t="shared" ca="1" si="1"/>
        <v>郑燚（注册号：2014110011）</v>
      </c>
    </row>
    <row r="12" spans="1:8" ht="24" customHeight="1">
      <c r="A12" s="1471" t="s">
        <v>2858</v>
      </c>
      <c r="B12" s="1471">
        <f ca="1">IF(C12&lt;B2,"已过期",1120040230)</f>
        <v>1120040230</v>
      </c>
      <c r="C12" s="2569">
        <v>44864</v>
      </c>
      <c r="D12" s="2565" t="str">
        <f t="shared" ca="1" si="0"/>
        <v>苏海（注册号：1120040230）</v>
      </c>
      <c r="E12" s="2566" t="s">
        <v>2858</v>
      </c>
      <c r="F12" s="1471">
        <f ca="1">IF(G12&lt;B2,"已过期",98030020)</f>
        <v>98030020</v>
      </c>
      <c r="G12" s="2567">
        <v>47118</v>
      </c>
      <c r="H12" s="2568" t="str">
        <f t="shared" ca="1" si="1"/>
        <v>苏海（注册号：98030020）</v>
      </c>
    </row>
    <row r="13" spans="1:8" ht="24" customHeight="1">
      <c r="A13" s="1471" t="s">
        <v>2859</v>
      </c>
      <c r="B13" s="1471" t="str">
        <f ca="1">IF(C13&lt;B2,"已过期",1120020033)</f>
        <v>已过期</v>
      </c>
      <c r="C13" s="2564">
        <v>44339</v>
      </c>
      <c r="D13" s="2565" t="str">
        <f t="shared" ca="1" si="0"/>
        <v>刘敬东（注册号：已过期）</v>
      </c>
      <c r="E13" s="2566" t="s">
        <v>2859</v>
      </c>
      <c r="F13" s="1471">
        <f ca="1">IF(G13&lt;B2,"已过期",2000110137)</f>
        <v>2000110137</v>
      </c>
      <c r="G13" s="2567">
        <v>46387</v>
      </c>
      <c r="H13" s="2568" t="str">
        <f t="shared" ca="1" si="1"/>
        <v>刘敬东（注册号：2000110137）</v>
      </c>
    </row>
    <row r="14" spans="1:8" ht="24" customHeight="1">
      <c r="A14" s="1471" t="s">
        <v>2860</v>
      </c>
      <c r="B14" s="1471">
        <f ca="1">IF(C14&lt;B2,"已过期",1119980106)</f>
        <v>1119980106</v>
      </c>
      <c r="C14" s="2569">
        <v>44969</v>
      </c>
      <c r="D14" s="2565" t="str">
        <f t="shared" ca="1" si="0"/>
        <v>刘俊财（注册号：1119980106）</v>
      </c>
      <c r="E14" s="2566" t="s">
        <v>2860</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2861</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222" t="s">
        <v>2862</v>
      </c>
      <c r="B17" s="3222"/>
      <c r="C17" s="3222"/>
      <c r="D17" s="3222"/>
      <c r="E17" s="3222"/>
      <c r="F17" s="3222"/>
      <c r="G17" s="3222"/>
      <c r="H17" s="3222"/>
    </row>
    <row r="18" spans="1:8" ht="24" customHeight="1">
      <c r="A18" s="3223" t="s">
        <v>2863</v>
      </c>
      <c r="B18" s="3223"/>
      <c r="C18" s="3223"/>
      <c r="D18" s="2562"/>
      <c r="E18" s="3224" t="s">
        <v>2864</v>
      </c>
      <c r="F18" s="3223"/>
      <c r="G18" s="3223"/>
    </row>
    <row r="19" spans="1:8" s="2573" customFormat="1" ht="24" customHeight="1">
      <c r="A19" s="2572" t="s">
        <v>2865</v>
      </c>
      <c r="B19" s="2561" t="s">
        <v>2866</v>
      </c>
      <c r="C19" s="2561" t="s">
        <v>2845</v>
      </c>
      <c r="D19" s="2562"/>
      <c r="E19" s="2566" t="s">
        <v>2865</v>
      </c>
      <c r="F19" s="2561" t="s">
        <v>2866</v>
      </c>
      <c r="G19" s="2561" t="s">
        <v>2845</v>
      </c>
    </row>
    <row r="20" spans="1:8" s="2573" customFormat="1" ht="24" customHeight="1">
      <c r="A20" s="2574" t="s">
        <v>2867</v>
      </c>
      <c r="B20" s="2574" t="s">
        <v>2868</v>
      </c>
      <c r="C20" s="2567">
        <v>44820</v>
      </c>
      <c r="D20" s="2575"/>
      <c r="E20" s="2576" t="s">
        <v>2869</v>
      </c>
      <c r="F20" s="2574" t="s">
        <v>2870</v>
      </c>
      <c r="G20" s="2577">
        <v>44377</v>
      </c>
    </row>
    <row r="21" spans="1:8" s="2573" customFormat="1" ht="24" customHeight="1">
      <c r="A21" s="2574"/>
      <c r="B21" s="2574"/>
      <c r="C21" s="2578"/>
      <c r="D21" s="2579"/>
      <c r="E21" s="2576" t="s">
        <v>2871</v>
      </c>
      <c r="F21" s="2580" t="s">
        <v>2872</v>
      </c>
      <c r="G21" s="2581">
        <v>44012</v>
      </c>
    </row>
    <row r="22" spans="1:8" ht="24" customHeight="1">
      <c r="C22" s="2582"/>
      <c r="D22" s="2582"/>
      <c r="E22" s="2583"/>
      <c r="F22" s="2584"/>
      <c r="G22" s="2585"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结果表汇总</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2021-09-17T07:52:45Z</dcterms:modified>
</cp:coreProperties>
</file>