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04北保询价-大瓦窑丰泽家园\"/>
    </mc:Choice>
  </mc:AlternateContent>
  <xr:revisionPtr revIDLastSave="0" documentId="13_ncr:1_{7F5B8618-4881-42EE-8EDA-52C81D941156}"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丰泽家园" sheetId="6" r:id="rId2"/>
    <sheet name="丰泽家园周边住宅项目" sheetId="31"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6" i="6" l="1"/>
  <c r="G6" i="6"/>
  <c r="I5" i="6"/>
  <c r="E5" i="6"/>
  <c r="I19" i="6"/>
  <c r="G19" i="6"/>
  <c r="E19" i="6"/>
  <c r="G5" i="6"/>
  <c r="I4" i="6"/>
  <c r="G4" i="6"/>
  <c r="E4" i="6"/>
  <c r="L52" i="31"/>
  <c r="L51" i="31"/>
  <c r="L50" i="31"/>
  <c r="L49" i="31"/>
  <c r="L48" i="31"/>
  <c r="L47" i="31"/>
  <c r="L46" i="31"/>
  <c r="L45" i="31"/>
  <c r="L44" i="31"/>
  <c r="L43" i="31"/>
  <c r="L42" i="31"/>
  <c r="L41" i="31"/>
  <c r="L40" i="31"/>
  <c r="L39" i="31"/>
  <c r="L38" i="31"/>
  <c r="L37" i="31"/>
  <c r="L36" i="31"/>
  <c r="L35" i="31"/>
  <c r="L34" i="31"/>
  <c r="L33" i="31"/>
  <c r="L32" i="31"/>
  <c r="L31" i="31"/>
  <c r="L30" i="31"/>
  <c r="L29" i="31"/>
  <c r="L28" i="31"/>
  <c r="L27" i="31"/>
  <c r="L26" i="31"/>
  <c r="L25" i="31"/>
  <c r="L24" i="31"/>
  <c r="L23" i="31"/>
  <c r="L22" i="31"/>
  <c r="L21" i="31"/>
  <c r="L20" i="31"/>
  <c r="L19" i="31"/>
  <c r="L18" i="31"/>
  <c r="L17" i="31"/>
  <c r="L16" i="31"/>
  <c r="L15" i="31"/>
  <c r="L14" i="31"/>
  <c r="L13" i="31"/>
  <c r="L12" i="31"/>
  <c r="L11" i="31"/>
  <c r="L10" i="31"/>
  <c r="L9" i="31"/>
  <c r="L8" i="31"/>
  <c r="L7" i="31"/>
  <c r="L6" i="31"/>
  <c r="L5" i="31"/>
  <c r="L4" i="31"/>
  <c r="L3" i="31"/>
  <c r="I31" i="6"/>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I28" i="6" l="1"/>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<sst xmlns="http://schemas.openxmlformats.org/spreadsheetml/2006/main" count="478" uniqueCount="213">
  <si>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</si>
  <si>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</si>
  <si>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</si>
  <si>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</si>
  <si>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</si>
  <si>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</si>
  <si>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</si>
  <si>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</si>
  <si>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</si>
  <si>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</si>
  <si>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</si>
  <si>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</si>
  <si>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</si>
  <si>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</si>
  <si>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</si>
  <si>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</si>
  <si>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</si>
  <si>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</si>
  <si>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</si>
  <si>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</si>
  <si>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</si>
  <si>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</si>
  <si>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</si>
  <si>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</si>
  <si>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</si>
  <si>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</si>
  <si>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</si>
  <si>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</si>
  <si>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</si>
  <si>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</si>
  <si>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</si>
  <si>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</si>
  <si>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</si>
  <si>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</si>
  <si>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</si>
  <si>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</si>
  <si>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</si>
  <si>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</si>
  <si>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</si>
  <si>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</si>
  <si>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</si>
  <si>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</si>
  <si>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</si>
  <si>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</si>
  <si>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</si>
  <si>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</si>
  <si>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</si>
  <si>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</si>
  <si>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</si>
  <si>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</si>
  <si>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</si>
  <si>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</si>
  <si>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</si>
  <si>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</si>
  <si>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</si>
  <si>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</si>
  <si>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</si>
  <si>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</si>
  <si>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</si>
  <si>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</si>
  <si>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</si>
  <si>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</si>
  <si>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</si>
  <si>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</si>
  <si>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</si>
  <si>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</si>
  <si>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</si>
  <si>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</si>
  <si>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</si>
  <si>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</si>
  <si>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</si>
  <si>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</si>
  <si>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</si>
  <si>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</si>
  <si>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</si>
  <si>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</si>
  <si>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</si>
  <si>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</si>
  <si>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</si>
  <si>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</si>
  <si>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</si>
  <si>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</si>
  <si>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</si>
  <si>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</si>
  <si>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</si>
  <si>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</si>
  <si>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</si>
  <si>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</si>
  <si>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</si>
  <si>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</si>
  <si>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</si>
  <si>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</si>
  <si>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</si>
  <si>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</si>
  <si>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</si>
  <si>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</si>
  <si>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</si>
  <si>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</si>
  <si>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</si>
  <si>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</si>
  <si>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</si>
  <si>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</si>
  <si>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</si>
  <si>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</si>
  <si>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</si>
  <si>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</si>
  <si>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</si>
  <si>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</si>
  <si>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</si>
  <si>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</si>
  <si>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</si>
  <si>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</si>
  <si>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</si>
  <si>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</si>
  <si>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</si>
  <si>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</si>
  <si>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</si>
  <si>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</si>
  <si>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</si>
  <si>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</si>
  <si>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</si>
  <si>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</si>
  <si>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</si>
  <si>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</si>
  <si>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</si>
  <si>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</si>
  <si>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</si>
  <si>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</si>
  <si>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</si>
  <si>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</si>
  <si>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</si>
  <si>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</si>
  <si>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</si>
  <si>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</si>
  <si>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</si>
  <si>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</si>
  <si>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</si>
  <si>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</si>
  <si>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</si>
  <si>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</si>
  <si>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</si>
  <si>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</si>
  <si>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</si>
  <si>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</si>
  <si>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</si>
  <si>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</si>
  <si>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</si>
  <si>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</si>
  <si>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</si>
  <si>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</si>
  <si>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</si>
  <si>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</si>
  <si>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</si>
  <si>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</si>
  <si>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</si>
  <si>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</si>
  <si>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</si>
  <si>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</si>
  <si>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</si>
  <si>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</si>
  <si>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</si>
  <si>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</si>
  <si>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</si>
  <si>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</si>
  <si>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</si>
  <si>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</si>
  <si>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</si>
  <si>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</si>
  <si>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</si>
  <si>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</si>
  <si>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</si>
  <si>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</si>
  <si>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</si>
  <si>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</si>
  <si>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</si>
  <si>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面积范围</t>
    <phoneticPr fontId="12" type="noConversion"/>
  </si>
  <si>
    <t>租金（元/平方米·月）</t>
    <phoneticPr fontId="12" type="noConversion"/>
  </si>
  <si>
    <t>大瓦窑绿洲家园</t>
    <phoneticPr fontId="12" type="noConversion"/>
  </si>
  <si>
    <t>60-70</t>
    <phoneticPr fontId="12" type="noConversion"/>
  </si>
  <si>
    <t>绿洲家园</t>
    <phoneticPr fontId="12" type="noConversion"/>
  </si>
  <si>
    <t>中筑西府海棠</t>
    <phoneticPr fontId="12" type="noConversion"/>
  </si>
  <si>
    <t>60-80</t>
    <phoneticPr fontId="12" type="noConversion"/>
  </si>
  <si>
    <t>75-85</t>
    <phoneticPr fontId="12" type="noConversion"/>
  </si>
  <si>
    <t>万科紫苑</t>
    <phoneticPr fontId="12" type="noConversion"/>
  </si>
  <si>
    <t>40-60</t>
    <phoneticPr fontId="12" type="noConversion"/>
  </si>
  <si>
    <t>95-105</t>
    <phoneticPr fontId="12" type="noConversion"/>
  </si>
  <si>
    <t>万恒家园</t>
    <phoneticPr fontId="12" type="noConversion"/>
  </si>
  <si>
    <t>90-120</t>
    <phoneticPr fontId="12" type="noConversion"/>
  </si>
  <si>
    <t>65-75</t>
    <phoneticPr fontId="12" type="noConversion"/>
  </si>
  <si>
    <t>福悦四季</t>
    <phoneticPr fontId="12" type="noConversion"/>
  </si>
  <si>
    <t>85-110</t>
    <phoneticPr fontId="12" type="noConversion"/>
  </si>
  <si>
    <t>万科中粮假日风景</t>
    <phoneticPr fontId="12" type="noConversion"/>
  </si>
  <si>
    <t>50-60</t>
    <phoneticPr fontId="12" type="noConversion"/>
  </si>
  <si>
    <t>110-130</t>
    <phoneticPr fontId="12" type="noConversion"/>
  </si>
  <si>
    <t>万和城</t>
    <phoneticPr fontId="12" type="noConversion"/>
  </si>
  <si>
    <t>建邦枫景</t>
    <phoneticPr fontId="12" type="noConversion"/>
  </si>
  <si>
    <t>80-100</t>
    <phoneticPr fontId="12" type="noConversion"/>
  </si>
  <si>
    <t>西府海棠</t>
    <phoneticPr fontId="12" type="noConversion"/>
  </si>
  <si>
    <t>春风雅筑</t>
    <phoneticPr fontId="12" type="noConversion"/>
  </si>
  <si>
    <t>80-90</t>
    <phoneticPr fontId="12" type="noConversion"/>
  </si>
  <si>
    <t>五里店</t>
    <phoneticPr fontId="12" type="noConversion"/>
  </si>
  <si>
    <t>70-80</t>
    <phoneticPr fontId="12" type="noConversion"/>
  </si>
  <si>
    <t>五里店北里</t>
    <phoneticPr fontId="12" type="noConversion"/>
  </si>
  <si>
    <t>60-90</t>
    <phoneticPr fontId="12" type="noConversion"/>
  </si>
  <si>
    <t>和光里</t>
    <phoneticPr fontId="12" type="noConversion"/>
  </si>
  <si>
    <t>彩虹嘉园</t>
    <phoneticPr fontId="12" type="noConversion"/>
  </si>
  <si>
    <t>首创天阅山河</t>
    <phoneticPr fontId="12" type="noConversion"/>
  </si>
  <si>
    <t>五里店北区</t>
    <phoneticPr fontId="12" type="noConversion"/>
  </si>
  <si>
    <t>彩虹家园</t>
    <phoneticPr fontId="12" type="noConversion"/>
  </si>
  <si>
    <t>丰泽家园</t>
    <phoneticPr fontId="2" type="noConversion"/>
  </si>
  <si>
    <t>一般</t>
    <phoneticPr fontId="8" type="noConversion"/>
  </si>
  <si>
    <t>较好</t>
    <phoneticPr fontId="8" type="noConversion"/>
  </si>
  <si>
    <t>一居室</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</si>
</sst>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1"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0" fontId="15" fillId="0" borderId="0" xfId="3" applyFont="1"/>
    <xf numFmtId="0" fontId="20" fillId="0" borderId="0" xfId="3" applyFont="1"/>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D13" sqref="D13"/>
    </sheetView>
  </sheetViews>
  <sheetFormatPr defaultColWidth="14.625" defaultRowHeight="14.25" x14ac:dyDescent="0.2"/>
  <cols>
    <col min="1" max="1" width="24.375" style="1" customWidth="1"/>
    <col min="2" max="16384" width="14.625" style="1"/>
  </cols>
  <sheetData>
    <row r="1" spans="1:9" ht="16.5" x14ac:dyDescent="0.2">
      <c r="A1" s="15" t="s">
        <v>31</v>
      </c>
      <c r="B1" s="16">
        <v>49.56</v>
      </c>
      <c r="C1" s="17"/>
      <c r="D1" s="17"/>
      <c r="E1" s="17"/>
      <c r="F1" s="17"/>
      <c r="G1" s="18"/>
    </row>
    <row r="2" spans="1:9" ht="16.5" x14ac:dyDescent="0.2">
      <c r="A2" s="15" t="s">
        <v>32</v>
      </c>
      <c r="B2" s="15">
        <f>SUM(C14:C23)</f>
        <v>0</v>
      </c>
      <c r="C2" s="17"/>
      <c r="D2" s="17"/>
      <c r="E2" s="17"/>
      <c r="F2" s="17"/>
      <c r="G2" s="18"/>
    </row>
    <row r="3" spans="1:9" ht="33" x14ac:dyDescent="0.2">
      <c r="A3" s="15" t="s">
        <v>33</v>
      </c>
      <c r="B3" s="19" t="s">
        <v>59</v>
      </c>
      <c r="C3" s="17"/>
      <c r="D3" s="17"/>
      <c r="E3" s="17"/>
      <c r="F3" s="17"/>
      <c r="G3" s="18"/>
    </row>
    <row r="4" spans="1:9" ht="33" x14ac:dyDescent="0.2">
      <c r="A4" s="15" t="s">
        <v>34</v>
      </c>
      <c r="B4" s="15" t="s">
        <v>35</v>
      </c>
      <c r="C4" s="15" t="s">
        <v>36</v>
      </c>
      <c r="D4" s="15" t="s">
        <v>37</v>
      </c>
      <c r="E4" s="17"/>
      <c r="F4" s="18"/>
      <c r="G4" s="18"/>
    </row>
    <row r="5" spans="1:9" ht="16.5" x14ac:dyDescent="0.2">
      <c r="A5" s="15" t="s">
        <v>60</v>
      </c>
      <c r="B5" s="15">
        <f>SUM(D14:D23)</f>
        <v>223.02</v>
      </c>
      <c r="C5" s="15">
        <f>ROUND(B5*10000/$B$1,0)</f>
        <v>45000</v>
      </c>
      <c r="D5" s="15" t="e">
        <f>ROUND(B5*10000/$B$2,0)</f>
        <v>#DIV/0!</v>
      </c>
      <c r="E5" s="17"/>
      <c r="F5" s="18"/>
      <c r="G5" s="18"/>
    </row>
    <row r="6" spans="1:9" ht="16.5" x14ac:dyDescent="0.2">
      <c r="A6" s="15" t="s">
        <v>38</v>
      </c>
      <c r="B6" s="15">
        <f>SUM(D14:D23)</f>
        <v>223.02</v>
      </c>
      <c r="C6" s="15">
        <f>ROUND(B6*10000/$B$1,0)</f>
        <v>45000</v>
      </c>
      <c r="D6" s="15" t="e">
        <f>#N/A</f>
        <v>#N/A</v>
      </c>
      <c r="E6" s="17"/>
      <c r="F6" s="18"/>
      <c r="G6" s="18"/>
    </row>
    <row r="7" spans="1:9" ht="16.5" x14ac:dyDescent="0.2">
      <c r="A7" s="15" t="s">
        <v>39</v>
      </c>
      <c r="B7" s="15">
        <f>B5</f>
        <v>223.02</v>
      </c>
      <c r="C7" s="15" t="e">
        <f>#N/A</f>
        <v>#N/A</v>
      </c>
      <c r="D7" s="15" t="e">
        <f>#N/A</f>
        <v>#N/A</v>
      </c>
      <c r="E7" s="17"/>
      <c r="F7" s="18"/>
      <c r="G7" s="18"/>
    </row>
    <row r="8" spans="1:9" ht="16.5" x14ac:dyDescent="0.2">
      <c r="A8" s="15" t="s">
        <v>40</v>
      </c>
      <c r="B8" s="15">
        <f>B5</f>
        <v>223.02</v>
      </c>
      <c r="C8" s="15" t="e">
        <f>#N/A</f>
        <v>#N/A</v>
      </c>
      <c r="D8" s="15" t="e">
        <f>#N/A</f>
        <v>#N/A</v>
      </c>
      <c r="E8" s="17"/>
      <c r="F8" s="18"/>
      <c r="G8" s="18"/>
    </row>
    <row r="9" spans="1:9" ht="16.5" x14ac:dyDescent="0.2">
      <c r="A9" s="15" t="s">
        <v>41</v>
      </c>
      <c r="B9" s="20">
        <f>B5</f>
        <v>223.02</v>
      </c>
      <c r="C9" s="17"/>
      <c r="D9" s="17"/>
      <c r="E9" s="17"/>
      <c r="F9" s="18"/>
      <c r="G9" s="18"/>
    </row>
    <row r="10" spans="1:9" ht="16.5" x14ac:dyDescent="0.2">
      <c r="A10" s="15" t="s">
        <v>42</v>
      </c>
      <c r="B10" s="20">
        <f>B5</f>
        <v>223.02</v>
      </c>
      <c r="C10" s="17"/>
      <c r="D10" s="17"/>
      <c r="E10" s="17"/>
      <c r="F10" s="18"/>
      <c r="G10" s="18"/>
    </row>
    <row r="11" spans="1:9" ht="16.5" x14ac:dyDescent="0.2">
      <c r="A11" s="15" t="s">
        <v>43</v>
      </c>
      <c r="B11" s="20">
        <f>B5</f>
        <v>223.02</v>
      </c>
      <c r="C11" s="17"/>
      <c r="D11" s="17"/>
      <c r="E11" s="17"/>
      <c r="F11" s="18"/>
      <c r="G11" s="18"/>
    </row>
    <row r="12" spans="1:9" ht="16.5" x14ac:dyDescent="0.2">
      <c r="A12" s="17"/>
      <c r="B12" s="17"/>
      <c r="C12" s="17"/>
      <c r="D12" s="17"/>
      <c r="E12" s="17"/>
      <c r="F12" s="18"/>
      <c r="G12" s="18"/>
    </row>
    <row r="13" spans="1:9" ht="33" x14ac:dyDescent="0.2">
      <c r="A13" s="21" t="s">
        <v>44</v>
      </c>
      <c r="B13" s="22" t="s">
        <v>31</v>
      </c>
      <c r="C13" s="22" t="s">
        <v>32</v>
      </c>
      <c r="D13" s="22" t="s">
        <v>45</v>
      </c>
      <c r="E13" s="15" t="s">
        <v>36</v>
      </c>
      <c r="F13" s="15" t="s">
        <v>37</v>
      </c>
      <c r="G13" s="22" t="s">
        <v>46</v>
      </c>
      <c r="H13" s="22" t="s">
        <v>47</v>
      </c>
      <c r="I13" s="22" t="s">
        <v>48</v>
      </c>
    </row>
    <row r="14" spans="1:9" ht="16.5" x14ac:dyDescent="0.2">
      <c r="A14" s="23" t="s">
        <v>49</v>
      </c>
      <c r="B14" s="22">
        <f>B1</f>
        <v>49.56</v>
      </c>
      <c r="C14" s="22">
        <v>0</v>
      </c>
      <c r="D14" s="22">
        <f>B14*E14/10000</f>
        <v>223.02</v>
      </c>
      <c r="E14" s="22">
        <v>45000</v>
      </c>
      <c r="F14" s="22" t="e">
        <f>ROUND(D14*10000/C14,0)</f>
        <v>#DIV/0!</v>
      </c>
      <c r="G14" s="22">
        <v>0</v>
      </c>
      <c r="H14" s="22">
        <v>0</v>
      </c>
      <c r="I14" s="22">
        <v>0</v>
      </c>
    </row>
    <row r="15" spans="1:9" ht="16.5" x14ac:dyDescent="0.2">
      <c r="A15" s="24" t="s">
        <v>50</v>
      </c>
      <c r="B15" s="25"/>
      <c r="C15" s="25"/>
      <c r="D15" s="25"/>
      <c r="E15" s="22" t="e">
        <f t="shared" ref="E15:E23" si="0">ROUND(D15*10000/B15,0)</f>
        <v>#DIV/0!</v>
      </c>
      <c r="F15" s="22" t="e">
        <f t="shared" ref="F15:F23" si="1">ROUND(D15*10000/C15,0)</f>
        <v>#DIV/0!</v>
      </c>
      <c r="G15" s="26"/>
      <c r="H15" s="26"/>
      <c r="I15" s="25"/>
    </row>
    <row r="16" spans="1:9" ht="16.5" x14ac:dyDescent="0.2">
      <c r="A16" s="24" t="s">
        <v>51</v>
      </c>
      <c r="B16" s="25"/>
      <c r="C16" s="25"/>
      <c r="D16" s="25"/>
      <c r="E16" s="22" t="e">
        <f t="shared" si="0"/>
        <v>#DIV/0!</v>
      </c>
      <c r="F16" s="22" t="e">
        <f t="shared" si="1"/>
        <v>#DIV/0!</v>
      </c>
      <c r="G16" s="26"/>
      <c r="H16" s="26"/>
      <c r="I16" s="25"/>
    </row>
    <row r="17" spans="1:9" ht="16.5" x14ac:dyDescent="0.2">
      <c r="A17" s="24" t="s">
        <v>52</v>
      </c>
      <c r="B17" s="25"/>
      <c r="C17" s="25"/>
      <c r="D17" s="25"/>
      <c r="E17" s="22" t="e">
        <f t="shared" si="0"/>
        <v>#DIV/0!</v>
      </c>
      <c r="F17" s="22" t="e">
        <f t="shared" si="1"/>
        <v>#DIV/0!</v>
      </c>
      <c r="G17" s="26"/>
      <c r="H17" s="26"/>
      <c r="I17" s="25"/>
    </row>
    <row r="18" spans="1:9" ht="16.5" x14ac:dyDescent="0.2">
      <c r="A18" s="24" t="s">
        <v>53</v>
      </c>
      <c r="B18" s="25"/>
      <c r="C18" s="25"/>
      <c r="D18" s="25"/>
      <c r="E18" s="22" t="e">
        <f t="shared" si="0"/>
        <v>#DIV/0!</v>
      </c>
      <c r="F18" s="22" t="e">
        <f t="shared" si="1"/>
        <v>#DIV/0!</v>
      </c>
      <c r="G18" s="25"/>
      <c r="H18" s="25"/>
      <c r="I18" s="25"/>
    </row>
    <row r="19" spans="1:9" ht="16.5" x14ac:dyDescent="0.2">
      <c r="A19" s="24" t="s">
        <v>54</v>
      </c>
      <c r="B19" s="25"/>
      <c r="C19" s="25"/>
      <c r="D19" s="25"/>
      <c r="E19" s="22" t="e">
        <f t="shared" si="0"/>
        <v>#DIV/0!</v>
      </c>
      <c r="F19" s="22" t="e">
        <f t="shared" si="1"/>
        <v>#DIV/0!</v>
      </c>
      <c r="G19" s="25"/>
      <c r="H19" s="25"/>
      <c r="I19" s="25"/>
    </row>
    <row r="20" spans="1:9" ht="16.5" x14ac:dyDescent="0.2">
      <c r="A20" s="24" t="s">
        <v>55</v>
      </c>
      <c r="B20" s="25"/>
      <c r="C20" s="25"/>
      <c r="D20" s="25"/>
      <c r="E20" s="22" t="e">
        <f t="shared" si="0"/>
        <v>#DIV/0!</v>
      </c>
      <c r="F20" s="22" t="e">
        <f t="shared" si="1"/>
        <v>#DIV/0!</v>
      </c>
      <c r="G20" s="25"/>
      <c r="H20" s="25"/>
      <c r="I20" s="25"/>
    </row>
    <row r="21" spans="1:9" ht="16.5" x14ac:dyDescent="0.2">
      <c r="A21" s="24" t="s">
        <v>56</v>
      </c>
      <c r="B21" s="25"/>
      <c r="C21" s="25"/>
      <c r="D21" s="25"/>
      <c r="E21" s="22" t="e">
        <f t="shared" si="0"/>
        <v>#DIV/0!</v>
      </c>
      <c r="F21" s="22" t="e">
        <f t="shared" si="1"/>
        <v>#DIV/0!</v>
      </c>
      <c r="G21" s="25"/>
      <c r="H21" s="25"/>
      <c r="I21" s="25"/>
    </row>
    <row r="22" spans="1:9" ht="16.5" x14ac:dyDescent="0.2">
      <c r="A22" s="24" t="s">
        <v>57</v>
      </c>
      <c r="B22" s="25"/>
      <c r="C22" s="25"/>
      <c r="D22" s="25"/>
      <c r="E22" s="22" t="e">
        <f t="shared" si="0"/>
        <v>#DIV/0!</v>
      </c>
      <c r="F22" s="22" t="e">
        <f t="shared" si="1"/>
        <v>#DIV/0!</v>
      </c>
      <c r="G22" s="25"/>
      <c r="H22" s="25"/>
      <c r="I22" s="25"/>
    </row>
    <row r="23" spans="1:9" ht="16.5" x14ac:dyDescent="0.2">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128</v>
      </c>
      <c r="E2" s="42"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129</v>
      </c>
      <c r="E4" s="30" t="e">
        <f>#REF!</f>
        <v>#REF!</v>
      </c>
      <c r="F4" s="1" t="e">
        <f>ROUND(E4*1.5*12,2)</f>
        <v>#REF!</v>
      </c>
    </row>
    <row r="5" spans="1:8" ht="24.75" x14ac:dyDescent="0.2">
      <c r="A5" s="28">
        <v>2.2000000000000002</v>
      </c>
      <c r="B5" s="27" t="s">
        <v>94</v>
      </c>
      <c r="C5" s="32" t="e">
        <f>ROUND(E5,2)</f>
        <v>#REF!</v>
      </c>
      <c r="D5" s="36" t="s">
        <v>130</v>
      </c>
      <c r="E5" s="31" t="e">
        <f>ROUND(4500*G5*0.1%*E4,2)</f>
        <v>#REF!</v>
      </c>
      <c r="F5" s="38">
        <v>1E-3</v>
      </c>
      <c r="G5" s="41" t="e">
        <f>#REF!</f>
        <v>#REF!</v>
      </c>
    </row>
    <row r="6" spans="1:8" ht="24.75" x14ac:dyDescent="0.2">
      <c r="A6" s="28">
        <v>2.2999999999999998</v>
      </c>
      <c r="B6" s="27" t="s">
        <v>95</v>
      </c>
      <c r="C6" s="28" t="e">
        <f>#REF!</f>
        <v>#REF!</v>
      </c>
      <c r="D6" s="36" t="s">
        <v>131</v>
      </c>
      <c r="E6" s="1" t="s">
        <v>85</v>
      </c>
      <c r="H6" s="33"/>
    </row>
    <row r="7" spans="1:8" x14ac:dyDescent="0.2">
      <c r="A7" s="28">
        <v>3</v>
      </c>
      <c r="B7" s="27" t="s">
        <v>96</v>
      </c>
      <c r="C7" s="28" t="e">
        <f>C8+C9+C10</f>
        <v>#REF!</v>
      </c>
      <c r="D7" s="36" t="s">
        <v>68</v>
      </c>
    </row>
    <row r="8" spans="1:8" ht="24.75" x14ac:dyDescent="0.2">
      <c r="A8" s="28">
        <v>3.1</v>
      </c>
      <c r="B8" s="27" t="s">
        <v>97</v>
      </c>
      <c r="C8" s="28" t="e">
        <f>E8</f>
        <v>#REF!</v>
      </c>
      <c r="D8" s="35" t="s">
        <v>154</v>
      </c>
      <c r="E8" s="1" t="e">
        <f>ROUND(59.83*12*E4*2%,2)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134</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135</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136</v>
      </c>
      <c r="E4" s="30" t="e">
        <f>#REF!</f>
        <v>#REF!</v>
      </c>
      <c r="F4" s="1" t="e">
        <f>ROUND(E4*1.5*12,2)</f>
        <v>#REF!</v>
      </c>
    </row>
    <row r="5" spans="1:8" ht="24.75" x14ac:dyDescent="0.2">
      <c r="A5" s="28">
        <v>2.2000000000000002</v>
      </c>
      <c r="B5" s="27" t="s">
        <v>94</v>
      </c>
      <c r="C5" s="32" t="e">
        <f>ROUND(E5,2)</f>
        <v>#REF!</v>
      </c>
      <c r="D5" s="36" t="s">
        <v>137</v>
      </c>
      <c r="E5" s="31" t="e">
        <f>ROUND(4500*G5*0.1%*E4,2)</f>
        <v>#REF!</v>
      </c>
      <c r="F5" s="38">
        <v>1E-3</v>
      </c>
      <c r="G5" s="41" t="e">
        <f>#REF!</f>
        <v>#REF!</v>
      </c>
    </row>
    <row r="6" spans="1:8" ht="24.75" x14ac:dyDescent="0.2">
      <c r="A6" s="28">
        <v>2.2999999999999998</v>
      </c>
      <c r="B6" s="27" t="s">
        <v>95</v>
      </c>
      <c r="C6" s="28" t="e">
        <f>#REF!</f>
        <v>#REF!</v>
      </c>
      <c r="D6" s="36" t="s">
        <v>138</v>
      </c>
      <c r="E6" s="1" t="s">
        <v>85</v>
      </c>
      <c r="H6" s="33"/>
    </row>
    <row r="7" spans="1:8" x14ac:dyDescent="0.2">
      <c r="A7" s="28">
        <v>3</v>
      </c>
      <c r="B7" s="27" t="s">
        <v>96</v>
      </c>
      <c r="C7" s="28" t="e">
        <f>C8+C9+C10</f>
        <v>#REF!</v>
      </c>
      <c r="D7" s="36" t="s">
        <v>68</v>
      </c>
    </row>
    <row r="8" spans="1:8" ht="24.75" x14ac:dyDescent="0.2">
      <c r="A8" s="28">
        <v>3.1</v>
      </c>
      <c r="B8" s="27" t="s">
        <v>97</v>
      </c>
      <c r="C8" s="28" t="e">
        <f>E8</f>
        <v>#REF!</v>
      </c>
      <c r="D8" s="35" t="s">
        <v>155</v>
      </c>
      <c r="E8" s="1" t="e">
        <f>ROUND(62.69*12*E4*2%,2)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139</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141</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142</v>
      </c>
      <c r="E4" s="30" t="e">
        <f>#REF!</f>
        <v>#REF!</v>
      </c>
      <c r="F4" s="1" t="e">
        <f>ROUND(E4*1.5*12,2)</f>
        <v>#REF!</v>
      </c>
    </row>
    <row r="5" spans="1:8" ht="36.75" x14ac:dyDescent="0.2">
      <c r="A5" s="28">
        <v>2.2000000000000002</v>
      </c>
      <c r="B5" s="27" t="s">
        <v>94</v>
      </c>
      <c r="C5" s="32" t="e">
        <f>ROUND(E5,2)</f>
        <v>#REF!</v>
      </c>
      <c r="D5" s="36" t="s">
        <v>143</v>
      </c>
      <c r="E5" s="31" t="e">
        <f>ROUND(4000*G5*0.1%*E4,2)</f>
        <v>#REF!</v>
      </c>
      <c r="F5" s="38">
        <v>1E-3</v>
      </c>
      <c r="G5" s="41" t="e">
        <f>#REF!</f>
        <v>#REF!</v>
      </c>
    </row>
    <row r="6" spans="1:8" ht="24.75" x14ac:dyDescent="0.2">
      <c r="A6" s="28">
        <v>2.2999999999999998</v>
      </c>
      <c r="B6" s="27" t="s">
        <v>95</v>
      </c>
      <c r="C6" s="28" t="e">
        <f>#REF!</f>
        <v>#REF!</v>
      </c>
      <c r="D6" s="36" t="s">
        <v>144</v>
      </c>
      <c r="E6" s="1" t="s">
        <v>85</v>
      </c>
      <c r="H6" s="33"/>
    </row>
    <row r="7" spans="1:8" x14ac:dyDescent="0.2">
      <c r="A7" s="28">
        <v>3</v>
      </c>
      <c r="B7" s="27" t="s">
        <v>96</v>
      </c>
      <c r="C7" s="28" t="e">
        <f>C8+C9+C10</f>
        <v>#REF!</v>
      </c>
      <c r="D7" s="36" t="s">
        <v>68</v>
      </c>
    </row>
    <row r="8" spans="1:8" ht="24.75" x14ac:dyDescent="0.2">
      <c r="A8" s="28">
        <v>3.1</v>
      </c>
      <c r="B8" s="27" t="s">
        <v>97</v>
      </c>
      <c r="C8" s="28" t="e">
        <f>E8</f>
        <v>#REF!</v>
      </c>
      <c r="D8" s="35" t="s">
        <v>156</v>
      </c>
      <c r="E8" s="1" t="e">
        <f>ROUND(54.76*12*E4*2%,2)</f>
        <v>#REF!</v>
      </c>
    </row>
    <row r="9" spans="1:8" ht="38.25" customHeight="1" x14ac:dyDescent="0.2">
      <c r="A9" s="28">
        <v>3.2</v>
      </c>
      <c r="B9" s="27" t="s">
        <v>98</v>
      </c>
      <c r="C9" s="28">
        <v>0</v>
      </c>
      <c r="D9" s="35" t="s">
        <v>146</v>
      </c>
      <c r="E9" s="1" t="e">
        <f>ROUND(E2*0.7*4.2%*0.9,2)</f>
        <v>#REF!</v>
      </c>
      <c r="F9" s="1">
        <f>4.2%*0.9</f>
        <v>3.78E-2</v>
      </c>
      <c r="G9" s="39" t="s">
        <v>87</v>
      </c>
    </row>
    <row r="10" spans="1:8" ht="57" x14ac:dyDescent="0.2">
      <c r="A10" s="28">
        <v>3.3</v>
      </c>
      <c r="B10" s="27" t="s">
        <v>99</v>
      </c>
      <c r="C10" s="28" t="e">
        <f>ROUND((C2)*3%,2)</f>
        <v>#REF!</v>
      </c>
      <c r="D10" s="35" t="s">
        <v>145</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7" t="s">
        <v>0</v>
      </c>
      <c r="B1" s="27" t="s">
        <v>64</v>
      </c>
      <c r="C1" s="27" t="s">
        <v>65</v>
      </c>
      <c r="D1" s="27" t="s">
        <v>66</v>
      </c>
    </row>
    <row r="2" spans="1:8" ht="135" x14ac:dyDescent="0.2">
      <c r="A2" s="28">
        <v>1</v>
      </c>
      <c r="B2" s="27" t="s">
        <v>72</v>
      </c>
      <c r="C2" s="34" t="e">
        <f>F2</f>
        <v>#REF!</v>
      </c>
      <c r="D2" s="35" t="s">
        <v>105</v>
      </c>
      <c r="E2" s="1" t="e">
        <f>#REF!</f>
        <v>#REF!</v>
      </c>
      <c r="F2" s="14" t="e">
        <f>#REF!</f>
        <v>#REF!</v>
      </c>
    </row>
    <row r="3" spans="1:8" x14ac:dyDescent="0.2">
      <c r="A3" s="28">
        <v>2</v>
      </c>
      <c r="B3" s="27" t="s">
        <v>73</v>
      </c>
      <c r="C3" s="28" t="e">
        <f>C4+C5+C6</f>
        <v>#REF!</v>
      </c>
      <c r="D3" s="36" t="s">
        <v>67</v>
      </c>
    </row>
    <row r="4" spans="1:8" ht="38.25" x14ac:dyDescent="0.2">
      <c r="A4" s="28">
        <v>2.1</v>
      </c>
      <c r="B4" s="27" t="s">
        <v>74</v>
      </c>
      <c r="C4" s="34">
        <f>F4</f>
        <v>75.95</v>
      </c>
      <c r="D4" s="36" t="s">
        <v>83</v>
      </c>
      <c r="E4" s="30">
        <v>42194.79</v>
      </c>
      <c r="F4" s="1">
        <f>ROUND(E4*1.5*12/10000,2)</f>
        <v>75.95</v>
      </c>
    </row>
    <row r="5" spans="1:8" ht="135.75" x14ac:dyDescent="0.2">
      <c r="A5" s="28">
        <v>2.2000000000000002</v>
      </c>
      <c r="B5" s="27" t="s">
        <v>75</v>
      </c>
      <c r="C5" s="32">
        <f>ROUND(E5,2)</f>
        <v>2.4</v>
      </c>
      <c r="D5" s="37" t="s">
        <v>89</v>
      </c>
      <c r="E5" s="31">
        <f>ROUND(24013.73*0.01%,2)</f>
        <v>2.4</v>
      </c>
      <c r="F5" s="38">
        <v>1E-3</v>
      </c>
    </row>
    <row r="6" spans="1:8" ht="24" x14ac:dyDescent="0.2">
      <c r="A6" s="28">
        <v>2.2999999999999998</v>
      </c>
      <c r="B6" s="27" t="s">
        <v>76</v>
      </c>
      <c r="C6" s="28" t="e">
        <f>#REF!</f>
        <v>#REF!</v>
      </c>
      <c r="D6" s="35" t="s">
        <v>82</v>
      </c>
      <c r="E6" s="1" t="s">
        <v>85</v>
      </c>
      <c r="H6" s="33"/>
    </row>
    <row r="7" spans="1:8" x14ac:dyDescent="0.2">
      <c r="A7" s="28">
        <v>3</v>
      </c>
      <c r="B7" s="27" t="s">
        <v>77</v>
      </c>
      <c r="C7" s="28" t="e">
        <f>C8+C9+C10</f>
        <v>#REF!</v>
      </c>
      <c r="D7" s="36" t="s">
        <v>68</v>
      </c>
    </row>
    <row r="8" spans="1:8" ht="24.75" x14ac:dyDescent="0.2">
      <c r="A8" s="28">
        <v>3.1</v>
      </c>
      <c r="B8" s="27" t="s">
        <v>78</v>
      </c>
      <c r="C8" s="28">
        <f>E8</f>
        <v>58.09</v>
      </c>
      <c r="D8" s="35" t="s">
        <v>84</v>
      </c>
      <c r="E8" s="1">
        <f>ROUND(57.36*12*E4*2%/10000,2)</f>
        <v>58.09</v>
      </c>
    </row>
    <row r="9" spans="1:8" ht="57" x14ac:dyDescent="0.2">
      <c r="A9" s="28">
        <v>3.2</v>
      </c>
      <c r="B9" s="27" t="s">
        <v>79</v>
      </c>
      <c r="C9" s="28">
        <v>0</v>
      </c>
      <c r="D9" s="35" t="s">
        <v>90</v>
      </c>
      <c r="E9" s="1" t="e">
        <f>ROUND(E2*0.7*4.2%*0.9,2)</f>
        <v>#REF!</v>
      </c>
      <c r="F9" s="1">
        <f>4.2%*0.9</f>
        <v>3.78E-2</v>
      </c>
      <c r="G9" s="39" t="s">
        <v>87</v>
      </c>
    </row>
    <row r="10" spans="1:8" ht="57" x14ac:dyDescent="0.2">
      <c r="A10" s="28">
        <v>3.3</v>
      </c>
      <c r="B10" s="27" t="s">
        <v>80</v>
      </c>
      <c r="C10" s="28" t="e">
        <f>ROUND((C2)*3%,2)</f>
        <v>#REF!</v>
      </c>
      <c r="D10" s="35" t="s">
        <v>88</v>
      </c>
      <c r="E10" s="39" t="s">
        <v>86</v>
      </c>
    </row>
    <row r="11" spans="1:8" ht="20.25" customHeight="1" x14ac:dyDescent="0.2">
      <c r="A11" s="28">
        <v>4</v>
      </c>
      <c r="B11" s="27" t="s">
        <v>81</v>
      </c>
      <c r="C11" s="34" t="e">
        <f>C2+C3+C7</f>
        <v>#REF!</v>
      </c>
      <c r="D11" s="29" t="s">
        <v>69</v>
      </c>
    </row>
    <row r="12" spans="1:8" ht="25.5" x14ac:dyDescent="0.2">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3" zoomScaleSheetLayoutView="100" workbookViewId="0">
      <selection activeCell="C11" sqref="C11"/>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5" t="s">
        <v>28</v>
      </c>
      <c r="B1" s="65"/>
      <c r="C1" s="65"/>
      <c r="D1" s="65"/>
      <c r="E1" s="65"/>
      <c r="F1" s="65"/>
      <c r="G1" s="65"/>
      <c r="H1" s="65"/>
    </row>
    <row r="2" spans="1:11" x14ac:dyDescent="0.15">
      <c r="A2" s="13"/>
      <c r="B2" s="13"/>
      <c r="C2" s="13"/>
      <c r="D2" s="13"/>
      <c r="E2" s="13"/>
      <c r="F2" s="13"/>
      <c r="G2" s="13"/>
      <c r="H2" s="13"/>
      <c r="I2" s="13"/>
      <c r="J2" s="13"/>
    </row>
    <row r="3" spans="1:11" x14ac:dyDescent="0.2">
      <c r="A3" s="61" t="s">
        <v>27</v>
      </c>
      <c r="B3" s="60"/>
      <c r="C3" s="57" t="s">
        <v>26</v>
      </c>
      <c r="D3" s="57"/>
      <c r="E3" s="57" t="s">
        <v>25</v>
      </c>
      <c r="F3" s="57"/>
      <c r="G3" s="57" t="s">
        <v>24</v>
      </c>
      <c r="H3" s="57"/>
      <c r="I3" s="57" t="s">
        <v>23</v>
      </c>
      <c r="J3" s="57"/>
    </row>
    <row r="4" spans="1:11" x14ac:dyDescent="0.2">
      <c r="A4" s="57" t="s">
        <v>22</v>
      </c>
      <c r="B4" s="57"/>
      <c r="C4" s="64" t="s">
        <v>209</v>
      </c>
      <c r="D4" s="60"/>
      <c r="E4" s="59" t="str">
        <f>丰泽家园周边住宅项目!I15</f>
        <v>万科紫苑</v>
      </c>
      <c r="F4" s="60"/>
      <c r="G4" s="59" t="str">
        <f>丰泽家园周边住宅项目!I25</f>
        <v>福悦四季</v>
      </c>
      <c r="H4" s="60"/>
      <c r="I4" s="59" t="str">
        <f>丰泽家园周边住宅项目!I34</f>
        <v>建邦枫景</v>
      </c>
      <c r="J4" s="60"/>
    </row>
    <row r="5" spans="1:11" ht="30" customHeight="1" x14ac:dyDescent="0.2">
      <c r="A5" s="57" t="s">
        <v>21</v>
      </c>
      <c r="B5" s="57"/>
      <c r="C5" s="61" t="s">
        <v>20</v>
      </c>
      <c r="D5" s="60"/>
      <c r="E5" s="62">
        <f>丰泽家园周边住宅项目!L15</f>
        <v>83.276595744680847</v>
      </c>
      <c r="F5" s="63"/>
      <c r="G5" s="62">
        <f>丰泽家园周边住宅项目!L26</f>
        <v>95.121951219512198</v>
      </c>
      <c r="H5" s="63"/>
      <c r="I5" s="62">
        <f>丰泽家园周边住宅项目!L36</f>
        <v>82.731913395528949</v>
      </c>
      <c r="J5" s="63"/>
    </row>
    <row r="6" spans="1:11" x14ac:dyDescent="0.2">
      <c r="A6" s="57" t="s">
        <v>19</v>
      </c>
      <c r="B6" s="57"/>
      <c r="C6" s="12">
        <v>45379</v>
      </c>
      <c r="D6" s="11">
        <v>100</v>
      </c>
      <c r="E6" s="12">
        <v>45352</v>
      </c>
      <c r="F6" s="11">
        <v>100</v>
      </c>
      <c r="G6" s="12">
        <f>E6</f>
        <v>45352</v>
      </c>
      <c r="H6" s="11">
        <v>100</v>
      </c>
      <c r="I6" s="12">
        <f>G6</f>
        <v>45352</v>
      </c>
      <c r="J6" s="11">
        <v>100</v>
      </c>
    </row>
    <row r="7" spans="1:11" x14ac:dyDescent="0.2">
      <c r="A7" s="57" t="s">
        <v>18</v>
      </c>
      <c r="B7" s="57"/>
      <c r="C7" s="8" t="s">
        <v>17</v>
      </c>
      <c r="D7" s="8">
        <v>100</v>
      </c>
      <c r="E7" s="8" t="s">
        <v>17</v>
      </c>
      <c r="F7" s="8">
        <v>100</v>
      </c>
      <c r="G7" s="8" t="s">
        <v>17</v>
      </c>
      <c r="H7" s="8">
        <f>IF(G7=C7,100,"请调整")</f>
        <v>100</v>
      </c>
      <c r="I7" s="8" t="s">
        <v>17</v>
      </c>
      <c r="J7" s="8">
        <f>IF(I7=G7,100,"请调整")</f>
        <v>100</v>
      </c>
    </row>
    <row r="8" spans="1:11" ht="24" x14ac:dyDescent="0.2">
      <c r="A8" s="50" t="s">
        <v>16</v>
      </c>
      <c r="B8" s="7" t="s">
        <v>15</v>
      </c>
      <c r="C8" s="7" t="s">
        <v>173</v>
      </c>
      <c r="D8" s="8">
        <v>100</v>
      </c>
      <c r="E8" s="7" t="s">
        <v>173</v>
      </c>
      <c r="F8" s="8">
        <v>100</v>
      </c>
      <c r="G8" s="7" t="s">
        <v>173</v>
      </c>
      <c r="H8" s="8">
        <v>100</v>
      </c>
      <c r="I8" s="7" t="s">
        <v>173</v>
      </c>
      <c r="J8" s="8">
        <v>100</v>
      </c>
      <c r="K8" s="10">
        <v>5</v>
      </c>
    </row>
    <row r="9" spans="1:11" x14ac:dyDescent="0.2">
      <c r="A9" s="51"/>
      <c r="B9" s="7" t="s">
        <v>14</v>
      </c>
      <c r="C9" s="7" t="s">
        <v>211</v>
      </c>
      <c r="D9" s="8">
        <v>100</v>
      </c>
      <c r="E9" s="7" t="s">
        <v>211</v>
      </c>
      <c r="F9" s="8">
        <v>100</v>
      </c>
      <c r="G9" s="7" t="s">
        <v>211</v>
      </c>
      <c r="H9" s="8">
        <v>100</v>
      </c>
      <c r="I9" s="7" t="s">
        <v>211</v>
      </c>
      <c r="J9" s="8">
        <v>100</v>
      </c>
      <c r="K9" s="10">
        <v>1</v>
      </c>
    </row>
    <row r="10" spans="1:11" x14ac:dyDescent="0.2">
      <c r="A10" s="51"/>
      <c r="B10" s="7" t="s">
        <v>13</v>
      </c>
      <c r="C10" s="7" t="s">
        <v>211</v>
      </c>
      <c r="D10" s="8">
        <v>100</v>
      </c>
      <c r="E10" s="7" t="s">
        <v>211</v>
      </c>
      <c r="F10" s="8">
        <v>100</v>
      </c>
      <c r="G10" s="7" t="s">
        <v>211</v>
      </c>
      <c r="H10" s="8">
        <v>100</v>
      </c>
      <c r="I10" s="7" t="s">
        <v>211</v>
      </c>
      <c r="J10" s="8">
        <v>100</v>
      </c>
      <c r="K10" s="9">
        <v>2</v>
      </c>
    </row>
    <row r="11" spans="1:11" x14ac:dyDescent="0.2">
      <c r="A11" s="51"/>
      <c r="B11" s="7" t="s">
        <v>12</v>
      </c>
      <c r="C11" s="7" t="s">
        <v>210</v>
      </c>
      <c r="D11" s="8">
        <v>100</v>
      </c>
      <c r="E11" s="7" t="s">
        <v>210</v>
      </c>
      <c r="F11" s="8">
        <v>100</v>
      </c>
      <c r="G11" s="7" t="s">
        <v>210</v>
      </c>
      <c r="H11" s="8">
        <v>100</v>
      </c>
      <c r="I11" s="7" t="s">
        <v>211</v>
      </c>
      <c r="J11" s="6">
        <v>102</v>
      </c>
      <c r="K11" s="10">
        <v>2</v>
      </c>
    </row>
    <row r="12" spans="1:11" x14ac:dyDescent="0.2">
      <c r="A12" s="52"/>
      <c r="B12" s="7" t="s">
        <v>11</v>
      </c>
      <c r="C12" s="7" t="s">
        <v>211</v>
      </c>
      <c r="D12" s="8">
        <v>100</v>
      </c>
      <c r="E12" s="7" t="s">
        <v>211</v>
      </c>
      <c r="F12" s="8">
        <v>100</v>
      </c>
      <c r="G12" s="7" t="s">
        <v>211</v>
      </c>
      <c r="H12" s="8">
        <v>100</v>
      </c>
      <c r="I12" s="7" t="s">
        <v>211</v>
      </c>
      <c r="J12" s="8">
        <v>100</v>
      </c>
      <c r="K12" s="5">
        <v>2</v>
      </c>
    </row>
    <row r="13" spans="1:11" ht="24" x14ac:dyDescent="0.2">
      <c r="A13" s="53" t="s">
        <v>10</v>
      </c>
      <c r="B13" s="7" t="s">
        <v>9</v>
      </c>
      <c r="C13" s="7" t="s">
        <v>61</v>
      </c>
      <c r="D13" s="8">
        <v>100</v>
      </c>
      <c r="E13" s="8" t="s">
        <v>8</v>
      </c>
      <c r="F13" s="8">
        <v>100</v>
      </c>
      <c r="G13" s="8" t="s">
        <v>8</v>
      </c>
      <c r="H13" s="8">
        <v>100</v>
      </c>
      <c r="I13" s="8" t="s">
        <v>8</v>
      </c>
      <c r="J13" s="8">
        <v>100</v>
      </c>
      <c r="K13" s="5">
        <v>2</v>
      </c>
    </row>
    <row r="14" spans="1:11" x14ac:dyDescent="0.2">
      <c r="A14" s="54"/>
      <c r="B14" s="7" t="s">
        <v>158</v>
      </c>
      <c r="C14" s="7" t="s">
        <v>157</v>
      </c>
      <c r="D14" s="8">
        <v>100</v>
      </c>
      <c r="E14" s="7" t="s">
        <v>157</v>
      </c>
      <c r="F14" s="8">
        <v>100</v>
      </c>
      <c r="G14" s="7" t="s">
        <v>157</v>
      </c>
      <c r="H14" s="8">
        <v>100</v>
      </c>
      <c r="I14" s="7" t="s">
        <v>157</v>
      </c>
      <c r="J14" s="8">
        <v>100</v>
      </c>
      <c r="K14" s="5">
        <v>1</v>
      </c>
    </row>
    <row r="15" spans="1:11" x14ac:dyDescent="0.2">
      <c r="A15" s="54"/>
      <c r="B15" s="7" t="s">
        <v>7</v>
      </c>
      <c r="C15" s="7" t="s">
        <v>159</v>
      </c>
      <c r="D15" s="8">
        <v>100</v>
      </c>
      <c r="E15" s="7" t="s">
        <v>159</v>
      </c>
      <c r="F15" s="8">
        <v>100</v>
      </c>
      <c r="G15" s="7" t="s">
        <v>159</v>
      </c>
      <c r="H15" s="8">
        <v>100</v>
      </c>
      <c r="I15" s="7" t="s">
        <v>159</v>
      </c>
      <c r="J15" s="8">
        <v>100</v>
      </c>
      <c r="K15" s="44">
        <v>1</v>
      </c>
    </row>
    <row r="16" spans="1:11" x14ac:dyDescent="0.2">
      <c r="A16" s="54"/>
      <c r="B16" s="7" t="s">
        <v>29</v>
      </c>
      <c r="C16" s="7" t="s">
        <v>30</v>
      </c>
      <c r="D16" s="8">
        <v>100</v>
      </c>
      <c r="E16" s="7" t="s">
        <v>30</v>
      </c>
      <c r="F16" s="8">
        <v>100</v>
      </c>
      <c r="G16" s="7" t="s">
        <v>30</v>
      </c>
      <c r="H16" s="8">
        <f t="shared" ref="H16" si="0">F16</f>
        <v>100</v>
      </c>
      <c r="I16" s="7" t="s">
        <v>30</v>
      </c>
      <c r="J16" s="8">
        <f t="shared" ref="J16" si="1">H16</f>
        <v>100</v>
      </c>
      <c r="K16" s="44">
        <v>3</v>
      </c>
    </row>
    <row r="17" spans="1:11" ht="24" x14ac:dyDescent="0.2">
      <c r="A17" s="54"/>
      <c r="B17" s="7" t="s">
        <v>174</v>
      </c>
      <c r="C17" s="7" t="s">
        <v>171</v>
      </c>
      <c r="D17" s="8">
        <v>100</v>
      </c>
      <c r="E17" s="7" t="s">
        <v>171</v>
      </c>
      <c r="F17" s="8">
        <v>100</v>
      </c>
      <c r="G17" s="7" t="s">
        <v>171</v>
      </c>
      <c r="H17" s="8">
        <v>100</v>
      </c>
      <c r="I17" s="7" t="s">
        <v>171</v>
      </c>
      <c r="J17" s="8">
        <v>100</v>
      </c>
      <c r="K17" s="44">
        <v>1</v>
      </c>
    </row>
    <row r="18" spans="1:11" x14ac:dyDescent="0.2">
      <c r="A18" s="54"/>
      <c r="B18" s="7" t="s">
        <v>6</v>
      </c>
      <c r="C18" s="7" t="s">
        <v>212</v>
      </c>
      <c r="D18" s="8">
        <v>100</v>
      </c>
      <c r="E18" s="7" t="s">
        <v>212</v>
      </c>
      <c r="F18" s="8">
        <v>100</v>
      </c>
      <c r="G18" s="7" t="s">
        <v>212</v>
      </c>
      <c r="H18" s="8">
        <v>100</v>
      </c>
      <c r="I18" s="7" t="s">
        <v>212</v>
      </c>
      <c r="J18" s="8">
        <v>100</v>
      </c>
      <c r="K18" s="5">
        <v>1</v>
      </c>
    </row>
    <row r="19" spans="1:11" x14ac:dyDescent="0.2">
      <c r="A19" s="54"/>
      <c r="B19" s="7" t="s">
        <v>63</v>
      </c>
      <c r="C19" s="7">
        <v>49.56</v>
      </c>
      <c r="D19" s="8">
        <v>100</v>
      </c>
      <c r="E19" s="7">
        <f>丰泽家园周边住宅项目!J15</f>
        <v>47</v>
      </c>
      <c r="F19" s="8">
        <v>100</v>
      </c>
      <c r="G19" s="7">
        <f>丰泽家园周边住宅项目!J26</f>
        <v>41</v>
      </c>
      <c r="H19" s="8">
        <f>F19</f>
        <v>100</v>
      </c>
      <c r="I19" s="7">
        <f>丰泽家园周边住宅项目!J36</f>
        <v>56.81</v>
      </c>
      <c r="J19" s="8">
        <f>F19</f>
        <v>100</v>
      </c>
      <c r="K19" s="5">
        <v>0.5</v>
      </c>
    </row>
    <row r="20" spans="1:11" x14ac:dyDescent="0.2">
      <c r="A20" s="54"/>
      <c r="B20" s="7" t="s">
        <v>101</v>
      </c>
      <c r="C20" s="48">
        <v>0.8</v>
      </c>
      <c r="D20" s="8">
        <v>100</v>
      </c>
      <c r="E20" s="48">
        <v>0.85</v>
      </c>
      <c r="F20" s="8">
        <v>100</v>
      </c>
      <c r="G20" s="48">
        <v>0.9</v>
      </c>
      <c r="H20" s="8">
        <v>100</v>
      </c>
      <c r="I20" s="48">
        <v>0.88</v>
      </c>
      <c r="J20" s="8">
        <v>100</v>
      </c>
      <c r="K20" s="5"/>
    </row>
    <row r="21" spans="1:11" x14ac:dyDescent="0.2">
      <c r="A21" s="54"/>
      <c r="B21" s="7" t="s">
        <v>5</v>
      </c>
      <c r="C21" s="7" t="s">
        <v>170</v>
      </c>
      <c r="D21" s="8">
        <v>100</v>
      </c>
      <c r="E21" s="7" t="s">
        <v>170</v>
      </c>
      <c r="F21" s="8">
        <v>100</v>
      </c>
      <c r="G21" s="7" t="s">
        <v>170</v>
      </c>
      <c r="H21" s="8">
        <v>100</v>
      </c>
      <c r="I21" s="7" t="s">
        <v>170</v>
      </c>
      <c r="J21" s="8">
        <v>100</v>
      </c>
      <c r="K21" s="5">
        <v>1</v>
      </c>
    </row>
    <row r="22" spans="1:11" ht="36" x14ac:dyDescent="0.2">
      <c r="A22" s="54"/>
      <c r="B22" s="7" t="s">
        <v>172</v>
      </c>
      <c r="C22" s="7" t="s">
        <v>173</v>
      </c>
      <c r="D22" s="8">
        <v>100</v>
      </c>
      <c r="E22" s="7" t="s">
        <v>173</v>
      </c>
      <c r="F22" s="8">
        <v>100</v>
      </c>
      <c r="G22" s="7" t="s">
        <v>173</v>
      </c>
      <c r="H22" s="8">
        <v>100</v>
      </c>
      <c r="I22" s="7" t="s">
        <v>173</v>
      </c>
      <c r="J22" s="8">
        <v>100</v>
      </c>
      <c r="K22" s="5">
        <v>0.2</v>
      </c>
    </row>
    <row r="23" spans="1:11" ht="36" x14ac:dyDescent="0.2">
      <c r="A23" s="54"/>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x14ac:dyDescent="0.2">
      <c r="A24" s="56" t="s">
        <v>3</v>
      </c>
      <c r="B24" s="56"/>
      <c r="C24" s="57" t="s">
        <v>1</v>
      </c>
      <c r="D24" s="57"/>
      <c r="E24" s="55">
        <f>E5</f>
        <v>83.276595744680847</v>
      </c>
      <c r="F24" s="55"/>
      <c r="G24" s="55">
        <f>G5</f>
        <v>95.121951219512198</v>
      </c>
      <c r="H24" s="55"/>
      <c r="I24" s="55">
        <f>I5</f>
        <v>82.731913395528949</v>
      </c>
      <c r="J24" s="55"/>
    </row>
    <row r="25" spans="1:11" x14ac:dyDescent="0.2">
      <c r="A25" s="56" t="s">
        <v>2</v>
      </c>
      <c r="B25" s="56"/>
      <c r="C25" s="57" t="s">
        <v>1</v>
      </c>
      <c r="D25" s="57"/>
      <c r="E25" s="58">
        <f>ROUND(E24*POWER(100,COUNT(F6:F23))/PRODUCT(F6:F23),2)</f>
        <v>83.28</v>
      </c>
      <c r="F25" s="58"/>
      <c r="G25" s="58">
        <f>ROUND(G24*POWER(100,COUNT(H6:H23))/PRODUCT(H6:H23),2)</f>
        <v>95.12</v>
      </c>
      <c r="H25" s="58"/>
      <c r="I25" s="58">
        <f>ROUND(I24*POWER(100,COUNT(J6:J23))/PRODUCT(J6:J23),2)</f>
        <v>81.11</v>
      </c>
      <c r="J25" s="58"/>
    </row>
    <row r="26" spans="1:11" x14ac:dyDescent="0.2">
      <c r="A26" s="49" t="str">
        <f>CONCATENATE("估价对象比较价值=(",TEXT(E25,"G/通用格式"),"+",TEXT(G25,"G/通用格式"),"+",TEXT(I25,"G/通用格式"),")","/",3,"=",ROUND((E25+G25+I25)/3,2))</f>
        <v>估价对象比较价值=(83.28+95.12+81.11)/3=86.5</v>
      </c>
      <c r="B26" s="49"/>
      <c r="C26" s="49"/>
      <c r="D26" s="49"/>
      <c r="E26" s="49"/>
      <c r="F26" s="49"/>
      <c r="G26" s="49"/>
      <c r="H26" s="49"/>
      <c r="I26" s="4"/>
      <c r="J26" s="4"/>
    </row>
    <row r="28" spans="1:11" x14ac:dyDescent="0.2">
      <c r="C28" s="1">
        <f>ROUND((E25+G25+I25)/3,2)</f>
        <v>86.5</v>
      </c>
      <c r="E28" s="1">
        <f>ROUND(E25/E24,4)</f>
        <v>1</v>
      </c>
      <c r="G28" s="1">
        <f>ROUND(G25/G24,4)</f>
        <v>1</v>
      </c>
      <c r="I28" s="1">
        <f>ROUND(I25/I24,4)</f>
        <v>0.98040000000000005</v>
      </c>
    </row>
    <row r="29" spans="1:11" x14ac:dyDescent="0.2">
      <c r="E29" s="45">
        <f>ROUND(PRODUCT($D$6:$D$23)/PRODUCT(F6:F23),4)</f>
        <v>1</v>
      </c>
      <c r="G29" s="45">
        <f>ROUND(PRODUCT($D$6:$D$23)/PRODUCT(H6:H23),4)</f>
        <v>1</v>
      </c>
      <c r="I29" s="45">
        <f>ROUND(PRODUCT($D$6:$D$23)/PRODUCT(J6:J23),4)</f>
        <v>0.98040000000000005</v>
      </c>
    </row>
    <row r="30" spans="1:11" x14ac:dyDescent="0.2">
      <c r="C30" s="1">
        <v>2015</v>
      </c>
      <c r="E30" s="1">
        <v>2015</v>
      </c>
      <c r="G30" s="1">
        <v>2018</v>
      </c>
      <c r="I30" s="1">
        <v>2017</v>
      </c>
    </row>
    <row r="31" spans="1:11" x14ac:dyDescent="0.2">
      <c r="C31" s="3"/>
      <c r="I31" s="1">
        <f>1-(2024-I30)/60</f>
        <v>0.8833333333333333</v>
      </c>
    </row>
    <row r="32" spans="1:11" x14ac:dyDescent="0.2">
      <c r="C32" s="2"/>
      <c r="G32" s="31"/>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15F8-B54E-4D98-865C-D8237A2ED1EB}">
  <dimension ref="D2:L52"/>
  <sheetViews>
    <sheetView workbookViewId="0">
      <selection activeCell="J35" sqref="J35:L35"/>
    </sheetView>
  </sheetViews>
  <sheetFormatPr defaultRowHeight="14.25" x14ac:dyDescent="0.2"/>
  <cols>
    <col min="1" max="3" width="9" style="18"/>
    <col min="4" max="4" width="18.125" style="18" customWidth="1"/>
    <col min="5" max="5" width="12.25" style="18" customWidth="1"/>
    <col min="6" max="6" width="20.875" style="18" customWidth="1"/>
    <col min="7" max="16384" width="9" style="18"/>
  </cols>
  <sheetData>
    <row r="2" spans="4:12" x14ac:dyDescent="0.2">
      <c r="E2" s="18" t="s">
        <v>175</v>
      </c>
      <c r="F2" s="18" t="s">
        <v>176</v>
      </c>
    </row>
    <row r="3" spans="4:12" x14ac:dyDescent="0.2">
      <c r="D3" s="18" t="s">
        <v>177</v>
      </c>
      <c r="E3" s="18" t="s">
        <v>178</v>
      </c>
      <c r="F3" s="18" t="s">
        <v>178</v>
      </c>
      <c r="I3" s="18" t="s">
        <v>179</v>
      </c>
      <c r="J3" s="18">
        <v>66</v>
      </c>
      <c r="K3" s="18">
        <v>4200</v>
      </c>
      <c r="L3" s="18">
        <f>K3/J3</f>
        <v>63.636363636363633</v>
      </c>
    </row>
    <row r="4" spans="4:12" x14ac:dyDescent="0.2">
      <c r="D4" s="18" t="s">
        <v>180</v>
      </c>
      <c r="E4" s="18" t="s">
        <v>181</v>
      </c>
      <c r="F4" s="18" t="s">
        <v>182</v>
      </c>
      <c r="J4" s="18">
        <v>66</v>
      </c>
      <c r="K4" s="18">
        <v>4500</v>
      </c>
      <c r="L4" s="18">
        <f t="shared" ref="L4:L52" si="0">K4/J4</f>
        <v>68.181818181818187</v>
      </c>
    </row>
    <row r="5" spans="4:12" x14ac:dyDescent="0.2">
      <c r="D5" s="46" t="s">
        <v>183</v>
      </c>
      <c r="E5" s="46" t="s">
        <v>184</v>
      </c>
      <c r="F5" s="46" t="s">
        <v>185</v>
      </c>
      <c r="J5" s="18">
        <v>68</v>
      </c>
      <c r="K5" s="18">
        <v>4300</v>
      </c>
      <c r="L5" s="18">
        <f t="shared" si="0"/>
        <v>63.235294117647058</v>
      </c>
    </row>
    <row r="6" spans="4:12" x14ac:dyDescent="0.2">
      <c r="D6" s="18" t="s">
        <v>186</v>
      </c>
      <c r="E6" s="18" t="s">
        <v>187</v>
      </c>
      <c r="F6" s="18" t="s">
        <v>188</v>
      </c>
      <c r="J6" s="18">
        <v>99</v>
      </c>
      <c r="K6" s="18">
        <v>5500</v>
      </c>
      <c r="L6" s="18">
        <f t="shared" si="0"/>
        <v>55.555555555555557</v>
      </c>
    </row>
    <row r="7" spans="4:12" x14ac:dyDescent="0.2">
      <c r="D7" s="46" t="s">
        <v>189</v>
      </c>
      <c r="E7" s="46" t="s">
        <v>184</v>
      </c>
      <c r="F7" s="46" t="s">
        <v>190</v>
      </c>
      <c r="J7" s="18">
        <v>100.72</v>
      </c>
      <c r="K7" s="18">
        <v>5400</v>
      </c>
      <c r="L7" s="18">
        <f t="shared" si="0"/>
        <v>53.613979348689433</v>
      </c>
    </row>
    <row r="8" spans="4:12" x14ac:dyDescent="0.2">
      <c r="D8" s="18" t="s">
        <v>191</v>
      </c>
      <c r="E8" s="18" t="s">
        <v>192</v>
      </c>
      <c r="F8" s="18" t="s">
        <v>193</v>
      </c>
      <c r="I8" s="18" t="s">
        <v>194</v>
      </c>
      <c r="J8" s="18">
        <v>140</v>
      </c>
      <c r="K8" s="18">
        <v>13000</v>
      </c>
      <c r="L8" s="18">
        <f t="shared" si="0"/>
        <v>92.857142857142861</v>
      </c>
    </row>
    <row r="9" spans="4:12" x14ac:dyDescent="0.2">
      <c r="D9" s="46" t="s">
        <v>195</v>
      </c>
      <c r="E9" s="46" t="s">
        <v>192</v>
      </c>
      <c r="F9" s="46" t="s">
        <v>196</v>
      </c>
      <c r="I9" s="18" t="s">
        <v>197</v>
      </c>
      <c r="J9" s="18">
        <v>60</v>
      </c>
      <c r="K9" s="18">
        <v>4500</v>
      </c>
      <c r="L9" s="18">
        <f t="shared" si="0"/>
        <v>75</v>
      </c>
    </row>
    <row r="10" spans="4:12" x14ac:dyDescent="0.2">
      <c r="D10" s="18" t="s">
        <v>198</v>
      </c>
      <c r="E10" s="18" t="s">
        <v>199</v>
      </c>
      <c r="F10" s="18" t="s">
        <v>178</v>
      </c>
      <c r="J10" s="18">
        <v>76.98</v>
      </c>
      <c r="K10" s="18">
        <v>5880</v>
      </c>
      <c r="L10" s="18">
        <f t="shared" si="0"/>
        <v>76.383476227591572</v>
      </c>
    </row>
    <row r="11" spans="4:12" x14ac:dyDescent="0.2">
      <c r="D11" s="18" t="s">
        <v>200</v>
      </c>
      <c r="E11" s="18" t="s">
        <v>192</v>
      </c>
      <c r="F11" s="18" t="s">
        <v>201</v>
      </c>
      <c r="J11" s="18">
        <v>76.989999999999995</v>
      </c>
      <c r="K11" s="18">
        <v>6360</v>
      </c>
      <c r="L11" s="18">
        <f t="shared" si="0"/>
        <v>82.608130926094304</v>
      </c>
    </row>
    <row r="12" spans="4:12" x14ac:dyDescent="0.2">
      <c r="D12" s="18" t="s">
        <v>202</v>
      </c>
      <c r="E12" s="18" t="s">
        <v>203</v>
      </c>
      <c r="F12" s="18" t="s">
        <v>178</v>
      </c>
      <c r="J12" s="18">
        <v>76.989999999999995</v>
      </c>
      <c r="K12" s="18">
        <v>6260</v>
      </c>
      <c r="L12" s="18">
        <f t="shared" si="0"/>
        <v>81.30926094297962</v>
      </c>
    </row>
    <row r="13" spans="4:12" x14ac:dyDescent="0.2">
      <c r="D13" s="18" t="s">
        <v>204</v>
      </c>
      <c r="E13" s="18" t="s">
        <v>203</v>
      </c>
      <c r="F13" s="18" t="s">
        <v>188</v>
      </c>
      <c r="J13" s="18">
        <v>77.2</v>
      </c>
      <c r="K13" s="18">
        <v>6000</v>
      </c>
      <c r="L13" s="18">
        <f t="shared" si="0"/>
        <v>77.720207253886002</v>
      </c>
    </row>
    <row r="14" spans="4:12" x14ac:dyDescent="0.2">
      <c r="D14" s="18" t="s">
        <v>205</v>
      </c>
      <c r="E14" s="18" t="s">
        <v>203</v>
      </c>
      <c r="F14" s="18" t="s">
        <v>182</v>
      </c>
      <c r="I14" s="18" t="s">
        <v>206</v>
      </c>
      <c r="J14" s="18">
        <v>136</v>
      </c>
      <c r="K14" s="18">
        <v>13000</v>
      </c>
      <c r="L14" s="18">
        <f t="shared" si="0"/>
        <v>95.588235294117652</v>
      </c>
    </row>
    <row r="15" spans="4:12" x14ac:dyDescent="0.2">
      <c r="I15" s="46" t="s">
        <v>183</v>
      </c>
      <c r="J15" s="46">
        <v>47</v>
      </c>
      <c r="K15" s="46">
        <v>3914</v>
      </c>
      <c r="L15" s="46">
        <f t="shared" si="0"/>
        <v>83.276595744680847</v>
      </c>
    </row>
    <row r="16" spans="4:12" x14ac:dyDescent="0.2">
      <c r="J16" s="47">
        <v>47</v>
      </c>
      <c r="K16" s="47">
        <v>5000</v>
      </c>
      <c r="L16" s="47">
        <f t="shared" si="0"/>
        <v>106.38297872340425</v>
      </c>
    </row>
    <row r="17" spans="9:12" x14ac:dyDescent="0.2">
      <c r="J17" s="18">
        <v>57</v>
      </c>
      <c r="K17" s="18">
        <v>5500</v>
      </c>
      <c r="L17" s="18">
        <f t="shared" si="0"/>
        <v>96.491228070175438</v>
      </c>
    </row>
    <row r="18" spans="9:12" x14ac:dyDescent="0.2">
      <c r="J18" s="18">
        <v>59.17</v>
      </c>
      <c r="K18" s="18">
        <v>6300</v>
      </c>
      <c r="L18" s="18">
        <f t="shared" si="0"/>
        <v>106.47287476761872</v>
      </c>
    </row>
    <row r="19" spans="9:12" x14ac:dyDescent="0.2">
      <c r="J19" s="18">
        <v>60</v>
      </c>
      <c r="K19" s="18">
        <v>8000</v>
      </c>
      <c r="L19" s="18">
        <f t="shared" si="0"/>
        <v>133.33333333333334</v>
      </c>
    </row>
    <row r="20" spans="9:12" x14ac:dyDescent="0.2">
      <c r="I20" s="18" t="s">
        <v>186</v>
      </c>
      <c r="J20" s="18">
        <v>92</v>
      </c>
      <c r="K20" s="18">
        <v>6500</v>
      </c>
      <c r="L20" s="18">
        <f t="shared" si="0"/>
        <v>70.652173913043484</v>
      </c>
    </row>
    <row r="21" spans="9:12" x14ac:dyDescent="0.2">
      <c r="J21" s="18">
        <v>96</v>
      </c>
      <c r="K21" s="18">
        <v>6600</v>
      </c>
      <c r="L21" s="18">
        <f t="shared" si="0"/>
        <v>68.75</v>
      </c>
    </row>
    <row r="22" spans="9:12" x14ac:dyDescent="0.2">
      <c r="J22" s="18">
        <v>97</v>
      </c>
      <c r="K22" s="18">
        <v>6300</v>
      </c>
      <c r="L22" s="18">
        <f t="shared" si="0"/>
        <v>64.948453608247419</v>
      </c>
    </row>
    <row r="23" spans="9:12" x14ac:dyDescent="0.2">
      <c r="J23" s="18">
        <v>115</v>
      </c>
      <c r="K23" s="18">
        <v>8500</v>
      </c>
      <c r="L23" s="18">
        <f t="shared" si="0"/>
        <v>73.913043478260875</v>
      </c>
    </row>
    <row r="24" spans="9:12" x14ac:dyDescent="0.2">
      <c r="J24" s="18">
        <v>118.63</v>
      </c>
      <c r="K24" s="18">
        <v>8500</v>
      </c>
      <c r="L24" s="18">
        <f t="shared" si="0"/>
        <v>71.651352946135049</v>
      </c>
    </row>
    <row r="25" spans="9:12" x14ac:dyDescent="0.2">
      <c r="I25" s="18" t="s">
        <v>189</v>
      </c>
      <c r="J25" s="18">
        <v>40</v>
      </c>
      <c r="K25" s="18">
        <v>4790</v>
      </c>
      <c r="L25" s="18">
        <f t="shared" si="0"/>
        <v>119.75</v>
      </c>
    </row>
    <row r="26" spans="9:12" x14ac:dyDescent="0.2">
      <c r="J26" s="46">
        <v>41</v>
      </c>
      <c r="K26" s="46">
        <v>3900</v>
      </c>
      <c r="L26" s="46">
        <f t="shared" si="0"/>
        <v>95.121951219512198</v>
      </c>
    </row>
    <row r="27" spans="9:12" x14ac:dyDescent="0.2">
      <c r="J27" s="18">
        <v>55</v>
      </c>
      <c r="K27" s="18">
        <v>4902</v>
      </c>
      <c r="L27" s="18">
        <f t="shared" si="0"/>
        <v>89.127272727272725</v>
      </c>
    </row>
    <row r="28" spans="9:12" x14ac:dyDescent="0.2">
      <c r="J28" s="18">
        <v>55</v>
      </c>
      <c r="K28" s="18">
        <v>4800</v>
      </c>
      <c r="L28" s="18">
        <f t="shared" si="0"/>
        <v>87.272727272727266</v>
      </c>
    </row>
    <row r="29" spans="9:12" x14ac:dyDescent="0.2">
      <c r="J29" s="18">
        <v>75</v>
      </c>
      <c r="K29" s="18">
        <v>5500</v>
      </c>
      <c r="L29" s="18">
        <f t="shared" si="0"/>
        <v>73.333333333333329</v>
      </c>
    </row>
    <row r="30" spans="9:12" x14ac:dyDescent="0.2">
      <c r="I30" s="18" t="s">
        <v>191</v>
      </c>
      <c r="J30" s="18">
        <v>50.94</v>
      </c>
      <c r="K30" s="18">
        <v>6000</v>
      </c>
      <c r="L30" s="18">
        <f t="shared" si="0"/>
        <v>117.78563015312132</v>
      </c>
    </row>
    <row r="31" spans="9:12" x14ac:dyDescent="0.2">
      <c r="J31" s="18">
        <v>51.8</v>
      </c>
      <c r="K31" s="18">
        <v>6800</v>
      </c>
      <c r="L31" s="18">
        <f t="shared" si="0"/>
        <v>131.27413127413129</v>
      </c>
    </row>
    <row r="32" spans="9:12" x14ac:dyDescent="0.2">
      <c r="J32" s="18">
        <v>66.87</v>
      </c>
      <c r="K32" s="18">
        <v>8000</v>
      </c>
      <c r="L32" s="18">
        <f t="shared" si="0"/>
        <v>119.6351129056378</v>
      </c>
    </row>
    <row r="33" spans="9:12" x14ac:dyDescent="0.2">
      <c r="J33" s="18">
        <v>84</v>
      </c>
      <c r="K33" s="18">
        <v>5800</v>
      </c>
      <c r="L33" s="18">
        <f t="shared" si="0"/>
        <v>69.047619047619051</v>
      </c>
    </row>
    <row r="34" spans="9:12" x14ac:dyDescent="0.2">
      <c r="I34" s="18" t="s">
        <v>195</v>
      </c>
      <c r="J34" s="18">
        <v>56.8</v>
      </c>
      <c r="K34" s="18">
        <v>4800</v>
      </c>
      <c r="L34" s="18">
        <f t="shared" si="0"/>
        <v>84.507042253521135</v>
      </c>
    </row>
    <row r="35" spans="9:12" x14ac:dyDescent="0.2">
      <c r="J35" s="47">
        <v>56.8</v>
      </c>
      <c r="K35" s="47">
        <v>5590</v>
      </c>
      <c r="L35" s="47">
        <f t="shared" si="0"/>
        <v>98.41549295774648</v>
      </c>
    </row>
    <row r="36" spans="9:12" x14ac:dyDescent="0.2">
      <c r="J36" s="46">
        <v>56.81</v>
      </c>
      <c r="K36" s="46">
        <v>4700</v>
      </c>
      <c r="L36" s="46">
        <f t="shared" si="0"/>
        <v>82.731913395528949</v>
      </c>
    </row>
    <row r="37" spans="9:12" x14ac:dyDescent="0.2">
      <c r="J37" s="18">
        <v>57.35</v>
      </c>
      <c r="K37" s="18">
        <v>5860</v>
      </c>
      <c r="L37" s="18">
        <f t="shared" si="0"/>
        <v>102.17959895379251</v>
      </c>
    </row>
    <row r="38" spans="9:12" x14ac:dyDescent="0.2">
      <c r="J38" s="18">
        <v>57.35</v>
      </c>
      <c r="K38" s="18">
        <v>4000</v>
      </c>
      <c r="L38" s="18">
        <f t="shared" si="0"/>
        <v>69.747166521360072</v>
      </c>
    </row>
    <row r="39" spans="9:12" x14ac:dyDescent="0.2">
      <c r="I39" s="18" t="s">
        <v>198</v>
      </c>
      <c r="J39" s="18">
        <v>58.56</v>
      </c>
      <c r="K39" s="18">
        <v>5890</v>
      </c>
      <c r="L39" s="18">
        <f t="shared" si="0"/>
        <v>100.58060109289617</v>
      </c>
    </row>
    <row r="40" spans="9:12" x14ac:dyDescent="0.2">
      <c r="J40" s="18">
        <v>83</v>
      </c>
      <c r="K40" s="18">
        <v>5200</v>
      </c>
      <c r="L40" s="18">
        <f t="shared" si="0"/>
        <v>62.650602409638552</v>
      </c>
    </row>
    <row r="41" spans="9:12" x14ac:dyDescent="0.2">
      <c r="J41" s="18">
        <v>86.91</v>
      </c>
      <c r="K41" s="18">
        <v>5300</v>
      </c>
      <c r="L41" s="18">
        <f t="shared" si="0"/>
        <v>60.982625704752046</v>
      </c>
    </row>
    <row r="42" spans="9:12" x14ac:dyDescent="0.2">
      <c r="J42" s="18">
        <v>86.99</v>
      </c>
      <c r="K42" s="18">
        <v>5600</v>
      </c>
      <c r="L42" s="18">
        <f t="shared" si="0"/>
        <v>64.375215542016321</v>
      </c>
    </row>
    <row r="43" spans="9:12" x14ac:dyDescent="0.2">
      <c r="J43" s="18">
        <v>87.67</v>
      </c>
      <c r="K43" s="18">
        <v>5700</v>
      </c>
      <c r="L43" s="18">
        <f t="shared" si="0"/>
        <v>65.016539295083831</v>
      </c>
    </row>
    <row r="44" spans="9:12" x14ac:dyDescent="0.2">
      <c r="I44" s="18" t="s">
        <v>200</v>
      </c>
      <c r="J44" s="18">
        <v>55</v>
      </c>
      <c r="K44" s="18">
        <v>4100</v>
      </c>
      <c r="L44" s="18">
        <f t="shared" si="0"/>
        <v>74.545454545454547</v>
      </c>
    </row>
    <row r="45" spans="9:12" x14ac:dyDescent="0.2">
      <c r="I45" s="18" t="s">
        <v>207</v>
      </c>
      <c r="J45" s="18">
        <v>65</v>
      </c>
      <c r="K45" s="18">
        <v>4300</v>
      </c>
      <c r="L45" s="18">
        <f t="shared" si="0"/>
        <v>66.15384615384616</v>
      </c>
    </row>
    <row r="46" spans="9:12" x14ac:dyDescent="0.2">
      <c r="J46" s="18">
        <v>90</v>
      </c>
      <c r="K46" s="18">
        <v>5600</v>
      </c>
      <c r="L46" s="18">
        <f t="shared" si="0"/>
        <v>62.222222222222221</v>
      </c>
    </row>
    <row r="47" spans="9:12" x14ac:dyDescent="0.2">
      <c r="I47" s="18" t="s">
        <v>204</v>
      </c>
      <c r="J47" s="18">
        <v>67.900000000000006</v>
      </c>
      <c r="K47" s="18">
        <v>4900</v>
      </c>
      <c r="L47" s="18">
        <f t="shared" si="0"/>
        <v>72.164948453608247</v>
      </c>
    </row>
    <row r="48" spans="9:12" x14ac:dyDescent="0.2">
      <c r="J48" s="18">
        <v>83.51</v>
      </c>
      <c r="K48" s="18">
        <v>5565</v>
      </c>
      <c r="L48" s="18">
        <f t="shared" si="0"/>
        <v>66.638725901089686</v>
      </c>
    </row>
    <row r="49" spans="9:12" x14ac:dyDescent="0.2">
      <c r="I49" s="18" t="s">
        <v>208</v>
      </c>
      <c r="J49" s="18">
        <v>63.46</v>
      </c>
      <c r="K49" s="18">
        <v>5290</v>
      </c>
      <c r="L49" s="18">
        <f t="shared" si="0"/>
        <v>83.359596596281122</v>
      </c>
    </row>
    <row r="50" spans="9:12" x14ac:dyDescent="0.2">
      <c r="J50" s="18">
        <v>88</v>
      </c>
      <c r="K50" s="18">
        <v>6530</v>
      </c>
      <c r="L50" s="18">
        <f t="shared" si="0"/>
        <v>74.204545454545453</v>
      </c>
    </row>
    <row r="51" spans="9:12" x14ac:dyDescent="0.2">
      <c r="J51" s="18">
        <v>123</v>
      </c>
      <c r="K51" s="18">
        <v>7300</v>
      </c>
      <c r="L51" s="18">
        <f t="shared" si="0"/>
        <v>59.349593495934961</v>
      </c>
    </row>
    <row r="52" spans="9:12" x14ac:dyDescent="0.2">
      <c r="J52" s="18">
        <v>136</v>
      </c>
      <c r="K52" s="18">
        <v>7500</v>
      </c>
      <c r="L52" s="18">
        <f t="shared" si="0"/>
        <v>55.147058823529413</v>
      </c>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3" x14ac:dyDescent="0.2">
      <c r="A2" s="28">
        <v>1</v>
      </c>
      <c r="B2" s="27" t="s">
        <v>91</v>
      </c>
      <c r="C2" s="34" t="e">
        <f>F2</f>
        <v>#REF!</v>
      </c>
      <c r="D2" s="35" t="s">
        <v>102</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103</v>
      </c>
      <c r="E4" s="30" t="e">
        <f>#REF!</f>
        <v>#REF!</v>
      </c>
      <c r="F4" s="1" t="e">
        <f>ROUND(E4*1.5*12,2)</f>
        <v>#REF!</v>
      </c>
    </row>
    <row r="5" spans="1:8" ht="36.75" x14ac:dyDescent="0.2">
      <c r="A5" s="28">
        <v>2.2000000000000002</v>
      </c>
      <c r="B5" s="27" t="s">
        <v>94</v>
      </c>
      <c r="C5" s="32" t="e">
        <f>ROUND(E5,2)</f>
        <v>#REF!</v>
      </c>
      <c r="D5" s="36" t="s">
        <v>140</v>
      </c>
      <c r="E5" s="31" t="e">
        <f>ROUND(4500*0.8*0.1%*E4,2)</f>
        <v>#REF!</v>
      </c>
      <c r="F5" s="38">
        <v>1E-3</v>
      </c>
    </row>
    <row r="6" spans="1:8" ht="24.75" x14ac:dyDescent="0.2">
      <c r="A6" s="28">
        <v>2.2999999999999998</v>
      </c>
      <c r="B6" s="27" t="s">
        <v>95</v>
      </c>
      <c r="C6" s="28" t="e">
        <f>#REF!</f>
        <v>#REF!</v>
      </c>
      <c r="D6" s="36" t="s">
        <v>104</v>
      </c>
      <c r="E6" s="1" t="s">
        <v>85</v>
      </c>
      <c r="H6" s="33"/>
    </row>
    <row r="7" spans="1:8" x14ac:dyDescent="0.2">
      <c r="A7" s="28">
        <v>3</v>
      </c>
      <c r="B7" s="27" t="s">
        <v>96</v>
      </c>
      <c r="C7" s="28" t="e">
        <f>C8+C9+C10</f>
        <v>#REF!</v>
      </c>
      <c r="D7" s="36" t="s">
        <v>68</v>
      </c>
    </row>
    <row r="8" spans="1:8" ht="24.75" x14ac:dyDescent="0.2">
      <c r="A8" s="28">
        <v>3.1</v>
      </c>
      <c r="B8" s="27" t="s">
        <v>97</v>
      </c>
      <c r="C8" s="28" t="e">
        <f>E8</f>
        <v>#REF!</v>
      </c>
      <c r="D8" s="35" t="s">
        <v>148</v>
      </c>
      <c r="E8" s="1" t="e">
        <f>ROUND(60.16*12*E4*2%,2)</f>
        <v>#REF!</v>
      </c>
    </row>
    <row r="9" spans="1:8" ht="57"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147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40" t="e">
        <f>F2</f>
        <v>#REF!</v>
      </c>
      <c r="D2" s="35" t="s">
        <v>106</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108</v>
      </c>
      <c r="E5" s="31" t="e">
        <f>ROUND(4500*0.95*0.1%*E4,2)</f>
        <v>#REF!</v>
      </c>
      <c r="F5" s="38">
        <v>1E-3</v>
      </c>
    </row>
    <row r="6" spans="1:8" ht="24.75" x14ac:dyDescent="0.2">
      <c r="A6" s="28">
        <v>2.2999999999999998</v>
      </c>
      <c r="B6" s="27" t="s">
        <v>95</v>
      </c>
      <c r="C6" s="28" t="e">
        <f>#REF!</f>
        <v>#REF!</v>
      </c>
      <c r="D6" s="36" t="s">
        <v>109</v>
      </c>
      <c r="E6" s="1" t="s">
        <v>85</v>
      </c>
      <c r="H6" s="33"/>
    </row>
    <row r="7" spans="1:8" x14ac:dyDescent="0.2">
      <c r="A7" s="28">
        <v>3</v>
      </c>
      <c r="B7" s="27" t="s">
        <v>96</v>
      </c>
      <c r="C7" s="28" t="e">
        <f>C8+C9+C10</f>
        <v>#REF!</v>
      </c>
      <c r="D7" s="36" t="s">
        <v>68</v>
      </c>
    </row>
    <row r="8" spans="1:8" ht="24.75" x14ac:dyDescent="0.2">
      <c r="A8" s="28">
        <v>3.1</v>
      </c>
      <c r="B8" s="27" t="s">
        <v>97</v>
      </c>
      <c r="C8" s="28" t="e">
        <f>E8</f>
        <v>#REF!</v>
      </c>
      <c r="D8" s="35" t="s">
        <v>149</v>
      </c>
      <c r="E8" s="1" t="e">
        <f>ROUND(61.61*12*E4*2%,2)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110</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4.25" x14ac:dyDescent="0.2">
      <c r="A2" s="28">
        <v>1</v>
      </c>
      <c r="B2" s="27" t="s">
        <v>91</v>
      </c>
      <c r="C2" s="34" t="e">
        <f>F2</f>
        <v>#REF!</v>
      </c>
      <c r="D2" s="35" t="s">
        <v>118</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111</v>
      </c>
      <c r="E5" s="31" t="e">
        <f>ROUND(4500*G5*0.1%*E4,2)</f>
        <v>#REF!</v>
      </c>
      <c r="F5" s="38">
        <v>1E-3</v>
      </c>
      <c r="G5" s="41" t="e">
        <f>#REF!</f>
        <v>#REF!</v>
      </c>
    </row>
    <row r="6" spans="1:8" ht="24.75" x14ac:dyDescent="0.2">
      <c r="A6" s="28">
        <v>2.2999999999999998</v>
      </c>
      <c r="B6" s="27" t="s">
        <v>95</v>
      </c>
      <c r="C6" s="28" t="e">
        <f>#REF!</f>
        <v>#REF!</v>
      </c>
      <c r="D6" s="36" t="s">
        <v>112</v>
      </c>
      <c r="E6" s="1" t="s">
        <v>85</v>
      </c>
      <c r="H6" s="33"/>
    </row>
    <row r="7" spans="1:8" x14ac:dyDescent="0.2">
      <c r="A7" s="28">
        <v>3</v>
      </c>
      <c r="B7" s="27" t="s">
        <v>96</v>
      </c>
      <c r="C7" s="28" t="e">
        <f>C8+C9+C10</f>
        <v>#REF!</v>
      </c>
      <c r="D7" s="36" t="s">
        <v>68</v>
      </c>
    </row>
    <row r="8" spans="1:8" ht="24.75" x14ac:dyDescent="0.2">
      <c r="A8" s="28">
        <v>3.1</v>
      </c>
      <c r="B8" s="27" t="s">
        <v>97</v>
      </c>
      <c r="C8" s="28" t="e">
        <f>E8</f>
        <v>#REF!</v>
      </c>
      <c r="D8" s="35" t="s">
        <v>150</v>
      </c>
      <c r="E8" s="1" t="e">
        <f>ROUND(62.11*12*E4*2%,2)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75" x14ac:dyDescent="0.2">
      <c r="A2" s="28">
        <v>1</v>
      </c>
      <c r="B2" s="27" t="s">
        <v>91</v>
      </c>
      <c r="C2" s="34" t="e">
        <f>F2</f>
        <v>#REF!</v>
      </c>
      <c r="D2" s="35" t="s">
        <v>119</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114</v>
      </c>
      <c r="E4" s="30" t="e">
        <f>#REF!</f>
        <v>#REF!</v>
      </c>
      <c r="F4" s="1" t="e">
        <f>ROUND(E4*1.5*12,2)</f>
        <v>#REF!</v>
      </c>
    </row>
    <row r="5" spans="1:8" ht="24.75" x14ac:dyDescent="0.2">
      <c r="A5" s="28">
        <v>2.2000000000000002</v>
      </c>
      <c r="B5" s="27" t="s">
        <v>94</v>
      </c>
      <c r="C5" s="32" t="e">
        <f>ROUND(E5,2)</f>
        <v>#REF!</v>
      </c>
      <c r="D5" s="36" t="s">
        <v>115</v>
      </c>
      <c r="E5" s="31" t="e">
        <f>ROUND(4500*G5*0.1%*E4,2)</f>
        <v>#REF!</v>
      </c>
      <c r="F5" s="38">
        <v>1E-3</v>
      </c>
      <c r="G5" s="41" t="e">
        <f>#REF!</f>
        <v>#REF!</v>
      </c>
    </row>
    <row r="6" spans="1:8" ht="24.75" x14ac:dyDescent="0.2">
      <c r="A6" s="28">
        <v>2.2999999999999998</v>
      </c>
      <c r="B6" s="27" t="s">
        <v>95</v>
      </c>
      <c r="C6" s="28" t="e">
        <f>#REF!</f>
        <v>#REF!</v>
      </c>
      <c r="D6" s="36" t="s">
        <v>116</v>
      </c>
      <c r="E6" s="1" t="s">
        <v>85</v>
      </c>
      <c r="H6" s="33"/>
    </row>
    <row r="7" spans="1:8" x14ac:dyDescent="0.2">
      <c r="A7" s="28">
        <v>3</v>
      </c>
      <c r="B7" s="27" t="s">
        <v>96</v>
      </c>
      <c r="C7" s="28" t="e">
        <f>C8+C9+C10</f>
        <v>#REF!</v>
      </c>
      <c r="D7" s="36" t="s">
        <v>68</v>
      </c>
    </row>
    <row r="8" spans="1:8" ht="24.75" x14ac:dyDescent="0.2">
      <c r="A8" s="28">
        <v>3.1</v>
      </c>
      <c r="B8" s="27" t="s">
        <v>97</v>
      </c>
      <c r="C8" s="28" t="e">
        <f>E8</f>
        <v>#REF!</v>
      </c>
      <c r="D8" s="35" t="s">
        <v>151</v>
      </c>
      <c r="E8" s="1" t="e">
        <f>ROUND(63.72*12*E4*2%,2)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120</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121</v>
      </c>
      <c r="E4" s="30" t="e">
        <f>#REF!</f>
        <v>#REF!</v>
      </c>
      <c r="F4" s="1" t="e">
        <f>ROUND(E4*1.5*12,2)</f>
        <v>#REF!</v>
      </c>
    </row>
    <row r="5" spans="1:8" ht="24.75" x14ac:dyDescent="0.2">
      <c r="A5" s="28">
        <v>2.2000000000000002</v>
      </c>
      <c r="B5" s="27" t="s">
        <v>94</v>
      </c>
      <c r="C5" s="32" t="e">
        <f>ROUND(E5,2)</f>
        <v>#REF!</v>
      </c>
      <c r="D5" s="36" t="s">
        <v>122</v>
      </c>
      <c r="E5" s="31" t="e">
        <f>ROUND(4500*G5*0.1%*E4,2)</f>
        <v>#REF!</v>
      </c>
      <c r="F5" s="38">
        <v>1E-3</v>
      </c>
      <c r="G5" s="41" t="e">
        <f>#REF!</f>
        <v>#REF!</v>
      </c>
    </row>
    <row r="6" spans="1:8" ht="24.75" x14ac:dyDescent="0.2">
      <c r="A6" s="28">
        <v>2.2999999999999998</v>
      </c>
      <c r="B6" s="27" t="s">
        <v>95</v>
      </c>
      <c r="C6" s="28" t="e">
        <f>#REF!</f>
        <v>#REF!</v>
      </c>
      <c r="D6" s="36" t="s">
        <v>133</v>
      </c>
      <c r="E6" s="1" t="s">
        <v>85</v>
      </c>
      <c r="H6" s="33"/>
    </row>
    <row r="7" spans="1:8" x14ac:dyDescent="0.2">
      <c r="A7" s="28">
        <v>3</v>
      </c>
      <c r="B7" s="27" t="s">
        <v>96</v>
      </c>
      <c r="C7" s="28" t="e">
        <f>C8+C9+C10</f>
        <v>#REF!</v>
      </c>
      <c r="D7" s="36" t="s">
        <v>68</v>
      </c>
    </row>
    <row r="8" spans="1:8" ht="24.75" x14ac:dyDescent="0.2">
      <c r="A8" s="28">
        <v>3.1</v>
      </c>
      <c r="B8" s="27" t="s">
        <v>97</v>
      </c>
      <c r="C8" s="28" t="e">
        <f>E8</f>
        <v>#REF!</v>
      </c>
      <c r="D8" s="35" t="s">
        <v>152</v>
      </c>
      <c r="E8" s="1" t="e">
        <f>ROUND(63.95*12*E4*2%,2)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124</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125</v>
      </c>
      <c r="E4" s="30" t="e">
        <f>#REF!</f>
        <v>#REF!</v>
      </c>
      <c r="F4" s="1" t="e">
        <f>ROUND(E4*1.5*12,2)</f>
        <v>#REF!</v>
      </c>
    </row>
    <row r="5" spans="1:8" ht="24.75" x14ac:dyDescent="0.2">
      <c r="A5" s="28">
        <v>2.2000000000000002</v>
      </c>
      <c r="B5" s="27" t="s">
        <v>94</v>
      </c>
      <c r="C5" s="32" t="e">
        <f>ROUND(E5,2)</f>
        <v>#REF!</v>
      </c>
      <c r="D5" s="36" t="s">
        <v>126</v>
      </c>
      <c r="E5" s="31" t="e">
        <f>ROUND(4500*G5*0.1%*E4,2)</f>
        <v>#REF!</v>
      </c>
      <c r="F5" s="38">
        <v>1E-3</v>
      </c>
      <c r="G5" s="41" t="e">
        <f>#REF!</f>
        <v>#REF!</v>
      </c>
    </row>
    <row r="6" spans="1:8" ht="24.75" x14ac:dyDescent="0.2">
      <c r="A6" s="28">
        <v>2.2999999999999998</v>
      </c>
      <c r="B6" s="27" t="s">
        <v>95</v>
      </c>
      <c r="C6" s="28" t="e">
        <f>#REF!</f>
        <v>#REF!</v>
      </c>
      <c r="D6" s="36" t="s">
        <v>132</v>
      </c>
      <c r="E6" s="1" t="s">
        <v>85</v>
      </c>
      <c r="H6" s="33"/>
    </row>
    <row r="7" spans="1:8" x14ac:dyDescent="0.2">
      <c r="A7" s="28">
        <v>3</v>
      </c>
      <c r="B7" s="27" t="s">
        <v>96</v>
      </c>
      <c r="C7" s="28" t="e">
        <f>C8+C9+C10</f>
        <v>#REF!</v>
      </c>
      <c r="D7" s="36" t="s">
        <v>68</v>
      </c>
    </row>
    <row r="8" spans="1:8" ht="24.75" x14ac:dyDescent="0.2">
      <c r="A8" s="28">
        <v>3.1</v>
      </c>
      <c r="B8" s="27" t="s">
        <v>97</v>
      </c>
      <c r="C8" s="28" t="e">
        <f>E8</f>
        <v>#REF!</v>
      </c>
      <c r="D8" s="35" t="s">
        <v>153</v>
      </c>
      <c r="E8" s="1" t="e">
        <f>ROUND(61.84*12*E4*2%,2)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标准房测算表-丰泽家园</vt:lpstr>
      <vt:lpstr>丰泽家园周边住宅项目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2024-06-18T08:21:40Z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