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8820" windowHeight="14040"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 name="租金" sheetId="82" r:id="rId48"/>
  </sheets>
  <externalReferences>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C15" i="74"/>
  <c r="B16" i="74"/>
  <c r="B15" i="74"/>
  <c r="D16" i="74" l="1"/>
  <c r="G16" i="74" l="1"/>
  <c r="D15" i="74" l="1"/>
  <c r="G15" i="74" l="1"/>
  <c r="I38" i="39" l="1"/>
  <c r="G38" i="39"/>
  <c r="E38" i="39"/>
  <c r="C38" i="39"/>
  <c r="I46" i="39"/>
  <c r="G46" i="39"/>
  <c r="E46" i="39"/>
  <c r="C11" i="39"/>
  <c r="G124" i="39"/>
  <c r="F124" i="39"/>
  <c r="E124" i="39"/>
  <c r="D124" i="39"/>
  <c r="C124" i="39"/>
  <c r="G122" i="39"/>
  <c r="F122" i="39"/>
  <c r="E122" i="39"/>
  <c r="D122" i="39"/>
  <c r="C122" i="39"/>
  <c r="I7" i="39"/>
  <c r="G7" i="39"/>
  <c r="E7" i="39"/>
  <c r="I5" i="39"/>
  <c r="G5" i="39"/>
  <c r="E5" i="39"/>
  <c r="C5" i="39" l="1"/>
  <c r="C14" i="74"/>
  <c r="B14" i="74"/>
  <c r="N14" i="1"/>
  <c r="L14" i="1"/>
  <c r="AN13" i="3"/>
  <c r="I13" i="3"/>
  <c r="A3" i="3"/>
  <c r="D13" i="4"/>
  <c r="D59" i="80"/>
  <c r="C59" i="80"/>
  <c r="B58" i="80"/>
  <c r="B57" i="80"/>
  <c r="B56" i="80"/>
  <c r="B55" i="80"/>
  <c r="B59" i="80" s="1"/>
  <c r="J54" i="80"/>
  <c r="F46" i="80"/>
  <c r="E46" i="80"/>
  <c r="C46" i="80"/>
  <c r="B45" i="80"/>
  <c r="B44" i="80"/>
  <c r="B43" i="80"/>
  <c r="V42" i="80"/>
  <c r="U42" i="80"/>
  <c r="U43" i="80" s="1"/>
  <c r="B42" i="80"/>
  <c r="T41" i="80"/>
  <c r="B41" i="80"/>
  <c r="T40" i="80"/>
  <c r="B40" i="80"/>
  <c r="T39" i="80"/>
  <c r="D39" i="80"/>
  <c r="B39" i="80" s="1"/>
  <c r="T38" i="80"/>
  <c r="T42" i="80" s="1"/>
  <c r="B38" i="80"/>
  <c r="B37" i="80"/>
  <c r="B46" i="80" s="1"/>
  <c r="B36" i="80"/>
  <c r="V35" i="80"/>
  <c r="U35" i="80"/>
  <c r="B35" i="80"/>
  <c r="T34" i="80"/>
  <c r="B34" i="80"/>
  <c r="T33" i="80"/>
  <c r="B33" i="80"/>
  <c r="T32" i="80"/>
  <c r="B32" i="80"/>
  <c r="T31" i="80"/>
  <c r="B31" i="80"/>
  <c r="T30" i="80"/>
  <c r="B30" i="80"/>
  <c r="T29" i="80"/>
  <c r="B29" i="80"/>
  <c r="T28" i="80"/>
  <c r="B28" i="80"/>
  <c r="T27" i="80"/>
  <c r="B27" i="80"/>
  <c r="T26" i="80"/>
  <c r="J26" i="80"/>
  <c r="K26" i="80" s="1"/>
  <c r="B26" i="80"/>
  <c r="T25" i="80"/>
  <c r="J25" i="80"/>
  <c r="T24" i="80"/>
  <c r="T23" i="80"/>
  <c r="T22" i="80"/>
  <c r="T35" i="80" s="1"/>
  <c r="T21" i="80"/>
  <c r="V18" i="80"/>
  <c r="V43" i="80" s="1"/>
  <c r="U18" i="80"/>
  <c r="T18" i="80"/>
  <c r="T43" i="80" s="1"/>
  <c r="T17" i="80"/>
  <c r="D17" i="80"/>
  <c r="C17" i="80"/>
  <c r="T16" i="80"/>
  <c r="B16" i="80"/>
  <c r="T15" i="80"/>
  <c r="B15" i="80"/>
  <c r="T14" i="80"/>
  <c r="B14" i="80"/>
  <c r="T13" i="80"/>
  <c r="B13" i="80"/>
  <c r="T12" i="80"/>
  <c r="B12" i="80"/>
  <c r="T11" i="80"/>
  <c r="B11" i="80"/>
  <c r="T10" i="80"/>
  <c r="B10" i="80"/>
  <c r="T9" i="80"/>
  <c r="B9" i="80"/>
  <c r="T8" i="80"/>
  <c r="B8" i="80"/>
  <c r="T7" i="80"/>
  <c r="B7" i="80"/>
  <c r="B6" i="80"/>
  <c r="B17" i="80" s="1"/>
  <c r="J5" i="80"/>
  <c r="P4" i="80"/>
  <c r="P6" i="80" s="1"/>
  <c r="D46" i="80"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U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H37" i="39"/>
  <c r="AB37" i="39"/>
  <c r="AC37" i="39"/>
  <c r="W37" i="39"/>
  <c r="H25" i="39"/>
  <c r="AB25" i="39" s="1"/>
  <c r="J25" i="39"/>
  <c r="AC25" i="39" s="1"/>
  <c r="F25" i="39"/>
  <c r="AA25" i="39" s="1"/>
  <c r="F15" i="39"/>
  <c r="AA15" i="39" s="1"/>
  <c r="H15" i="39"/>
  <c r="U15" i="39" s="1"/>
  <c r="J15" i="39"/>
  <c r="W15" i="39" s="1"/>
  <c r="H41" i="39"/>
  <c r="AB41" i="39" s="1"/>
  <c r="W27" i="39"/>
  <c r="AB34" i="39"/>
  <c r="U40"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U25" i="39"/>
  <c r="AB27" i="39"/>
  <c r="J21" i="39"/>
  <c r="W21" i="39" s="1"/>
  <c r="F21" i="39"/>
  <c r="H21" i="39"/>
  <c r="AB21" i="39" s="1"/>
  <c r="U19" i="39"/>
  <c r="S17" i="39"/>
  <c r="S15" i="39"/>
  <c r="AA12" i="39"/>
  <c r="S9"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W25" i="39"/>
  <c r="S14" i="39"/>
  <c r="AA14" i="39"/>
  <c r="U43" i="39"/>
  <c r="AB43" i="39"/>
  <c r="AB11" i="39"/>
  <c r="U11" i="39"/>
  <c r="W17" i="39"/>
  <c r="AC17" i="39"/>
  <c r="AC31" i="39"/>
  <c r="S23" i="39"/>
  <c r="AA45" i="39"/>
  <c r="AB39"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0" i="76"/>
  <c r="B9" i="76"/>
  <c r="F7" i="73"/>
  <c r="F20" i="31"/>
  <c r="E2" i="69"/>
  <c r="F6" i="67"/>
  <c r="M6" i="15"/>
  <c r="E11" i="76"/>
  <c r="F16" i="15"/>
  <c r="F37" i="67"/>
  <c r="E9" i="76"/>
  <c r="B12" i="76"/>
  <c r="F26" i="67"/>
  <c r="F6" i="73"/>
  <c r="M8" i="15"/>
  <c r="D5" i="73"/>
  <c r="E13" i="76"/>
  <c r="F7" i="67"/>
  <c r="M24" i="67"/>
  <c r="D7" i="73"/>
  <c r="F4" i="73"/>
  <c r="L47" i="67"/>
  <c r="B8" i="76"/>
  <c r="E10" i="76"/>
  <c r="E12" i="76"/>
  <c r="E7" i="76"/>
  <c r="M6" i="67"/>
  <c r="L48" i="67"/>
  <c r="F38" i="67"/>
  <c r="M28" i="67"/>
  <c r="M23" i="67"/>
  <c r="F8" i="15"/>
  <c r="F13" i="67"/>
  <c r="F42" i="15"/>
  <c r="D4" i="73"/>
  <c r="F36" i="15"/>
  <c r="D6" i="73"/>
  <c r="F43" i="15"/>
  <c r="M22" i="67"/>
  <c r="F3" i="73"/>
  <c r="F7" i="15"/>
  <c r="L48" i="15"/>
  <c r="B7" i="76"/>
  <c r="F16" i="67"/>
  <c r="M29" i="67"/>
  <c r="F40" i="67"/>
  <c r="F42" i="67"/>
  <c r="J15" i="67"/>
  <c r="F36" i="67"/>
  <c r="M22" i="15"/>
  <c r="F37" i="15"/>
  <c r="F9" i="67"/>
  <c r="F13" i="15"/>
  <c r="E2" i="68"/>
  <c r="C76" i="15"/>
  <c r="F38" i="15"/>
  <c r="F8" i="67"/>
  <c r="M8" i="67"/>
  <c r="M28" i="15"/>
  <c r="M26" i="15"/>
  <c r="M9" i="15"/>
  <c r="F5" i="73"/>
  <c r="E8" i="76"/>
  <c r="M29" i="15"/>
  <c r="M9" i="67"/>
  <c r="L47" i="15"/>
  <c r="F9" i="15"/>
  <c r="F6" i="15"/>
  <c r="M24" i="15"/>
  <c r="M23" i="15"/>
  <c r="B13" i="76"/>
  <c r="F40" i="15"/>
  <c r="AO13" i="1"/>
  <c r="F26" i="15"/>
  <c r="C76" i="67"/>
  <c r="F43" i="67"/>
  <c r="B11" i="76"/>
  <c r="D3" i="73"/>
  <c r="J15" i="15"/>
  <c r="M26" i="67"/>
  <c r="S27" i="39" l="1"/>
  <c r="U21" i="39"/>
  <c r="U12" i="39"/>
  <c r="S42" i="39"/>
  <c r="U41" i="39"/>
  <c r="AA41" i="39"/>
  <c r="AC32" i="39"/>
  <c r="U31" i="39"/>
  <c r="S31" i="39"/>
  <c r="W19" i="39"/>
  <c r="W34" i="39"/>
  <c r="U42" i="39"/>
  <c r="J44" i="39"/>
  <c r="F44" i="39"/>
  <c r="AC38" i="39"/>
  <c r="S11" i="39"/>
  <c r="S13" i="39"/>
  <c r="AA13" i="39"/>
  <c r="AC13" i="39"/>
  <c r="H13" i="39"/>
  <c r="C21" i="68"/>
  <c r="C40" i="69"/>
  <c r="G28" i="6"/>
  <c r="F29" i="6"/>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C16" i="67"/>
  <c r="C16" i="15"/>
  <c r="G1" i="73"/>
  <c r="AA44" i="39" l="1"/>
  <c r="S44" i="39"/>
  <c r="AC44" i="39"/>
  <c r="W44" i="39"/>
  <c r="AB13" i="39"/>
  <c r="U13" i="3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F41" i="67"/>
  <c r="AE6" i="1"/>
  <c r="E65" i="39" l="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67"/>
  <c r="C17" i="15"/>
  <c r="C28" i="11" l="1"/>
  <c r="C27" i="11" s="1"/>
  <c r="C24" i="11"/>
  <c r="C44" i="11"/>
  <c r="D41" i="11" s="1"/>
  <c r="B23" i="1"/>
  <c r="B24" i="1"/>
  <c r="F11" i="12" s="1"/>
  <c r="C29" i="68"/>
  <c r="D27" i="68" s="1"/>
  <c r="C29" i="11"/>
  <c r="D27" i="11" s="1"/>
  <c r="C18" i="67"/>
  <c r="C15" i="67"/>
  <c r="H23" i="6"/>
  <c r="C30" i="43"/>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F50" i="68" l="1"/>
  <c r="F50" i="69"/>
  <c r="C25" i="11"/>
  <c r="C26" i="68"/>
  <c r="D22" i="68" s="1"/>
  <c r="C26" i="11"/>
  <c r="D22" i="11" s="1"/>
  <c r="C23" i="11"/>
  <c r="F34" i="68"/>
  <c r="M59" i="15"/>
  <c r="L59" i="15" s="1"/>
  <c r="M59" i="67"/>
  <c r="C29" i="12"/>
  <c r="D28" i="12" s="1"/>
  <c r="C26" i="12"/>
  <c r="D25" i="12" s="1"/>
  <c r="D8" i="71"/>
  <c r="C7" i="7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37" i="68" l="1"/>
  <c r="Q74" i="15"/>
  <c r="Q61" i="15"/>
  <c r="C22" i="11"/>
  <c r="C31" i="11" s="1"/>
  <c r="C36" i="68"/>
  <c r="C34" i="68"/>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8" i="68" l="1"/>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33" i="68"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46" i="68" l="1"/>
  <c r="C45" i="68" s="1"/>
  <c r="C41"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C51" i="68" s="1"/>
  <c r="F35" i="9"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5"/>
  <c r="D2" i="36"/>
  <c r="L51" i="15"/>
  <c r="D2" i="34"/>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8" i="1"/>
  <c r="AO7" i="1"/>
  <c r="AO11" i="1"/>
  <c r="AO10" i="1"/>
  <c r="R48" i="39" l="1"/>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B3" i="15" l="1"/>
  <c r="C6" i="12" s="1"/>
  <c r="C8" i="12"/>
  <c r="C4" i="12" s="1"/>
  <c r="C48" i="39"/>
  <c r="B63" i="39" s="1"/>
  <c r="F63" i="39" s="1"/>
  <c r="B6" i="70"/>
  <c r="B2" i="70" s="1"/>
  <c r="B3" i="70" s="1"/>
  <c r="B56" i="39"/>
  <c r="F56" i="39" s="1"/>
  <c r="I46" i="40"/>
  <c r="J46" i="40" s="1"/>
  <c r="R43" i="40"/>
  <c r="E42" i="40"/>
  <c r="G47" i="40"/>
  <c r="H47" i="40" s="1"/>
  <c r="G46" i="40"/>
  <c r="H46" i="40" s="1"/>
  <c r="C31" i="12" l="1"/>
  <c r="C23" i="12"/>
  <c r="B59" i="39"/>
  <c r="F59" i="39" s="1"/>
  <c r="B61" i="39"/>
  <c r="F61" i="39" s="1"/>
  <c r="B58" i="39"/>
  <c r="F58" i="39" s="1"/>
  <c r="B64" i="39"/>
  <c r="F64" i="39" s="1"/>
  <c r="B62" i="39"/>
  <c r="F62" i="39" s="1"/>
  <c r="B57" i="39"/>
  <c r="F57" i="39" s="1"/>
  <c r="B60" i="39"/>
  <c r="F60" i="39" s="1"/>
  <c r="C42" i="40"/>
  <c r="C43" i="40"/>
  <c r="E47" i="40"/>
  <c r="F47" i="40" s="1"/>
  <c r="E46" i="40"/>
  <c r="F46" i="40" s="1"/>
  <c r="I47" i="40"/>
  <c r="J47" i="40" s="1"/>
  <c r="C30" i="12" l="1"/>
  <c r="C28" i="12" s="1"/>
  <c r="C27" i="12"/>
  <c r="C25" i="12" s="1"/>
  <c r="F65" i="39"/>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C6" i="68"/>
  <c r="C7" i="68" s="1"/>
  <c r="C5" i="68" s="1"/>
  <c r="C23" i="68" s="1"/>
  <c r="D19" i="9"/>
  <c r="D102" i="9" l="1"/>
  <c r="D21" i="9"/>
  <c r="B3" i="12"/>
  <c r="C20" i="68"/>
  <c r="C28" i="68" s="1"/>
  <c r="C27" i="68" s="1"/>
  <c r="D20" i="9"/>
  <c r="D103" i="9" l="1"/>
  <c r="C25" i="68"/>
  <c r="C22" i="68" s="1"/>
  <c r="C31" i="68" s="1"/>
  <c r="C52" i="68" s="1"/>
  <c r="B2" i="68" s="1"/>
  <c r="C19" i="9"/>
  <c r="C102" i="9" l="1"/>
  <c r="G19" i="9"/>
  <c r="D22" i="9"/>
  <c r="C21" i="9"/>
  <c r="B3" i="68"/>
  <c r="C57" i="68"/>
  <c r="C56" i="68" s="1"/>
  <c r="C20" i="9"/>
  <c r="G21" i="9" l="1"/>
  <c r="F34" i="9"/>
  <c r="G20" i="9"/>
  <c r="C32" i="9" s="1"/>
  <c r="C103" i="9"/>
  <c r="C35" i="9" l="1"/>
  <c r="F118" i="9" s="1"/>
  <c r="F4" i="52" s="1"/>
  <c r="B51" i="72" s="1"/>
  <c r="H118" i="9"/>
  <c r="H4" i="52" l="1"/>
  <c r="D14" i="74"/>
  <c r="D35" i="9"/>
  <c r="C34" i="9"/>
  <c r="D34" i="9" s="1"/>
  <c r="F119" i="9"/>
  <c r="F5" i="52" s="1"/>
  <c r="B53" i="72" s="1"/>
  <c r="G118" i="9"/>
  <c r="G4" i="52" s="1"/>
  <c r="B52" i="72" s="1"/>
  <c r="H101" i="9"/>
  <c r="I118" i="9"/>
  <c r="H119" i="9"/>
  <c r="H5" i="52" s="1"/>
  <c r="C104" i="9"/>
  <c r="F14" i="74" l="1"/>
  <c r="E14" i="74"/>
  <c r="B5" i="74"/>
  <c r="D5" i="74" s="1"/>
  <c r="D118" i="9"/>
  <c r="E118" i="9" s="1"/>
  <c r="E4" i="52" s="1"/>
  <c r="B48" i="72" s="1"/>
  <c r="I4" i="52"/>
  <c r="H102" i="9"/>
  <c r="C105" i="9"/>
  <c r="M48" i="9"/>
  <c r="D5" i="53"/>
  <c r="H107" i="9"/>
  <c r="D45" i="9"/>
  <c r="D4" i="52" l="1"/>
  <c r="B47" i="72" s="1"/>
  <c r="D119" i="9"/>
  <c r="D5" i="52" s="1"/>
  <c r="B49" i="72" s="1"/>
  <c r="D122" i="9"/>
  <c r="G14" i="74" s="1"/>
  <c r="B6" i="74" s="1"/>
  <c r="D6" i="74" s="1"/>
  <c r="H108" i="9"/>
  <c r="D13" i="53"/>
  <c r="M49" i="9"/>
  <c r="D53" i="9"/>
  <c r="C78" i="9"/>
  <c r="C73" i="9" s="1"/>
  <c r="D52" i="9"/>
  <c r="C93" i="9"/>
  <c r="C86" i="9" s="1"/>
  <c r="C64" i="9"/>
  <c r="C63" i="9" s="1"/>
  <c r="C67" i="9" s="1"/>
  <c r="C72" i="9"/>
  <c r="C79" i="9" s="1"/>
  <c r="C85" i="9"/>
  <c r="D55" i="9"/>
  <c r="M53" i="9" s="1"/>
  <c r="D6" i="53"/>
  <c r="B22" i="72" s="1"/>
  <c r="B20" i="72"/>
  <c r="C5" i="74"/>
  <c r="D7" i="53"/>
  <c r="B21" i="72" s="1"/>
  <c r="C95" i="9" l="1"/>
  <c r="C96" i="9" s="1"/>
  <c r="E96" i="9" s="1"/>
  <c r="E97" i="9" s="1"/>
  <c r="C80" i="9"/>
  <c r="E80" i="9" s="1"/>
  <c r="E81" i="9" s="1"/>
  <c r="L68" i="9"/>
  <c r="M68" i="9" s="1"/>
  <c r="L67" i="9"/>
  <c r="M67" i="9" s="1"/>
  <c r="L66" i="9"/>
  <c r="M66" i="9" s="1"/>
  <c r="L63" i="9"/>
  <c r="M63" i="9" s="1"/>
  <c r="L65" i="9"/>
  <c r="M65" i="9" s="1"/>
  <c r="L64" i="9"/>
  <c r="M64" i="9" s="1"/>
  <c r="C6" i="74"/>
  <c r="D15" i="53"/>
  <c r="B31" i="72" s="1"/>
  <c r="C68" i="9"/>
  <c r="D54" i="9" s="1"/>
  <c r="D59" i="9"/>
  <c r="M55" i="9" s="1"/>
  <c r="D14" i="53"/>
  <c r="B32" i="72" s="1"/>
  <c r="B30" i="72"/>
  <c r="D8" i="52"/>
  <c r="D123" i="9"/>
  <c r="D9" i="52" s="1"/>
  <c r="C97" i="9" l="1"/>
  <c r="D58" i="9" s="1"/>
  <c r="D56" i="9" s="1"/>
  <c r="M54" i="9" s="1"/>
  <c r="N57" i="9" s="1"/>
  <c r="N59" i="9" s="1"/>
  <c r="N61" i="9" s="1"/>
  <c r="M69" i="9"/>
  <c r="N69" i="9" s="1"/>
  <c r="C81" i="9"/>
  <c r="N58" i="9" l="1"/>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<sst xmlns="http://schemas.openxmlformats.org/spreadsheetml/2006/main" count="8158" uniqueCount="3575">
  <si>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</si>
  <si>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</si>
  <si>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</si>
  <si>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</si>
  <si>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</si>
  <si>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</si>
  <si>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</si>
  <si>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</si>
  <si>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</si>
  <si>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</si>
  <si>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</si>
  <si>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</si>
  <si>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</si>
  <si>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</si>
  <si>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</si>
  <si>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</si>
  <si>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</si>
  <si>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</si>
  <si>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</si>
  <si>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</si>
  <si>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</si>
  <si>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</si>
  <si>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</si>
  <si>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</si>
  <si>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</si>
  <si>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</si>
  <si>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</si>
  <si>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</si>
  <si>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</si>
  <si>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</si>
  <si>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</si>
  <si>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</si>
  <si>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</si>
  <si>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</si>
  <si>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</si>
  <si>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</si>
  <si>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</si>
  <si>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</si>
  <si>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</si>
  <si>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</si>
  <si>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</si>
  <si>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</si>
  <si>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</si>
  <si>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</si>
  <si>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</si>
  <si>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</si>
  <si>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</si>
  <si>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</si>
  <si>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</si>
  <si>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</si>
  <si>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</si>
  <si>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</si>
  <si>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</si>
  <si>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</si>
  <si>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</si>
  <si>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</si>
  <si>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</si>
  <si>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</si>
  <si>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</si>
  <si>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</si>
  <si>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</si>
  <si>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</si>
  <si>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</si>
  <si>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</si>
  <si>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</si>
  <si>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</si>
  <si>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</si>
  <si>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</si>
  <si>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</si>
  <si>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</si>
  <si>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</si>
  <si>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</si>
  <si>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</si>
  <si>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</si>
  <si>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</si>
  <si>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</si>
  <si>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</si>
  <si>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</si>
  <si>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</si>
  <si>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</si>
  <si>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</si>
  <si>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</si>
  <si>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</si>
  <si>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</si>
  <si>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</si>
  <si>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</si>
  <si>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</si>
  <si>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</si>
  <si>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</si>
  <si>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</si>
  <si>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</si>
  <si>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</si>
  <si>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</si>
  <si>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</si>
  <si>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</si>
  <si>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</si>
  <si>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</si>
  <si>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</si>
  <si>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</si>
  <si>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</si>
  <si>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</si>
  <si>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</si>
  <si>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</si>
  <si>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</si>
  <si>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</si>
  <si>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</si>
  <si>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</si>
  <si>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</si>
  <si>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</si>
  <si>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</si>
  <si>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</si>
  <si>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</si>
  <si>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</si>
  <si>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</si>
  <si>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</si>
  <si>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</si>
  <si>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</si>
  <si>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</si>
  <si>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</si>
  <si>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</si>
  <si>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</si>
  <si>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</si>
  <si>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</si>
  <si>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</si>
  <si>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</si>
  <si>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</si>
  <si>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</si>
  <si>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</si>
  <si>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</si>
  <si>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</si>
  <si>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</si>
  <si>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</si>
  <si>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</si>
  <si>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</si>
  <si>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</si>
  <si>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</si>
  <si>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</si>
  <si>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</si>
  <si>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</si>
  <si>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</si>
  <si>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</si>
  <si>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</si>
  <si>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</si>
  <si>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</si>
  <si>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</si>
  <si>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</si>
  <si>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</si>
  <si>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</si>
  <si>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</si>
  <si>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</si>
  <si>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</si>
  <si>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</si>
  <si>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</si>
  <si>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</si>
  <si>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</si>
  <si>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</si>
  <si>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</si>
  <si>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</si>
  <si>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</si>
  <si>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</si>
  <si>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</si>
  <si>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</si>
  <si>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</si>
  <si>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</si>
  <si>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</si>
  <si>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</si>
  <si>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</si>
  <si>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</si>
  <si>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</si>
  <si>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</si>
  <si>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</si>
  <si>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</si>
  <si>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</si>
  <si>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</si>
  <si>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</si>
  <si>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</si>
  <si>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</si>
  <si>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</si>
  <si>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</si>
  <si>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</si>
  <si>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</si>
  <si>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</si>
  <si>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</si>
  <si>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</si>
  <si>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</si>
  <si>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</si>
  <si>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</si>
  <si>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</si>
  <si>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</si>
  <si>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</si>
  <si>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</si>
  <si>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</si>
  <si>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</si>
  <si>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</si>
  <si>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</si>
  <si>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</si>
  <si>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</si>
  <si>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</si>
  <si>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</si>
  <si>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</si>
  <si>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</si>
  <si>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</si>
  <si>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</si>
  <si>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</si>
  <si>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</si>
  <si>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</si>
  <si>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</si>
  <si>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</si>
  <si>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</si>
  <si>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</si>
  <si>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</si>
  <si>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</si>
  <si>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</si>
  <si>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</si>
  <si>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</si>
  <si>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</si>
  <si>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</si>
  <si>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</si>
  <si>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</si>
  <si>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</si>
  <si>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</si>
  <si>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</si>
  <si>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</si>
  <si>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</si>
  <si>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</si>
  <si>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</si>
  <si>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</si>
  <si>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</si>
  <si>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</si>
  <si>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</si>
  <si>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</si>
  <si>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</si>
  <si>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</si>
  <si>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</si>
  <si>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</si>
  <si>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</si>
  <si>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</si>
  <si>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</si>
  <si>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</si>
  <si>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</si>
  <si>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</si>
  <si>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</si>
  <si>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</si>
  <si>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</si>
  <si>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</si>
  <si>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</si>
  <si>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</si>
  <si>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</si>
  <si>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</si>
  <si>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</si>
  <si>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</si>
  <si>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</si>
  <si>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</si>
  <si>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</si>
  <si>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</si>
  <si>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</si>
  <si>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</si>
  <si>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</si>
  <si>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</si>
  <si>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</si>
  <si>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</si>
  <si>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</si>
  <si>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</si>
  <si>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</si>
  <si>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</si>
  <si>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</si>
  <si>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</si>
  <si>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</si>
  <si>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</si>
  <si>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</si>
  <si>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</si>
  <si>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</si>
  <si>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</si>
  <si>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</si>
  <si>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</si>
  <si>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</si>
  <si>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</si>
  <si>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</si>
  <si>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</si>
  <si>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</si>
  <si>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</si>
  <si>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</si>
  <si>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</si>
  <si>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</si>
  <si>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</si>
  <si>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</si>
  <si>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</si>
  <si>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</si>
  <si>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</si>
  <si>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</si>
  <si>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</si>
  <si>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</si>
  <si>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</si>
  <si>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</si>
  <si>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</si>
  <si>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</si>
  <si>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</si>
  <si>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</si>
  <si>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</si>
  <si>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</si>
  <si>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</si>
  <si>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</si>
  <si>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</si>
  <si>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</si>
  <si>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</si>
  <si>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</si>
  <si>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</si>
  <si>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</si>
  <si>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</si>
  <si>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</si>
  <si>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</si>
  <si>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</si>
  <si>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</si>
  <si>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</si>
  <si>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</si>
  <si>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</si>
  <si>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</si>
  <si>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</si>
  <si>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</si>
  <si>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</si>
  <si>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</si>
  <si>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</si>
  <si>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</si>
  <si>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</si>
  <si>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</si>
  <si>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</si>
  <si>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</si>
  <si>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</si>
  <si>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</si>
  <si>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</si>
  <si>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</si>
  <si>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</si>
  <si>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</si>
  <si>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</si>
  <si>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</si>
  <si>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</si>
  <si>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</si>
  <si>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</si>
  <si>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</si>
  <si>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</si>
  <si>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</si>
  <si>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</si>
  <si>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</si>
  <si>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</si>
  <si>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</si>
  <si>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</si>
  <si>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</si>
  <si>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</si>
  <si>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</si>
  <si>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</si>
  <si>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</si>
  <si>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</si>
  <si>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</si>
  <si>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</si>
  <si>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</si>
  <si>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</si>
  <si>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</si>
  <si>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</si>
  <si>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</si>
  <si>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</si>
  <si>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</si>
  <si>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</si>
  <si>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</si>
  <si>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</si>
  <si>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</si>
  <si>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</si>
  <si>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</si>
  <si>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</si>
  <si>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</si>
  <si>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</si>
  <si>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</si>
  <si>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</si>
  <si>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</si>
  <si>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</si>
  <si>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</si>
  <si>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</si>
  <si>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</si>
  <si>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</si>
  <si>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</si>
  <si>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</si>
  <si>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</si>
  <si>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</si>
  <si>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</si>
  <si>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</si>
  <si>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</si>
  <si>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</si>
  <si>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</si>
  <si>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</si>
  <si>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</si>
  <si>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</si>
  <si>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</si>
  <si>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</si>
  <si>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</si>
  <si>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</si>
  <si>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</si>
  <si>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</si>
  <si>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</si>
  <si>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</si>
  <si>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</si>
  <si>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</si>
  <si>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</si>
  <si>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</si>
  <si>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</si>
  <si>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</si>
  <si>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</si>
  <si>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</si>
  <si>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</si>
  <si>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</si>
  <si>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</si>
  <si>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</si>
  <si>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</si>
  <si>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</si>
  <si>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</si>
  <si>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</si>
  <si>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</si>
  <si>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</si>
  <si>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</si>
  <si>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</si>
  <si>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</si>
  <si>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</si>
  <si>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</si>
  <si>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</si>
  <si>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</si>
  <si>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</si>
  <si>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</si>
  <si>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</si>
  <si>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</si>
  <si>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</si>
  <si>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</si>
  <si>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</si>
  <si>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</si>
  <si>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</si>
  <si>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</si>
  <si>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</si>
  <si>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</si>
  <si>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</si>
  <si>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</si>
  <si>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</si>
  <si>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</si>
  <si>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</si>
  <si>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</si>
  <si>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</si>
  <si>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</si>
  <si>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</si>
  <si>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</si>
  <si>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</si>
  <si>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</si>
  <si>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</si>
  <si>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</si>
  <si>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</si>
  <si>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</si>
  <si>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</si>
  <si>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</si>
  <si>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</si>
  <si>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</si>
  <si>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</si>
  <si>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</si>
  <si>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</si>
  <si>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</si>
  <si>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</si>
  <si>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</si>
  <si>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</si>
  <si>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</si>
  <si>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</si>
  <si>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</si>
  <si>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</si>
  <si>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</si>
  <si>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</si>
  <si>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</si>
  <si>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</si>
  <si>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</si>
  <si>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</si>
  <si>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</si>
  <si>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</si>
  <si>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</si>
  <si>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</si>
  <si>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</si>
  <si>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</si>
  <si>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</si>
  <si>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</si>
  <si>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</si>
  <si>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</si>
  <si>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</si>
  <si>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</si>
  <si>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</si>
  <si>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</si>
  <si>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</si>
  <si>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</si>
  <si>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</si>
  <si>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</si>
  <si>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</si>
  <si>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</si>
  <si>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</si>
  <si>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</si>
  <si>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</si>
  <si>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</si>
  <si>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</si>
  <si>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</si>
  <si>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</si>
  <si>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</si>
  <si>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</si>
  <si>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</si>
  <si>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</si>
  <si>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</si>
  <si>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</si>
  <si>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</si>
  <si>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</si>
  <si>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</si>
  <si>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</si>
  <si>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</si>
  <si>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</si>
  <si>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</si>
  <si>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</si>
  <si>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</si>
  <si>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</si>
  <si>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</si>
  <si>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</si>
  <si>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</si>
  <si>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</si>
  <si>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</si>
  <si>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</si>
  <si>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</si>
  <si>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</si>
  <si>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</si>
  <si>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</si>
  <si>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</si>
  <si>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</si>
  <si>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</si>
  <si>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</si>
  <si>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</si>
  <si>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</si>
  <si>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</si>
  <si>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</si>
  <si>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</si>
  <si>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</si>
  <si>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</si>
  <si>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</si>
  <si>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</si>
  <si>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</si>
  <si>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</si>
  <si>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</si>
  <si>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</si>
  <si>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</si>
  <si>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</si>
  <si>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</si>
  <si>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</si>
  <si>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</si>
  <si>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</si>
  <si>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</si>
  <si>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</si>
  <si>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</si>
  <si>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</si>
  <si>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</si>
  <si>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</si>
  <si>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</si>
  <si>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</si>
  <si>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</si>
  <si>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</si>
  <si>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</si>
  <si>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</si>
  <si>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</si>
  <si>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</si>
  <si>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</si>
  <si>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</si>
  <si>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</si>
  <si>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</si>
  <si>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</si>
  <si>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</si>
  <si>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</si>
  <si>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</si>
  <si>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</si>
  <si>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</si>
  <si>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</si>
  <si>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</si>
  <si>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</si>
  <si>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</si>
  <si>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</si>
  <si>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</si>
  <si>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</si>
  <si>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</si>
  <si>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</si>
  <si>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</si>
  <si>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</si>
  <si>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</si>
  <si>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</si>
  <si>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</si>
  <si>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</si>
  <si>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</si>
  <si>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</si>
  <si>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</si>
  <si>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</si>
  <si>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</si>
  <si>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</si>
  <si>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</si>
  <si>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</si>
  <si>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</si>
  <si>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</si>
  <si>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</si>
  <si>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</si>
  <si>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</si>
  <si>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</si>
  <si>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</si>
  <si>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</si>
  <si>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</si>
  <si>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</si>
  <si>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</si>
  <si>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</si>
  <si>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</si>
  <si>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</si>
  <si>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</si>
  <si>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</si>
  <si>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</si>
  <si>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</si>
  <si>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</si>
  <si>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</si>
  <si>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</si>
  <si>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</si>
  <si>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</si>
  <si>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</si>
  <si>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</si>
  <si>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</si>
  <si>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</si>
  <si>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</si>
  <si>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</si>
  <si>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</si>
  <si>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</si>
  <si>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</si>
  <si>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</si>
  <si>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</si>
  <si>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</si>
  <si>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</si>
  <si>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</si>
  <si>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</si>
  <si>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</si>
  <si>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</si>
  <si>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</si>
  <si>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</si>
  <si>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</si>
  <si>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</si>
  <si>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</si>
  <si>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</si>
  <si>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</si>
  <si>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</si>
  <si>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</si>
  <si>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</si>
  <si>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</si>
  <si>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</si>
  <si>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</si>
  <si>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</si>
  <si>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</si>
  <si>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</si>
  <si>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</si>
  <si>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</si>
  <si>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</si>
  <si>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</si>
  <si>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</si>
  <si>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</si>
  <si>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</si>
  <si>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</si>
  <si>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</si>
  <si>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</si>
  <si>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</si>
  <si>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</si>
  <si>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</si>
  <si>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</si>
  <si>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</si>
  <si>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</si>
  <si>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</si>
  <si>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</si>
  <si>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</si>
  <si>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</si>
  <si>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</si>
  <si>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</si>
  <si>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</si>
  <si>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</si>
  <si>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</si>
  <si>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</si>
  <si>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</si>
  <si>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</si>
  <si>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</si>
  <si>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</si>
  <si>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</si>
  <si>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</si>
  <si>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</si>
  <si>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</si>
  <si>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</si>
  <si>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</si>
  <si>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</si>
  <si>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</si>
  <si>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</si>
  <si>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</si>
  <si>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</si>
  <si>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</si>
  <si>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</si>
  <si>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</si>
  <si>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</si>
  <si>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</si>
  <si>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</si>
  <si>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</si>
  <si>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</si>
  <si>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</si>
  <si>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</si>
  <si>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</si>
  <si>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</si>
  <si>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</si>
  <si>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</si>
  <si>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</si>
  <si>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</si>
  <si>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</si>
  <si>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</si>
  <si>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</si>
  <si>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</si>
  <si>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</si>
  <si>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</si>
  <si>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</si>
  <si>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</si>
  <si>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</si>
  <si>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</si>
  <si>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</si>
  <si>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</si>
  <si>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</si>
  <si>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</si>
  <si>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</si>
  <si>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</si>
  <si>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</si>
  <si>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</si>
  <si>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</si>
  <si>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</si>
  <si>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</si>
  <si>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</si>
  <si>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</si>
  <si>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</si>
  <si>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</si>
  <si>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</si>
  <si>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</si>
  <si>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</si>
  <si>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</si>
  <si>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</si>
  <si>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</si>
  <si>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</si>
  <si>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</si>
  <si>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</si>
  <si>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</si>
  <si>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</si>
  <si>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</si>
  <si>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</si>
  <si>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</si>
  <si>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</si>
  <si>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</si>
  <si>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</si>
  <si>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</si>
  <si>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</si>
  <si>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</si>
  <si>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</si>
  <si>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</si>
  <si>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</si>
  <si>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</si>
  <si>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</si>
  <si>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</si>
  <si>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</si>
  <si>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</si>
  <si>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</si>
  <si>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</si>
  <si>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</si>
  <si>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</si>
  <si>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</si>
  <si>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</si>
  <si>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</si>
  <si>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</si>
  <si>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</si>
  <si>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</si>
  <si>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</si>
  <si>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</si>
  <si>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</si>
  <si>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</si>
  <si>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</si>
  <si>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</si>
  <si>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</si>
  <si>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</si>
  <si>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</si>
  <si>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</si>
  <si>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</si>
  <si>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</si>
  <si>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</si>
  <si>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</si>
  <si>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</si>
  <si>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</si>
  <si>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</si>
  <si>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</si>
  <si>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</si>
  <si>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</si>
  <si>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</si>
  <si>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</si>
  <si>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</si>
  <si>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</si>
  <si>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</si>
  <si>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</si>
  <si>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</si>
  <si>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</si>
  <si>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</si>
  <si>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</si>
  <si>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</si>
  <si>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</si>
  <si>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</si>
  <si>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</si>
  <si>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</si>
  <si>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</si>
  <si>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</si>
  <si>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</si>
  <si>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</si>
  <si>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</si>
  <si>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</si>
  <si>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</si>
  <si>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</si>
  <si>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</si>
  <si>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</si>
  <si>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</si>
  <si>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</si>
  <si>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</si>
  <si>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</si>
  <si>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</si>
  <si>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</si>
  <si>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</si>
  <si>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</si>
  <si>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</si>
  <si>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</si>
  <si>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</si>
  <si>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</si>
  <si>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</si>
  <si>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</si>
  <si>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</si>
  <si>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</si>
  <si>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</si>
  <si>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</si>
  <si>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</si>
  <si>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</si>
  <si>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</si>
  <si>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</si>
  <si>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</si>
  <si>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</si>
  <si>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</si>
  <si>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</si>
  <si>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</si>
  <si>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</si>
  <si>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</si>
  <si>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</si>
  <si>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</si>
  <si>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</si>
  <si>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</si>
  <si>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</si>
  <si>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</si>
  <si>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</si>
  <si>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</si>
  <si>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</si>
  <si>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</si>
  <si>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</si>
  <si>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</si>
  <si>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</si>
  <si>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</si>
  <si>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</si>
  <si>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</si>
  <si>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</si>
  <si>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</si>
  <si>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</si>
  <si>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</si>
  <si>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</si>
  <si>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</si>
  <si>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</si>
  <si>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</si>
  <si>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</si>
  <si>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</si>
  <si>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</si>
  <si>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</si>
  <si>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</si>
  <si>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</si>
  <si>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</si>
  <si>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</si>
  <si>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</si>
  <si>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</si>
  <si>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</si>
  <si>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</si>
  <si>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</si>
  <si>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</si>
  <si>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</si>
  <si>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</si>
  <si>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</si>
  <si>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</si>
  <si>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</si>
  <si>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</si>
  <si>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</si>
  <si>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</si>
  <si>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</si>
  <si>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</si>
  <si>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</si>
  <si>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</si>
  <si>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</si>
  <si>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</si>
  <si>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</si>
  <si>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</si>
  <si>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</si>
  <si>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</si>
  <si>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</si>
  <si>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</si>
  <si>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</si>
  <si>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</si>
  <si>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</si>
  <si>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</si>
  <si>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</si>
  <si>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</si>
  <si>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</si>
  <si>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</si>
  <si>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</si>
  <si>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</si>
  <si>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</si>
  <si>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</si>
  <si>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</si>
  <si>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</si>
  <si>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</si>
  <si>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</si>
  <si>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</si>
  <si>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</si>
  <si>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</si>
  <si>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</si>
  <si>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</si>
  <si>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</si>
  <si>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</si>
  <si>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</si>
  <si>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</si>
  <si>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</si>
  <si>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</si>
  <si>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</si>
  <si>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</si>
  <si>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</si>
  <si>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</si>
  <si>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</si>
  <si>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</si>
  <si>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</si>
  <si>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</si>
  <si>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</si>
  <si>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</si>
  <si>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</si>
  <si>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</si>
  <si>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</si>
  <si>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</si>
  <si>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</si>
  <si>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</si>
  <si>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</si>
  <si>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</si>
  <si>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</si>
  <si>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</si>
  <si>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</si>
  <si>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</si>
  <si>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</si>
  <si>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</si>
  <si>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</si>
  <si>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</si>
  <si>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</si>
  <si>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</si>
  <si>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</si>
  <si>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</si>
  <si>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</si>
  <si>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</si>
  <si>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</si>
  <si>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</si>
  <si>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</si>
  <si>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</si>
  <si>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</si>
  <si>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</si>
  <si>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</si>
  <si>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</si>
  <si>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</si>
  <si>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</si>
  <si>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</si>
  <si>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</si>
  <si>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</si>
  <si>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</si>
  <si>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</si>
  <si>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</si>
  <si>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</si>
  <si>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</si>
  <si>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</si>
  <si>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</si>
  <si>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</si>
  <si>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</si>
  <si>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</si>
  <si>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</si>
  <si>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</si>
  <si>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</si>
  <si>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</si>
  <si>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</si>
  <si>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</si>
  <si>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</si>
  <si>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</si>
  <si>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</si>
  <si>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</si>
  <si>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</si>
  <si>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</si>
  <si>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</si>
  <si>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</si>
  <si>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</si>
  <si>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</si>
  <si>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</si>
  <si>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</si>
  <si>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</si>
  <si>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</si>
  <si>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</si>
  <si>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</si>
  <si>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</si>
  <si>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</si>
  <si>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</si>
  <si>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</si>
  <si>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</si>
  <si>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</si>
  <si>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</si>
  <si>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</si>
  <si>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</si>
  <si>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</si>
  <si>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</si>
  <si>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</si>
  <si>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</si>
  <si>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</si>
  <si>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</si>
  <si>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</si>
  <si>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</si>
  <si>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</si>
  <si>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</si>
  <si>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</si>
  <si>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</si>
  <si>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</si>
  <si>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</si>
  <si>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</si>
  <si>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</si>
  <si>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</si>
  <si>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</si>
  <si>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</si>
  <si>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</si>
  <si>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</si>
  <si>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</si>
  <si>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</si>
  <si>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</si>
  <si>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</si>
  <si>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</si>
  <si>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</si>
  <si>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</si>
  <si>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</si>
  <si>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</si>
  <si>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</si>
  <si>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</si>
  <si>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</si>
  <si>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</si>
  <si>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</si>
  <si>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</si>
  <si>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</si>
  <si>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</si>
  <si>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</si>
  <si>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</si>
  <si>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</si>
  <si>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</si>
  <si>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</si>
  <si>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</si>
  <si>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</si>
  <si>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</si>
  <si>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</si>
  <si>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</si>
  <si>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</si>
  <si>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</si>
  <si>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</si>
  <si>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</si>
  <si>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</si>
  <si>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</si>
  <si>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</si>
  <si>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</si>
  <si>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</si>
  <si>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</si>
  <si>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</si>
  <si>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</si>
  <si>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</si>
  <si>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</si>
  <si>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</si>
  <si>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</si>
  <si>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</si>
  <si>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</si>
  <si>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</si>
  <si>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</si>
  <si>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</si>
  <si>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</si>
  <si>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</si>
  <si>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</si>
  <si>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</si>
  <si>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</si>
  <si>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</si>
  <si>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</si>
  <si>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</si>
  <si>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</si>
  <si>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</si>
  <si>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</si>
  <si>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</si>
  <si>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</si>
  <si>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</si>
  <si>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</si>
  <si>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</si>
  <si>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</si>
  <si>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</si>
  <si>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</si>
  <si>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</si>
  <si>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</si>
  <si>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</si>
  <si>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</si>
  <si>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</si>
  <si>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</si>
  <si>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</si>
  <si>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</si>
  <si>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</si>
  <si>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</si>
  <si>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</si>
  <si>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</si>
  <si>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</si>
  <si>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</si>
  <si>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</si>
  <si>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</si>
  <si>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</si>
  <si>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</si>
  <si>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</si>
  <si>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</si>
  <si>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</si>
  <si>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</si>
  <si>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</si>
  <si>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</si>
  <si>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</si>
  <si>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</si>
  <si>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</si>
  <si>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</si>
  <si>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</si>
  <si>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</si>
  <si>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</si>
  <si>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</si>
  <si>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</si>
  <si>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</si>
  <si>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</si>
  <si>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</si>
  <si>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</si>
  <si>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</si>
  <si>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</si>
  <si>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</si>
  <si>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</si>
  <si>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</si>
  <si>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</si>
  <si>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</si>
  <si>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</si>
  <si>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</si>
  <si>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</si>
  <si>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</si>
  <si>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</si>
  <si>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</si>
  <si>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</si>
  <si>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</si>
  <si>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</si>
  <si>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</si>
  <si>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</si>
  <si>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</si>
  <si>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</si>
  <si>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</si>
  <si>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</si>
  <si>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</si>
  <si>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</si>
  <si>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</si>
  <si>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</si>
  <si>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</si>
  <si>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</si>
  <si>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</si>
  <si>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</si>
  <si>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</si>
  <si>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</si>
  <si>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</si>
  <si>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</si>
  <si>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</si>
  <si>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</si>
  <si>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</si>
  <si>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</si>
  <si>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</si>
  <si>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</si>
  <si>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</si>
  <si>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</si>
  <si>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</si>
  <si>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</si>
  <si>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</si>
  <si>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</si>
  <si>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</si>
  <si>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</si>
  <si>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</si>
  <si>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</si>
  <si>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</si>
  <si>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</si>
  <si>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</si>
  <si>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</si>
  <si>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</si>
  <si>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</si>
  <si>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</si>
  <si>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</si>
  <si>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</si>
  <si>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</si>
  <si>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</si>
  <si>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</si>
  <si>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</si>
  <si>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</si>
  <si>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</si>
  <si>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</si>
  <si>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</si>
  <si>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</si>
  <si>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</si>
  <si>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</si>
  <si>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</si>
  <si>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</si>
  <si>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</si>
  <si>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</si>
  <si>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</si>
  <si>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</si>
  <si>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</si>
  <si>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</si>
  <si>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</si>
  <si>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</si>
  <si>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</si>
  <si>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</si>
  <si>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</si>
  <si>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</si>
  <si>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</si>
  <si>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</si>
  <si>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</si>
  <si>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</si>
  <si>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</si>
  <si>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</si>
  <si>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</si>
  <si>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</si>
  <si>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</si>
  <si>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</si>
  <si>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</si>
  <si>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</si>
  <si>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</si>
  <si>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</si>
  <si>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</si>
  <si>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</si>
  <si>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</si>
  <si>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</si>
  <si>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</si>
  <si>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</si>
  <si>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</si>
  <si>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</si>
  <si>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</si>
  <si>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</si>
  <si>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</si>
  <si>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</si>
  <si>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</si>
  <si>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</si>
  <si>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</si>
  <si>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</si>
  <si>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</si>
  <si>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</si>
  <si>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</si>
  <si>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</si>
  <si>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</si>
  <si>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</si>
  <si>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</si>
  <si>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</si>
  <si>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</si>
  <si>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</si>
  <si>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</si>
  <si>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</si>
  <si>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</si>
  <si>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</si>
  <si>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</si>
  <si>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</si>
  <si>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</si>
  <si>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</si>
  <si>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</si>
  <si>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</si>
  <si>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</si>
  <si>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</si>
  <si>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</si>
  <si>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</si>
  <si>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</si>
  <si>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</si>
  <si>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</si>
  <si>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</si>
  <si>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</si>
  <si>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</si>
  <si>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</si>
  <si>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</si>
  <si>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</si>
  <si>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</si>
  <si>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</si>
  <si>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</si>
  <si>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</si>
  <si>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</si>
  <si>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</si>
  <si>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</si>
  <si>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</si>
  <si>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</si>
  <si>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</si>
  <si>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</si>
  <si>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</si>
  <si>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</si>
  <si>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</si>
  <si>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</si>
  <si>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</si>
  <si>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</si>
  <si>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</si>
  <si>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</si>
  <si>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</si>
  <si>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</si>
  <si>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</si>
  <si>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</si>
  <si>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</si>
  <si>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</si>
  <si>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</si>
  <si>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</si>
  <si>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</si>
  <si>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</si>
  <si>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</si>
  <si>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</si>
  <si>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</si>
  <si>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</si>
  <si>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</si>
  <si>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</si>
  <si>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</si>
  <si>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</si>
  <si>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</si>
  <si>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</si>
  <si>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</si>
  <si>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</si>
  <si>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</si>
  <si>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</si>
  <si>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</si>
  <si>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</si>
  <si>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</si>
  <si>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</si>
  <si>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</si>
  <si>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</si>
  <si>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</si>
  <si>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</si>
  <si>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</si>
  <si>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</si>
  <si>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</si>
  <si>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</si>
  <si>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</si>
  <si>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</si>
  <si>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</si>
  <si>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</si>
  <si>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</si>
  <si>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</si>
  <si>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</si>
  <si>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</si>
  <si>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</si>
  <si>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</si>
  <si>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</si>
  <si>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</si>
  <si>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</si>
  <si>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</si>
  <si>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</si>
  <si>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</si>
  <si>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</si>
  <si>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</si>
  <si>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</si>
  <si>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</si>
  <si>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</si>
  <si>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</si>
  <si>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</si>
  <si>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</si>
  <si>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</si>
  <si>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</si>
  <si>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</si>
  <si>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</si>
  <si>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</si>
  <si>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</si>
  <si>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</si>
  <si>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</si>
  <si>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</si>
  <si>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</si>
  <si>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</si>
  <si>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</si>
  <si>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</si>
  <si>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</si>
  <si>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</si>
  <si>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</si>
  <si>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</si>
  <si>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</si>
  <si>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</si>
  <si>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</si>
  <si>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</si>
  <si>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</si>
  <si>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</si>
  <si>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</si>
  <si>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</si>
  <si>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</si>
  <si>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</si>
  <si>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</si>
  <si>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</si>
  <si>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</si>
  <si>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</si>
  <si>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</si>
  <si>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</si>
  <si>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</si>
  <si>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</si>
  <si>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</si>
  <si>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</si>
  <si>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</si>
  <si>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</si>
  <si>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</si>
  <si>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</si>
  <si>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</si>
  <si>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</si>
  <si>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</si>
  <si>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</si>
  <si>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</si>
  <si>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</si>
  <si>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</si>
  <si>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</si>
  <si>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</si>
  <si>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</si>
  <si>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</si>
  <si>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</si>
  <si>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</si>
  <si>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</si>
  <si>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</si>
  <si>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</si>
  <si>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</si>
  <si>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</si>
  <si>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</si>
  <si>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</si>
  <si>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</si>
  <si>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</si>
  <si>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</si>
  <si>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</si>
  <si>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</si>
  <si>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</si>
  <si>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</si>
  <si>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</si>
  <si>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</si>
  <si>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</si>
  <si>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</si>
  <si>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</si>
  <si>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</si>
  <si>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</si>
  <si>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</si>
  <si>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</si>
  <si>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</si>
  <si>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</si>
  <si>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</si>
  <si>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</si>
  <si>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</si>
  <si>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</si>
  <si>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</si>
  <si>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</si>
  <si>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</si>
  <si>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</si>
  <si>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</si>
  <si>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</si>
  <si>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</si>
  <si>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</si>
  <si>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</si>
  <si>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</si>
  <si>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</si>
  <si>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</si>
  <si>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</si>
  <si>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</si>
  <si>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</si>
  <si>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</si>
  <si>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</si>
  <si>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</si>
  <si>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</si>
  <si>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</si>
  <si>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</si>
  <si>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</si>
  <si>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</si>
  <si>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</si>
  <si>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</si>
  <si>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</si>
  <si>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</si>
  <si>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</si>
  <si>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</si>
  <si>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</si>
  <si>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</si>
  <si>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</si>
  <si>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</si>
  <si>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</si>
  <si>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</si>
  <si>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</si>
  <si>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</si>
  <si>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</si>
  <si>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</si>
  <si>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</si>
  <si>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</si>
  <si>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</si>
  <si>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</si>
  <si>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</si>
  <si>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</si>
  <si>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</si>
  <si>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</si>
  <si>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</si>
  <si>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</si>
  <si>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</si>
  <si>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</si>
  <si>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</si>
  <si>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</si>
  <si>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</si>
  <si>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</si>
  <si>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</si>
  <si>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</si>
  <si>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</si>
  <si>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</si>
  <si>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</si>
  <si>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</si>
  <si>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</si>
  <si>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</si>
  <si>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</si>
  <si>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</si>
  <si>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</si>
  <si>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</si>
  <si>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</si>
  <si>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</si>
  <si>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</si>
  <si>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</si>
  <si>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</si>
  <si>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</si>
  <si>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</si>
  <si>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</si>
  <si>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</si>
  <si>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</si>
  <si>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</si>
  <si>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</si>
  <si>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</si>
  <si>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</si>
  <si>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</si>
  <si>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</si>
  <si>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</si>
  <si>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</si>
  <si>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</si>
  <si>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</si>
  <si>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</si>
  <si>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</si>
  <si>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</si>
  <si>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</si>
  <si>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</si>
  <si>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</si>
  <si>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</si>
  <si>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</si>
  <si>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</si>
  <si>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</si>
  <si>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</si>
  <si>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</si>
  <si>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</si>
  <si>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</si>
  <si>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</si>
  <si>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</si>
  <si>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</si>
  <si>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</si>
  <si>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</si>
  <si>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</si>
  <si>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</si>
  <si>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</si>
  <si>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</si>
  <si>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</si>
  <si>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</si>
  <si>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</si>
  <si>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</si>
  <si>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</si>
  <si>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</si>
  <si>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</si>
  <si>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</si>
  <si>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</si>
  <si>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</si>
  <si>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</si>
  <si>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</si>
  <si>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</si>
  <si>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</si>
  <si>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</si>
  <si>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</si>
  <si>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</si>
  <si>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</si>
  <si>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</si>
  <si>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</si>
  <si>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</si>
  <si>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</si>
  <si>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</si>
  <si>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</si>
  <si>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</si>
  <si>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</si>
  <si>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</si>
  <si>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</si>
  <si>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</si>
  <si>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</si>
  <si>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</si>
  <si>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</si>
  <si>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</si>
  <si>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</si>
  <si>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</si>
  <si>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</si>
  <si>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</si>
  <si>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</si>
  <si>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</si>
  <si>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</si>
  <si>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</si>
  <si>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</si>
  <si>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</si>
  <si>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</si>
  <si>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</si>
  <si>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</si>
  <si>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</si>
  <si>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</si>
  <si>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</si>
  <si>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</si>
  <si>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</si>
  <si>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</si>
  <si>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</si>
  <si>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</si>
  <si>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</si>
  <si>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</si>
  <si>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</si>
  <si>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</si>
  <si>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</si>
  <si>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</si>
  <si>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</si>
  <si>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</si>
  <si>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</si>
  <si>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</si>
  <si>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</si>
  <si>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</si>
  <si>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</si>
  <si>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</si>
  <si>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</si>
  <si>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</si>
  <si>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</si>
  <si>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</si>
  <si>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</si>
  <si>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</si>
  <si>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</si>
  <si>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</si>
  <si>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</si>
  <si>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</si>
  <si>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</si>
  <si>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</si>
  <si>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</si>
  <si>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</si>
  <si>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</si>
  <si>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</si>
  <si>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</si>
  <si>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</si>
  <si>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</si>
  <si>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</si>
  <si>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</si>
  <si>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</si>
  <si>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</si>
  <si>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</si>
  <si>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</si>
  <si>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</si>
  <si>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</si>
  <si>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</si>
  <si>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</si>
  <si>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</si>
  <si>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</si>
  <si>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</si>
  <si>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</si>
  <si>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</si>
  <si>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</si>
  <si>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</si>
  <si>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</si>
  <si>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</si>
  <si>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</si>
  <si>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</si>
  <si>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</si>
  <si>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</si>
  <si>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</si>
  <si>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</si>
  <si>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</si>
  <si>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</si>
  <si>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</si>
  <si>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</si>
  <si>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</si>
  <si>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</si>
  <si>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</si>
  <si>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</si>
  <si>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</si>
  <si>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</si>
  <si>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</si>
  <si>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</si>
  <si>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</si>
  <si>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</si>
  <si>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</si>
  <si>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</si>
  <si>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</si>
  <si>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</si>
  <si>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</si>
  <si>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</si>
  <si>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</si>
  <si>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</si>
  <si>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</si>
  <si>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</si>
  <si>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</si>
  <si>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</si>
  <si>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</si>
  <si>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</si>
  <si>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</si>
  <si>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</si>
  <si>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</si>
  <si>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</si>
  <si>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</si>
  <si>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</si>
  <si>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</si>
  <si>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</si>
  <si>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</si>
  <si>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</si>
  <si>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</si>
  <si>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</si>
  <si>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</si>
  <si>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</si>
  <si>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</si>
  <si>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</si>
  <si>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</si>
  <si>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</si>
  <si>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</si>
  <si>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</si>
  <si>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</si>
  <si>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</si>
  <si>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</si>
  <si>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</si>
  <si>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</si>
  <si>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</si>
  <si>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</si>
  <si>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</si>
  <si>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</si>
  <si>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</si>
  <si>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</si>
  <si>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</si>
  <si>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</si>
  <si>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</si>
  <si>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</si>
  <si>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</si>
  <si>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</si>
  <si>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</si>
  <si>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</si>
  <si>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</si>
  <si>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</si>
  <si>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</si>
  <si>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</si>
  <si>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</si>
  <si>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</si>
  <si>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</si>
  <si>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</si>
  <si>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</si>
  <si>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</si>
  <si>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</si>
  <si>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</si>
  <si>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</si>
  <si>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</si>
  <si>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</si>
  <si>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</si>
  <si>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</si>
  <si>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</si>
  <si>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</si>
  <si>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</si>
  <si>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</si>
  <si>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</si>
  <si>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</si>
  <si>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</si>
  <si>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</si>
  <si>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</si>
  <si>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</si>
  <si>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</si>
  <si>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</si>
  <si>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</si>
  <si>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</si>
  <si>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</si>
  <si>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</si>
  <si>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</si>
  <si>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</si>
  <si>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</si>
  <si>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</si>
  <si>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</si>
  <si>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</si>
  <si>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</si>
  <si>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</si>
  <si>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</si>
  <si>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</si>
  <si>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</si>
  <si>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</si>
  <si>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</si>
  <si>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</si>
  <si>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</si>
  <si>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</si>
  <si>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</si>
  <si>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</si>
  <si>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</si>
  <si>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</si>
  <si>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</si>
  <si>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</si>
  <si>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</si>
  <si>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</si>
  <si>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</si>
  <si>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</si>
  <si>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</si>
  <si>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</si>
  <si>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</si>
  <si>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</si>
  <si>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</si>
  <si>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</si>
  <si>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</si>
  <si>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</si>
  <si>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</si>
  <si>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</si>
  <si>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</si>
  <si>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</si>
  <si>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</si>
  <si>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</si>
  <si>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</si>
  <si>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</si>
  <si>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</si>
  <si>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</si>
  <si>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</si>
  <si>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</si>
  <si>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</si>
  <si>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</si>
  <si>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</si>
  <si>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</si>
  <si>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</si>
  <si>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</si>
  <si>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</si>
  <si>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</si>
  <si>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</si>
  <si>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</si>
  <si>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</si>
  <si>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</si>
  <si>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</si>
  <si>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</si>
  <si>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</si>
  <si>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</si>
  <si>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</si>
  <si>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</si>
  <si>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</si>
  <si>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</si>
  <si>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</si>
  <si>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</si>
  <si>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</si>
  <si>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</si>
  <si>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</si>
  <si>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</si>
  <si>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</si>
  <si>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</si>
  <si>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</si>
  <si>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</si>
  <si>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</si>
  <si>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</si>
  <si>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</si>
  <si>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</si>
  <si>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</si>
  <si>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</si>
  <si>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</si>
  <si>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</si>
  <si>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</si>
  <si>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</si>
  <si>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</si>
  <si>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</si>
  <si>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</si>
  <si>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</si>
  <si>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</si>
  <si>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</si>
  <si>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</si>
  <si>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</si>
  <si>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</si>
  <si>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</si>
  <si>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</si>
  <si>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</si>
  <si>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</si>
  <si>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</si>
  <si>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</si>
  <si>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</si>
  <si>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</si>
  <si>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</si>
  <si>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</si>
  <si>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</si>
  <si>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</si>
  <si>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</si>
  <si>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</si>
  <si>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</si>
  <si>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</si>
  <si>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</si>
  <si>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</si>
  <si>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</si>
  <si>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</si>
  <si>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</si>
  <si>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</si>
  <si>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</si>
  <si>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</si>
  <si>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</si>
  <si>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</si>
  <si>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</si>
  <si>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</si>
  <si>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</si>
  <si>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</si>
  <si>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</si>
  <si>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</si>
  <si>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</si>
  <si>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</si>
  <si>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</si>
  <si>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</si>
  <si>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</si>
  <si>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</si>
  <si>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</si>
  <si>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</si>
  <si>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</si>
  <si>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</si>
  <si>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</si>
  <si>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</si>
  <si>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</si>
  <si>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</si>
  <si>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</si>
  <si>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</si>
  <si>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</si>
  <si>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</si>
  <si>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</si>
  <si>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</si>
  <si>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</si>
  <si>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</si>
  <si>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</si>
  <si>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</si>
  <si>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</si>
  <si>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</si>
  <si>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</si>
  <si>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</si>
  <si>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</si>
  <si>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</si>
  <si>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</si>
  <si>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</si>
  <si>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</si>
  <si>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</si>
  <si>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</si>
  <si>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</si>
  <si>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</si>
  <si>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</si>
  <si>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</si>
  <si>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</si>
  <si>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</si>
  <si>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</si>
  <si>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</si>
  <si>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</si>
  <si>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</si>
  <si>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</si>
  <si>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</si>
  <si>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</si>
  <si>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</si>
  <si>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</si>
  <si>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</si>
  <si>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</si>
  <si>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</si>
  <si>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</si>
  <si>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</si>
  <si>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</si>
  <si>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</si>
  <si>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</si>
  <si>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</si>
  <si>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</si>
  <si>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</si>
  <si>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</si>
  <si>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</si>
  <si>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</si>
  <si>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</si>
  <si>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</si>
  <si>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</si>
  <si>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</si>
  <si>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</si>
  <si>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</si>
  <si>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</si>
  <si>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</si>
  <si>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</si>
  <si>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</si>
  <si>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</si>
  <si>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</si>
  <si>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</si>
  <si>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</si>
  <si>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</si>
  <si>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</si>
  <si>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</si>
  <si>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</si>
  <si>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</si>
  <si>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</si>
  <si>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</si>
  <si>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</si>
  <si>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</si>
  <si>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</si>
  <si>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</si>
  <si>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</si>
  <si>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</si>
  <si>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</si>
  <si>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</si>
  <si>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</si>
  <si>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</si>
  <si>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</si>
  <si>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</si>
  <si>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</si>
  <si>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</si>
  <si>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</si>
  <si>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</si>
  <si>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</si>
  <si>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</si>
  <si>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</si>
  <si>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</si>
  <si>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</si>
  <si>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</si>
  <si>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</si>
  <si>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</si>
  <si>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</si>
  <si>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</si>
  <si>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</si>
  <si>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</si>
  <si>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</si>
  <si>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</si>
  <si>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</si>
  <si>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</si>
  <si>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</si>
  <si>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</si>
  <si>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</si>
  <si>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</si>
  <si>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</si>
  <si>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</si>
  <si>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</si>
  <si>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</si>
  <si>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</si>
  <si>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</si>
  <si>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</si>
  <si>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</si>
  <si>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</si>
  <si>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</si>
  <si>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</si>
  <si>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</si>
  <si>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</si>
  <si>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</si>
  <si>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</si>
  <si>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</si>
  <si>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</si>
  <si>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</si>
  <si>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</si>
  <si>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</si>
  <si>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</si>
  <si>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</si>
  <si>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</si>
  <si>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</si>
  <si>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</si>
  <si>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</si>
  <si>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</si>
  <si>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</si>
  <si>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</si>
  <si>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</si>
  <si>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</si>
  <si>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</si>
  <si>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</si>
  <si>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</si>
  <si>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</si>
  <si>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</si>
  <si>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</si>
  <si>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</si>
  <si>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</si>
  <si>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</si>
  <si>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</si>
  <si>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</si>
  <si>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</si>
  <si>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</si>
  <si>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</si>
  <si>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</si>
  <si>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</si>
  <si>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</si>
  <si>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</si>
  <si>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</si>
  <si>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</si>
  <si>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</si>
  <si>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</si>
  <si>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</si>
  <si>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</si>
  <si>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</si>
  <si>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</si>
  <si>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</si>
  <si>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</si>
  <si>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</si>
  <si>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</si>
  <si>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</si>
  <si>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</si>
  <si>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</si>
  <si>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</si>
  <si>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</si>
  <si>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</si>
  <si>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</si>
  <si>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</si>
  <si>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</si>
  <si>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</si>
  <si>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</si>
  <si>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</si>
  <si>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</si>
  <si>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</si>
  <si>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</si>
  <si>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</si>
  <si>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</si>
  <si>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</si>
  <si>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</si>
  <si>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</si>
  <si>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</si>
  <si>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</si>
  <si>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</si>
  <si>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</si>
  <si>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</si>
  <si>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</si>
  <si>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</si>
  <si>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</si>
  <si>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</si>
  <si>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</si>
  <si>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</si>
  <si>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</si>
  <si>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</si>
  <si>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</si>
  <si>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</si>
  <si>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</si>
  <si>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</si>
  <si>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</si>
  <si>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</si>
  <si>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</si>
  <si>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</si>
  <si>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</si>
  <si>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</si>
  <si>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</si>
  <si>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</si>
  <si>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</si>
  <si>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</si>
  <si>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</si>
  <si>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</si>
  <si>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</si>
  <si>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</si>
  <si>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</si>
  <si>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</si>
  <si>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</si>
  <si>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</si>
  <si>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</si>
  <si>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</si>
  <si>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</si>
  <si>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</si>
  <si>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</si>
  <si>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</si>
  <si>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</si>
  <si>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</si>
  <si>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</si>
  <si>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</si>
  <si>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</si>
  <si>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</si>
  <si>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</si>
  <si>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</si>
  <si>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</si>
  <si>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</si>
  <si>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</si>
  <si>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</si>
  <si>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</si>
  <si>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</si>
  <si>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</si>
  <si>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</si>
  <si>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</si>
  <si>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</si>
  <si>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</si>
  <si>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</si>
  <si>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</si>
  <si>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</si>
  <si>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</si>
  <si>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</si>
  <si>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</si>
  <si>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</si>
  <si>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</si>
  <si>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</si>
  <si>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</si>
  <si>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</si>
  <si>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</si>
  <si>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</si>
  <si>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</si>
  <si>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</si>
  <si>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</si>
  <si>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</si>
  <si>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</si>
  <si>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</si>
  <si>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</si>
  <si>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</si>
  <si>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</si>
  <si>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</si>
  <si>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</si>
  <si>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</si>
  <si>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</si>
  <si>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</si>
  <si>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</si>
  <si>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</si>
  <si>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</si>
  <si>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</si>
  <si>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</si>
  <si>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</si>
  <si>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</si>
  <si>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</si>
  <si>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</si>
  <si>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</si>
  <si>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</si>
  <si>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</si>
  <si>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</si>
  <si>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</si>
  <si>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</si>
  <si>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</si>
  <si>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</si>
  <si>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</si>
  <si>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</si>
  <si>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</si>
  <si>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</si>
  <si>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</si>
  <si>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</si>
  <si>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</si>
  <si>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</si>
  <si>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</si>
  <si>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</si>
  <si>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</si>
  <si>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</si>
  <si>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</si>
  <si>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</si>
  <si>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</si>
  <si>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</si>
  <si>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</si>
  <si>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</si>
  <si>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</si>
  <si>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</si>
  <si>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</si>
  <si>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</si>
  <si>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</si>
  <si>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</si>
  <si>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</si>
  <si>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</si>
  <si>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</si>
  <si>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</si>
  <si>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</si>
  <si>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</si>
  <si>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</si>
  <si>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</si>
  <si>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</si>
  <si>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</si>
  <si>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</si>
  <si>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</si>
  <si>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</si>
  <si>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</si>
  <si>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</si>
  <si>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</si>
  <si>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</si>
  <si>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</si>
  <si>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</si>
  <si>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</si>
  <si>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</si>
  <si>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</si>
  <si>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</si>
  <si>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</si>
  <si>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</si>
  <si>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</si>
  <si>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</si>
  <si>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</si>
  <si>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</si>
  <si>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</si>
  <si>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</si>
  <si>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</si>
  <si>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</si>
  <si>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</si>
  <si>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</si>
  <si>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</si>
  <si>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</si>
  <si>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</si>
  <si>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</si>
  <si>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</si>
  <si>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</si>
  <si>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</si>
  <si>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</si>
  <si>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</si>
  <si>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</si>
  <si>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</si>
  <si>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</si>
  <si>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</si>
  <si>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</si>
  <si>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</si>
  <si>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</si>
  <si>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</si>
  <si>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</si>
  <si>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</si>
  <si>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</si>
  <si>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</si>
  <si>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</si>
  <si>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</si>
  <si>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</si>
  <si>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</si>
  <si>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</si>
  <si>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</si>
  <si>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</si>
  <si>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</si>
  <si>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</si>
  <si>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</si>
  <si>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</si>
  <si>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</si>
  <si>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</si>
  <si>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</si>
  <si>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</si>
  <si>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</si>
  <si>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</si>
  <si>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</si>
  <si>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</si>
  <si>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</si>
  <si>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</si>
  <si>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</si>
  <si>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</si>
  <si>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</si>
  <si>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</si>
  <si>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</si>
  <si>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</si>
  <si>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</si>
  <si>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</si>
  <si>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</si>
  <si>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</si>
  <si>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</si>
  <si>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</si>
  <si>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</si>
  <si>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</si>
  <si>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</si>
  <si>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</si>
  <si>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</si>
  <si>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</si>
  <si>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</si>
  <si>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</si>
  <si>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</si>
  <si>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</si>
  <si>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</si>
  <si>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</si>
  <si>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</si>
  <si>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</si>
  <si>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</si>
  <si>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</si>
  <si>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</si>
  <si>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</si>
  <si>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</si>
  <si>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</si>
  <si>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</si>
  <si>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</si>
  <si>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</si>
  <si>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</si>
  <si>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</si>
  <si>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</si>
  <si>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</si>
  <si>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</si>
  <si>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</si>
  <si>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</si>
  <si>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</si>
  <si>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</si>
  <si>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</si>
  <si>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</si>
  <si>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</si>
  <si>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</si>
  <si>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</si>
  <si>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</si>
  <si>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</si>
  <si>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</si>
  <si>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</si>
  <si>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</si>
  <si>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</si>
  <si>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</si>
  <si>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</si>
  <si>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</si>
  <si>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</si>
  <si>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</si>
  <si>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</si>
  <si>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</si>
  <si>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</si>
  <si>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</si>
  <si>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</si>
  <si>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</si>
  <si>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</si>
  <si>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</si>
  <si>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</si>
  <si>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</si>
  <si>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</si>
  <si>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</si>
  <si>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</si>
  <si>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</si>
  <si>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</si>
  <si>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</si>
  <si>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</si>
  <si>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</si>
  <si>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</si>
  <si>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</si>
  <si>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</si>
  <si>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</si>
  <si>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</si>
  <si>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</si>
  <si>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</si>
  <si>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</si>
  <si>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</si>
  <si>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</si>
  <si>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</si>
  <si>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</si>
  <si>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</si>
  <si>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</si>
  <si>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</si>
  <si>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</si>
  <si>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</si>
  <si>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</si>
  <si>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</si>
  <si>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</si>
  <si>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</si>
  <si>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</si>
  <si>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</si>
  <si>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</si>
  <si>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</si>
  <si>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</si>
  <si>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</si>
  <si>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</si>
  <si>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</si>
  <si>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</si>
  <si>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</si>
  <si>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</si>
  <si>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</si>
  <si>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</si>
  <si>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</si>
  <si>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</si>
  <si>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</si>
  <si>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</si>
  <si>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</si>
  <si>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</si>
  <si>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</si>
  <si>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</si>
  <si>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</si>
  <si>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</si>
  <si>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</si>
  <si>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</si>
  <si>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</si>
  <si>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</si>
  <si>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</si>
  <si>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</si>
  <si>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</si>
  <si>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</si>
  <si>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</si>
  <si>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</si>
  <si>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</si>
  <si>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</si>
  <si>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</si>
  <si>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</si>
  <si>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</si>
  <si>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</si>
  <si>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</si>
  <si>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</si>
  <si>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</si>
  <si>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</si>
  <si>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</si>
  <si>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</si>
  <si>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</si>
  <si>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</si>
  <si>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</si>
  <si>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</si>
  <si>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</si>
  <si>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</si>
  <si>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</si>
  <si>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</si>
  <si>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</si>
  <si>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</si>
  <si>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</si>
  <si>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</si>
  <si>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</si>
  <si>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</si>
  <si>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</si>
  <si>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</si>
  <si>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</si>
  <si>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</si>
  <si>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</si>
  <si>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</si>
  <si>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</si>
  <si>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</si>
  <si>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</si>
  <si>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</si>
  <si>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</si>
  <si>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</si>
  <si>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</si>
  <si>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</si>
  <si>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</si>
  <si>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</si>
  <si>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</si>
  <si>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</si>
  <si>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</si>
  <si>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</si>
  <si>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</si>
  <si>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</si>
  <si>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</si>
  <si>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</si>
  <si>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</si>
  <si>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</si>
  <si>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</si>
  <si>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</si>
  <si>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</si>
  <si>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</si>
  <si>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</si>
  <si>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</si>
  <si>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</si>
  <si>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</si>
  <si>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</si>
  <si>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</si>
  <si>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</si>
  <si>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</si>
  <si>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</si>
  <si>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</si>
  <si>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</si>
  <si>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</si>
  <si>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</si>
  <si>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</si>
  <si>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</si>
  <si>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</si>
  <si>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</si>
  <si>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</si>
  <si>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</si>
  <si>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</si>
  <si>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</si>
  <si>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</si>
  <si>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</si>
  <si>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</si>
  <si>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</si>
  <si>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</si>
  <si>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</si>
  <si>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</si>
  <si>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</si>
  <si>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</si>
  <si>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</si>
  <si>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</si>
  <si>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</si>
  <si>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</si>
  <si>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</si>
  <si>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</si>
  <si>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</si>
  <si>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</si>
  <si>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</si>
  <si>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</si>
  <si>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</si>
  <si>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</si>
  <si>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</si>
  <si>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</si>
  <si>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</si>
  <si>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</si>
  <si>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</si>
  <si>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</si>
  <si>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</si>
  <si>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</si>
  <si>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</si>
  <si>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</si>
  <si>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</si>
  <si>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</si>
  <si>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</si>
  <si>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</si>
  <si>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</si>
  <si>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</si>
  <si>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</si>
  <si>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</si>
  <si>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</si>
  <si>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</si>
  <si>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</si>
  <si>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</si>
  <si>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</si>
  <si>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</si>
  <si>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</si>
  <si>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</si>
  <si>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</si>
  <si>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</si>
  <si>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</si>
  <si>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</si>
  <si>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</si>
  <si>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</si>
  <si>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</si>
  <si>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</si>
  <si>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</si>
  <si>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</si>
  <si>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</si>
  <si>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</si>
  <si>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</si>
  <si>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</si>
  <si>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</si>
  <si>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</si>
  <si>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</si>
  <si>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</si>
  <si>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</si>
  <si>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</si>
  <si>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</si>
  <si>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</si>
  <si>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</si>
  <si>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</si>
  <si>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</si>
  <si>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</si>
  <si>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</si>
  <si>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</si>
  <si>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</si>
  <si>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</si>
  <si>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</si>
  <si>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</si>
  <si>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</si>
  <si>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</si>
  <si>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</si>
  <si>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</si>
  <si>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</si>
  <si>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</si>
  <si>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</si>
  <si>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</si>
  <si>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</si>
  <si>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</si>
  <si>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</si>
  <si>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</si>
  <si>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</si>
  <si>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</si>
  <si>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</si>
  <si>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</si>
  <si>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</si>
  <si>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</si>
  <si>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</si>
  <si>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</si>
  <si>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</si>
  <si>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</si>
  <si>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</si>
  <si>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</si>
  <si>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</si>
  <si>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</si>
  <si>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</si>
  <si>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</si>
  <si>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</si>
  <si>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</si>
  <si>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</si>
  <si>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</si>
  <si>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</si>
  <si>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</si>
  <si>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</si>
  <si>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</si>
  <si>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</si>
  <si>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</si>
  <si>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</si>
  <si>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</si>
  <si>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</si>
  <si>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</si>
  <si>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</si>
  <si>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</si>
  <si>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</si>
  <si>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</si>
  <si>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</si>
  <si>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</si>
  <si>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</si>
  <si>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</si>
  <si>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</si>
  <si>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</si>
  <si>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</si>
  <si>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</si>
  <si>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</si>
  <si>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</si>
  <si>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</si>
  <si>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</si>
  <si>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</si>
  <si>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</si>
  <si>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</si>
  <si>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</si>
  <si>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</si>
  <si>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</si>
  <si>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</si>
  <si>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</si>
  <si>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</si>
  <si>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</si>
  <si>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</si>
  <si>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</si>
  <si>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</si>
  <si>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</si>
  <si>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</si>
  <si>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</si>
  <si>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</si>
  <si>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</si>
  <si>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</si>
  <si>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</si>
  <si>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</si>
  <si>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</si>
  <si>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</si>
  <si>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</si>
  <si>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</si>
  <si>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</si>
  <si>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</si>
  <si>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</si>
  <si>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</si>
  <si>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</si>
  <si>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</si>
  <si>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</si>
  <si>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</si>
  <si>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</si>
  <si>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</si>
  <si>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</si>
  <si>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</si>
  <si>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</si>
  <si>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</si>
  <si>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</si>
  <si>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</si>
  <si>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</si>
  <si>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</si>
  <si>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</si>
  <si>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</si>
  <si>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</si>
  <si>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</si>
  <si>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</si>
  <si>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</si>
  <si>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</si>
  <si>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</si>
  <si>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</si>
  <si>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</si>
  <si>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</si>
  <si>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</si>
  <si>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</si>
  <si>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</si>
  <si>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</si>
  <si>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</si>
  <si>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</si>
  <si>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</si>
  <si>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</si>
  <si>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</si>
  <si>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</si>
  <si>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</si>
  <si>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</si>
  <si>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</si>
  <si>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</si>
  <si>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</si>
  <si>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</si>
  <si>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</si>
  <si>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</si>
  <si>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</si>
  <si>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</si>
  <si>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</si>
  <si>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</si>
  <si>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</si>
  <si>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</si>
  <si>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</si>
  <si>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</si>
  <si>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</si>
  <si>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</si>
  <si>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</si>
  <si>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</si>
  <si>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</si>
  <si>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</si>
  <si>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</si>
  <si>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</si>
  <si>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</si>
  <si>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</si>
  <si>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</si>
  <si>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</si>
  <si>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</si>
  <si>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</si>
  <si>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</si>
  <si>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</si>
  <si>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</si>
  <si>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</si>
  <si>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</si>
  <si>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</si>
  <si>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</si>
  <si>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</si>
  <si>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</si>
  <si>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</si>
  <si>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</si>
  <si>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</si>
  <si>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</si>
  <si>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</si>
  <si>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</si>
  <si>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</si>
  <si>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</si>
  <si>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</si>
  <si>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</si>
  <si>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</si>
  <si>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</si>
  <si>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</si>
  <si>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</si>
  <si>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</si>
  <si>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</si>
  <si>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</si>
  <si>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</si>
  <si>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</si>
  <si>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</si>
  <si>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</si>
  <si>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</si>
  <si>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</si>
  <si>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</si>
  <si>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</si>
  <si>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</si>
  <si>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</si>
  <si>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</si>
  <si>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</si>
  <si>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</si>
  <si>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</si>
  <si>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</si>
  <si>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</si>
  <si>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</si>
  <si>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</si>
  <si>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</si>
  <si>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</si>
  <si>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</si>
  <si>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</si>
  <si>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</si>
  <si>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</si>
  <si>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</si>
  <si>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</si>
  <si>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</si>
  <si>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</si>
  <si>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</si>
  <si>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</si>
  <si>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</si>
  <si>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</si>
  <si>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</si>
  <si>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</si>
  <si>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</si>
  <si>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</si>
  <si>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</si>
  <si>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</si>
  <si>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</si>
  <si>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</si>
  <si>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</si>
  <si>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</si>
  <si>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</si>
  <si>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</si>
  <si>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</si>
  <si>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</si>
  <si>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</si>
  <si>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</si>
  <si>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</si>
  <si>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</si>
  <si>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</si>
  <si>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</si>
  <si>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</si>
  <si>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</si>
  <si>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</si>
  <si>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</si>
  <si>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</si>
  <si>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</si>
  <si>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</si>
  <si>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</si>
  <si>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</si>
  <si>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</si>
  <si>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</si>
  <si>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</si>
  <si>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</si>
  <si>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</si>
  <si>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</si>
  <si>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</si>
  <si>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</si>
  <si>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</si>
  <si>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</si>
  <si>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</si>
  <si>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</si>
  <si>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</si>
  <si>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</si>
  <si>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</si>
  <si>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</si>
  <si>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</si>
  <si>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</si>
  <si>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</si>
  <si>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</si>
  <si>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</si>
  <si>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</si>
  <si>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</si>
  <si>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</si>
  <si>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</si>
  <si>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</si>
  <si>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</si>
  <si>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</si>
  <si>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</si>
  <si>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</si>
  <si>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</si>
  <si>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</si>
  <si>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</si>
  <si>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</si>
  <si>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</si>
  <si>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</si>
  <si>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</si>
  <si>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</si>
  <si>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</si>
  <si>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</si>
  <si>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</si>
  <si>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</si>
  <si>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</si>
  <si>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</si>
  <si>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</si>
  <si>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</si>
  <si>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</si>
  <si>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</si>
  <si>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</si>
  <si>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</si>
  <si>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</si>
  <si>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</si>
  <si>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</si>
  <si>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</si>
  <si>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</si>
  <si>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</si>
  <si>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</si>
  <si>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</si>
  <si>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</si>
  <si>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</si>
  <si>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</si>
  <si>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</si>
  <si>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</si>
  <si>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</si>
  <si>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</si>
  <si>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</si>
  <si>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</si>
  <si>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</si>
  <si>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</si>
  <si>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</si>
  <si>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</si>
  <si>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</si>
  <si>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</si>
  <si>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</si>
  <si>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</si>
  <si>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</si>
  <si>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</si>
  <si>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</si>
  <si>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</si>
  <si>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</si>
  <si>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</si>
  <si>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</si>
  <si>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</si>
  <si>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</si>
  <si>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</si>
  <si>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</si>
  <si>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</si>
  <si>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</si>
  <si>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</si>
  <si>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</si>
  <si>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</si>
  <si>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</si>
  <si>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</si>
  <si>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</si>
  <si>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</si>
  <si>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</si>
  <si>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</si>
  <si>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</si>
  <si>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</si>
  <si>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</si>
  <si>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</si>
  <si>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</si>
  <si>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</si>
  <si>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</si>
  <si>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</si>
  <si>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</si>
  <si>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</si>
  <si>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</si>
  <si>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</si>
  <si>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</si>
  <si>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</si>
  <si>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</si>
  <si>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</si>
  <si>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</si>
  <si>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</si>
  <si>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</si>
  <si>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</si>
  <si>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</si>
  <si>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</si>
  <si>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</si>
  <si>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</si>
  <si>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</si>
  <si>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</si>
  <si>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</si>
  <si>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</si>
  <si>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</si>
  <si>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</si>
  <si>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</si>
  <si>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</si>
  <si>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</si>
  <si>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</si>
  <si>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</si>
  <si>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</si>
  <si>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</si>
  <si>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</si>
  <si>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</si>
  <si>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</si>
  <si>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</si>
  <si>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</si>
  <si>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</si>
  <si>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</si>
  <si>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</si>
  <si>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</si>
  <si>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</si>
  <si>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</si>
  <si>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</si>
  <si>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</si>
  <si>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</si>
  <si>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</si>
  <si>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</si>
  <si>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</si>
  <si>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</si>
  <si>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</si>
  <si>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</si>
  <si>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</si>
  <si>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</si>
  <si>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</si>
  <si>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</si>
  <si>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</si>
  <si>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</si>
  <si>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</si>
  <si>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</si>
  <si>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</si>
  <si>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</si>
  <si>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</si>
  <si>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</si>
  <si>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</si>
  <si>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</si>
  <si>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</si>
  <si>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</si>
  <si>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</si>
  <si>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</si>
  <si>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</si>
  <si>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</si>
  <si>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</si>
  <si>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</si>
  <si>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</si>
  <si>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</si>
  <si>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</si>
  <si>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</si>
  <si>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</si>
  <si>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</si>
  <si>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</si>
  <si>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</si>
  <si>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</si>
  <si>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</si>
  <si>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</si>
  <si>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</si>
  <si>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</si>
  <si>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</si>
  <si>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</si>
  <si>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</si>
  <si>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</si>
  <si>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</si>
  <si>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</si>
  <si>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</si>
  <si>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</si>
  <si>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</si>
  <si>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</si>
  <si>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</si>
  <si>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</si>
  <si>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</si>
  <si>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</si>
  <si>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</si>
  <si>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</si>
  <si>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</si>
  <si>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</si>
  <si>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</si>
  <si>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</si>
  <si>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</si>
  <si>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</si>
  <si>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</si>
  <si>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</si>
  <si>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</si>
  <si>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</si>
  <si>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</si>
  <si>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</si>
  <si>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</si>
  <si>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</si>
  <si>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</si>
  <si>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</si>
  <si>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</si>
  <si>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</si>
  <si>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</si>
  <si>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</si>
  <si>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</si>
  <si>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</si>
  <si>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</si>
  <si>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</si>
  <si>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</si>
  <si>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</si>
  <si>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</si>
  <si>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</si>
  <si>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</si>
  <si>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</si>
  <si>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</si>
  <si>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</si>
  <si>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</si>
  <si>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</si>
  <si>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</si>
  <si>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</si>
  <si>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</si>
  <si>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</si>
  <si>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</si>
  <si>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</si>
  <si>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</si>
  <si>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</si>
  <si>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</si>
  <si>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</si>
  <si>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</si>
  <si>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</si>
  <si>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</si>
  <si>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</si>
  <si>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</si>
  <si>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</si>
  <si>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</si>
  <si>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</si>
  <si>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</si>
  <si>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</si>
  <si>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</si>
  <si>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</si>
  <si>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</si>
  <si>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</si>
  <si>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</si>
  <si>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</si>
  <si>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</si>
  <si>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</si>
  <si>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</si>
  <si>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</si>
  <si>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</si>
  <si>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</si>
  <si>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</si>
  <si>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</si>
  <si>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</si>
  <si>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</si>
  <si>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</si>
  <si>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</si>
  <si>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</si>
  <si>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</si>
  <si>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</si>
  <si>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</si>
  <si>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</si>
  <si>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</si>
  <si>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</si>
  <si>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</si>
  <si>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</si>
  <si>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</si>
  <si>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</si>
  <si>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</si>
  <si>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</si>
  <si>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</si>
  <si>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</si>
  <si>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</si>
  <si>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</si>
  <si>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</si>
  <si>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</si>
  <si>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</si>
  <si>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</si>
  <si>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</si>
  <si>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</si>
  <si>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</si>
  <si>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</si>
  <si>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</si>
  <si>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</si>
  <si>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</si>
  <si>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</si>
  <si>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</si>
  <si>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</si>
  <si>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</si>
  <si>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</si>
  <si>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</si>
  <si>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</si>
  <si>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</si>
  <si>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</si>
  <si>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</si>
  <si>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</si>
  <si>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</si>
  <si>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</si>
  <si>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</si>
  <si>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</si>
  <si>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</si>
  <si>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</si>
  <si>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</si>
  <si>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</si>
  <si>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</si>
  <si>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</si>
  <si>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</si>
  <si>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</si>
  <si>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</si>
  <si>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</si>
  <si>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</si>
  <si>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</si>
  <si>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</si>
  <si>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</si>
  <si>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</si>
  <si>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</si>
  <si>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</si>
  <si>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</si>
  <si>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</si>
  <si>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</si>
  <si>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</si>
  <si>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</si>
  <si>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</si>
  <si>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</si>
  <si>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</si>
  <si>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</si>
  <si>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</si>
  <si>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</si>
  <si>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</si>
  <si>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</si>
  <si>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</si>
  <si>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</si>
  <si>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</si>
  <si>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</si>
  <si>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</si>
  <si>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</si>
  <si>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</si>
  <si>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</si>
  <si>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</si>
  <si>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</si>
  <si>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</si>
  <si>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</si>
  <si>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</si>
  <si>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</si>
  <si>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</si>
  <si>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</si>
  <si>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</si>
  <si>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</si>
  <si>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</si>
  <si>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</si>
  <si>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</si>
  <si>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</si>
  <si>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</si>
  <si>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</si>
  <si>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</si>
  <si>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</si>
  <si>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</si>
  <si>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</si>
  <si>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</si>
  <si>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</si>
  <si>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</si>
  <si>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</si>
  <si>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</si>
  <si>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</si>
  <si>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</si>
  <si>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</si>
  <si>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</si>
  <si>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</si>
  <si>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</si>
  <si>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</si>
  <si>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</si>
  <si>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</si>
  <si>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</si>
  <si>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</si>
  <si>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</si>
  <si>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</si>
  <si>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</si>
  <si>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</si>
  <si>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</si>
  <si>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</si>
  <si>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</si>
  <si>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</si>
  <si>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</si>
  <si>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</si>
  <si>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</si>
  <si>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</si>
  <si>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</si>
  <si>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</si>
  <si>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</si>
  <si>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</si>
  <si>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</si>
  <si>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</si>
  <si>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</si>
  <si>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</si>
  <si>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</si>
  <si>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</si>
  <si>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</si>
  <si>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</si>
  <si>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</si>
  <si>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</si>
  <si>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</si>
  <si>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</si>
  <si>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</si>
  <si>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</si>
  <si>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</si>
  <si>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</si>
  <si>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</si>
  <si>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</si>
  <si>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</si>
  <si>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</si>
  <si>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</si>
  <si>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</si>
  <si>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</si>
  <si>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</si>
  <si>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</si>
  <si>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</si>
  <si>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</si>
  <si>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</si>
  <si>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</si>
  <si>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</si>
  <si>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</si>
  <si>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</si>
  <si>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</si>
  <si>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</si>
  <si>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</si>
  <si>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</si>
  <si>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</si>
  <si>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</si>
  <si>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</si>
  <si>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</si>
  <si>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</si>
  <si>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</si>
  <si>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</si>
  <si>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</si>
  <si>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</si>
  <si>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</si>
  <si>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</si>
  <si>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</si>
  <si>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</si>
  <si>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</si>
  <si>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</si>
  <si>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</si>
  <si>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</si>
  <si>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</si>
  <si>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</si>
  <si>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</si>
  <si>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</si>
  <si>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</si>
  <si>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</si>
  <si>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</si>
  <si>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</si>
  <si>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</si>
  <si>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</si>
  <si>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</si>
  <si>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</si>
  <si>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</si>
  <si>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</si>
  <si>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</si>
  <si>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</si>
  <si>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</si>
  <si>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</si>
  <si>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</si>
  <si>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</si>
  <si>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</si>
  <si>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</si>
  <si>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</si>
  <si>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</si>
  <si>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</si>
  <si>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</si>
  <si>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</si>
  <si>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</si>
  <si>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</si>
  <si>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</si>
  <si>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</si>
  <si>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</si>
  <si>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</si>
  <si>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</si>
  <si>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</si>
  <si>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</si>
  <si>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</si>
  <si>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</si>
  <si>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</si>
  <si>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</si>
  <si>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</si>
  <si>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</si>
  <si>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</si>
  <si>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</si>
  <si>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</si>
  <si>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</si>
  <si>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</si>
  <si>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</si>
  <si>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</si>
  <si>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</si>
  <si>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</si>
  <si>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</si>
  <si>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</si>
  <si>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</si>
  <si>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</si>
  <si>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</si>
  <si>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</si>
  <si>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</si>
  <si>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</si>
  <si>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</si>
  <si>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</si>
  <si>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</si>
  <si>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</si>
  <si>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</si>
  <si>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</si>
  <si>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</si>
  <si>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</si>
  <si>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</si>
  <si>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</si>
  <si>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</si>
  <si>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</si>
  <si>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</si>
  <si>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</si>
  <si>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</si>
  <si>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</si>
  <si>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</si>
  <si>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</si>
  <si>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</si>
  <si>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吴薇</t>
  </si>
  <si>
    <t>崔锴</t>
  </si>
  <si>
    <t>抵押</t>
  </si>
  <si>
    <t>房地产抵押价值</t>
  </si>
  <si>
    <t>北京市</t>
  </si>
  <si>
    <t>企业</t>
  </si>
  <si>
    <t>29-337地块</t>
    <phoneticPr fontId="134" type="noConversion"/>
  </si>
  <si>
    <t>土地面积</t>
    <phoneticPr fontId="134" type="noConversion"/>
  </si>
  <si>
    <t>用途</t>
    <phoneticPr fontId="134" type="noConversion"/>
  </si>
  <si>
    <t>绿隔产业用地</t>
    <phoneticPr fontId="134" type="noConversion"/>
  </si>
  <si>
    <t>乡村建设规划许可证</t>
    <phoneticPr fontId="134" type="noConversion"/>
  </si>
  <si>
    <t>乡字第2018规土（朝）乡建字0001号</t>
    <phoneticPr fontId="134" type="noConversion"/>
  </si>
  <si>
    <t>楼号</t>
    <phoneticPr fontId="134" type="noConversion"/>
  </si>
  <si>
    <t>合计</t>
    <phoneticPr fontId="134" type="noConversion"/>
  </si>
  <si>
    <t>地上</t>
    <phoneticPr fontId="134" type="noConversion"/>
  </si>
  <si>
    <t>地下</t>
    <phoneticPr fontId="134" type="noConversion"/>
  </si>
  <si>
    <t>人防（地上）</t>
    <phoneticPr fontId="134" type="noConversion"/>
  </si>
  <si>
    <t>人防（地下）</t>
    <phoneticPr fontId="134" type="noConversion"/>
  </si>
  <si>
    <t>楼层</t>
    <phoneticPr fontId="134" type="noConversion"/>
  </si>
  <si>
    <t>用途</t>
    <phoneticPr fontId="134" type="noConversion"/>
  </si>
  <si>
    <t>容积率</t>
    <phoneticPr fontId="134" type="noConversion"/>
  </si>
  <si>
    <r>
      <t>2</t>
    </r>
    <r>
      <rPr>
        <sz val="11"/>
        <color theme="1"/>
        <rFont val="宋体"/>
        <family val="3"/>
        <charset val="134"/>
        <scheme val="minor"/>
      </rPr>
      <t>9-337地块</t>
    </r>
    <phoneticPr fontId="134" type="noConversion"/>
  </si>
  <si>
    <r>
      <t>1</t>
    </r>
    <r>
      <rPr>
        <sz val="11"/>
        <color theme="1"/>
        <rFont val="宋体"/>
        <family val="3"/>
        <charset val="134"/>
        <scheme val="minor"/>
      </rPr>
      <t>#</t>
    </r>
    <phoneticPr fontId="134" type="noConversion"/>
  </si>
  <si>
    <t>大师工坊</t>
    <phoneticPr fontId="134" type="noConversion"/>
  </si>
  <si>
    <t>楼号</t>
    <phoneticPr fontId="134" type="noConversion"/>
  </si>
  <si>
    <t>小计</t>
    <phoneticPr fontId="134" type="noConversion"/>
  </si>
  <si>
    <t>地上</t>
    <phoneticPr fontId="134" type="noConversion"/>
  </si>
  <si>
    <t>地下</t>
    <phoneticPr fontId="134" type="noConversion"/>
  </si>
  <si>
    <r>
      <t>2#</t>
    </r>
    <r>
      <rPr>
        <sz val="11"/>
        <color theme="1"/>
        <rFont val="宋体"/>
        <family val="3"/>
        <charset val="134"/>
        <scheme val="minor"/>
      </rPr>
      <t/>
    </r>
  </si>
  <si>
    <t>大师工坊</t>
    <phoneticPr fontId="134" type="noConversion"/>
  </si>
  <si>
    <r>
      <t>1</t>
    </r>
    <r>
      <rPr>
        <sz val="11"/>
        <color theme="1"/>
        <rFont val="宋体"/>
        <family val="3"/>
        <charset val="134"/>
        <scheme val="minor"/>
      </rPr>
      <t>#</t>
    </r>
    <phoneticPr fontId="134" type="noConversion"/>
  </si>
  <si>
    <r>
      <t>3#</t>
    </r>
    <r>
      <rPr>
        <sz val="11"/>
        <color theme="1"/>
        <rFont val="宋体"/>
        <family val="3"/>
        <charset val="134"/>
        <scheme val="minor"/>
      </rPr>
      <t/>
    </r>
  </si>
  <si>
    <r>
      <t>4#</t>
    </r>
    <r>
      <rPr>
        <sz val="11"/>
        <color theme="1"/>
        <rFont val="宋体"/>
        <family val="3"/>
        <charset val="134"/>
        <scheme val="minor"/>
      </rPr>
      <t/>
    </r>
  </si>
  <si>
    <t>大师工坊</t>
    <phoneticPr fontId="134" type="noConversion"/>
  </si>
  <si>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</si>
  <si>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</si>
  <si>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</si>
  <si>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</si>
  <si>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t>工作室</t>
    <phoneticPr fontId="134" type="noConversion"/>
  </si>
  <si>
    <r>
      <t>9#</t>
    </r>
    <r>
      <rPr>
        <sz val="11"/>
        <color theme="1"/>
        <rFont val="宋体"/>
        <family val="3"/>
        <charset val="134"/>
        <scheme val="minor"/>
      </rPr>
      <t/>
    </r>
  </si>
  <si>
    <r>
      <t>10#</t>
    </r>
    <r>
      <rPr>
        <sz val="11"/>
        <color theme="1"/>
        <rFont val="宋体"/>
        <family val="3"/>
        <charset val="134"/>
        <scheme val="minor"/>
      </rPr>
      <t/>
    </r>
  </si>
  <si>
    <t>11#地下车库</t>
    <phoneticPr fontId="134" type="noConversion"/>
  </si>
  <si>
    <t>合计</t>
    <phoneticPr fontId="134" type="noConversion"/>
  </si>
  <si>
    <t>11#地下车库</t>
    <phoneticPr fontId="134" type="noConversion"/>
  </si>
  <si>
    <t>小计</t>
    <phoneticPr fontId="134" type="noConversion"/>
  </si>
  <si>
    <t>29-338地块</t>
    <phoneticPr fontId="134" type="noConversion"/>
  </si>
  <si>
    <t>楼号</t>
    <phoneticPr fontId="134" type="noConversion"/>
  </si>
  <si>
    <t>地上</t>
    <phoneticPr fontId="134" type="noConversion"/>
  </si>
  <si>
    <t>地下</t>
    <phoneticPr fontId="134" type="noConversion"/>
  </si>
  <si>
    <r>
      <t>1</t>
    </r>
    <r>
      <rPr>
        <sz val="11"/>
        <color theme="1"/>
        <rFont val="宋体"/>
        <family val="3"/>
        <charset val="134"/>
        <scheme val="minor"/>
      </rPr>
      <t>#</t>
    </r>
    <phoneticPr fontId="134" type="noConversion"/>
  </si>
  <si>
    <t>土地面积</t>
    <phoneticPr fontId="134" type="noConversion"/>
  </si>
  <si>
    <t>用途</t>
    <phoneticPr fontId="134" type="noConversion"/>
  </si>
  <si>
    <t>绿隔产业用地</t>
    <phoneticPr fontId="134" type="noConversion"/>
  </si>
  <si>
    <t>乡村建设规划许可证</t>
    <phoneticPr fontId="134" type="noConversion"/>
  </si>
  <si>
    <t>乡字第2018规土（朝）乡建字0003号</t>
    <phoneticPr fontId="134" type="noConversion"/>
  </si>
  <si>
    <t>合计</t>
    <phoneticPr fontId="134" type="noConversion"/>
  </si>
  <si>
    <t>人防（地上）</t>
    <phoneticPr fontId="134" type="noConversion"/>
  </si>
  <si>
    <t>人防（地下）</t>
    <phoneticPr fontId="134" type="noConversion"/>
  </si>
  <si>
    <t>楼层</t>
    <phoneticPr fontId="134" type="noConversion"/>
  </si>
  <si>
    <t>容积率</t>
    <phoneticPr fontId="134" type="noConversion"/>
  </si>
  <si>
    <t>商业中心</t>
    <phoneticPr fontId="134" type="noConversion"/>
  </si>
  <si>
    <t>展览中心</t>
    <phoneticPr fontId="134" type="noConversion"/>
  </si>
  <si>
    <t>办公</t>
    <phoneticPr fontId="134" type="noConversion"/>
  </si>
  <si>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</si>
  <si>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</si>
  <si>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</si>
  <si>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</si>
  <si>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t>酒店式公寓</t>
    <phoneticPr fontId="134" type="noConversion"/>
  </si>
  <si>
    <t>29-340地块</t>
    <phoneticPr fontId="134" type="noConversion"/>
  </si>
  <si>
    <t>1#战时主要出入口</t>
    <phoneticPr fontId="134" type="noConversion"/>
  </si>
  <si>
    <t>2#战时主要出入口</t>
  </si>
  <si>
    <t>4#地下车库</t>
    <phoneticPr fontId="134" type="noConversion"/>
  </si>
  <si>
    <t>3#战时主要出入口</t>
  </si>
  <si>
    <t>5#战时主要出入口</t>
  </si>
  <si>
    <t>6#战时主要出入口</t>
  </si>
  <si>
    <t>物资库吊装口</t>
    <phoneticPr fontId="134" type="noConversion"/>
  </si>
  <si>
    <t>乡字第2018规土（朝）乡建字0002号</t>
    <phoneticPr fontId="134" type="noConversion"/>
  </si>
  <si>
    <t>是</t>
  </si>
  <si>
    <t>地上</t>
  </si>
  <si>
    <t>大师工坊</t>
  </si>
  <si>
    <t>大师工坊</t>
    <phoneticPr fontId="7" type="noConversion"/>
  </si>
  <si>
    <t>利息：取LPR加浮动点数</t>
  </si>
  <si>
    <t>工程进度</t>
  </si>
  <si>
    <t>收益法</t>
  </si>
  <si>
    <t>未包含在土地购买价格中</t>
  </si>
  <si>
    <t>已包含在土地取得成本中</t>
  </si>
  <si>
    <t>在建（套用方法）</t>
  </si>
  <si>
    <t>押一</t>
  </si>
  <si>
    <t>钢混</t>
  </si>
  <si>
    <t>非生产用房</t>
  </si>
  <si>
    <t>地块名称</t>
  </si>
  <si>
    <t>地块编号</t>
  </si>
  <si>
    <t>板块</t>
  </si>
  <si>
    <t>用地性质</t>
  </si>
  <si>
    <t>建设用地面积(㎡)</t>
  </si>
  <si>
    <t>规划建筑面积(㎡)</t>
  </si>
  <si>
    <t>容积率</t>
  </si>
  <si>
    <t>详细规划</t>
  </si>
  <si>
    <t>特殊用地类型</t>
  </si>
  <si>
    <t>特殊住房类型</t>
  </si>
  <si>
    <t>成交自住房面积(㎡)</t>
  </si>
  <si>
    <t>拿地企业</t>
  </si>
  <si>
    <t>成交价(万元)</t>
  </si>
  <si>
    <t>推出每亩价(万元/亩)</t>
  </si>
  <si>
    <t>成交每亩价(万元/亩)</t>
  </si>
  <si>
    <t>成交楼面价(元/㎡)</t>
  </si>
  <si>
    <t>溢价率(%)</t>
  </si>
  <si>
    <t>出让年限(年)</t>
  </si>
  <si>
    <t>限售价(均价)(元/㎡)</t>
  </si>
  <si>
    <t>房地价差(元/㎡)</t>
  </si>
  <si>
    <t>大兴区瀛海镇区级统筹集建地YZ00-0803-2019、2057地块F81集体产业用地</t>
  </si>
  <si>
    <t>京规自集使挂(兴)[2023]005号</t>
  </si>
  <si>
    <t xml:space="preserve"> 瀛海</t>
  </si>
  <si>
    <t xml:space="preserve"> 住宅用地</t>
  </si>
  <si>
    <t xml:space="preserve"> F81集体产业用地(建设共有产权住房)</t>
  </si>
  <si>
    <t xml:space="preserve"> -- </t>
  </si>
  <si>
    <t xml:space="preserve"> --</t>
  </si>
  <si>
    <t xml:space="preserve"> 70年</t>
  </si>
  <si>
    <t>北京市大兴区瀛海镇集体经营性建设用地入市试点(一期) YZ00-0803-0012 地块</t>
  </si>
  <si>
    <t>YZ00-0803-0012</t>
  </si>
  <si>
    <t xml:space="preserve"> F81绿隔产业用地(建设人才公寓)</t>
  </si>
  <si>
    <t xml:space="preserve"> 北京亦庄国际人才发展</t>
  </si>
  <si>
    <t>北京市大兴区魏善庄镇集体经营性建设用地(北部组团)项目DX07-0303-0009地块</t>
  </si>
  <si>
    <t>京土集使挂(兴)[2021]001号</t>
  </si>
  <si>
    <t xml:space="preserve"> 其它用地</t>
  </si>
  <si>
    <t xml:space="preserve"> ≤2.2</t>
  </si>
  <si>
    <t xml:space="preserve"> F81绿隔产业用地</t>
  </si>
  <si>
    <t xml:space="preserve"> 北京兴瑞临福置业</t>
  </si>
  <si>
    <t xml:space="preserve"> 50年</t>
  </si>
  <si>
    <t>北京市大兴区西红门镇集体经营性建设用地2号地D地块</t>
  </si>
  <si>
    <t>京土集使挂(兴)[2020]003号</t>
  </si>
  <si>
    <t xml:space="preserve"> 西红门</t>
  </si>
  <si>
    <t xml:space="preserve"> 配建人才住房(可售)</t>
  </si>
  <si>
    <t xml:space="preserve"> 人才住房(可售)</t>
  </si>
  <si>
    <t xml:space="preserve"> 中国节能环保</t>
  </si>
  <si>
    <t xml:space="preserve"> 40年</t>
  </si>
  <si>
    <t>北京市大兴区黄村镇狼垡地区集体产业用地2号地DX00-1002-L06地块</t>
  </si>
  <si>
    <t>京土集使挂(兴)[2020]001号</t>
  </si>
  <si>
    <t xml:space="preserve"> 黄村北</t>
  </si>
  <si>
    <t xml:space="preserve"> 综合用地(含住宅)</t>
  </si>
  <si>
    <t xml:space="preserve"> ≤2.5</t>
  </si>
  <si>
    <t xml:space="preserve"> 北京兴业利民置业</t>
  </si>
  <si>
    <t>集体建设用地区级统筹大兴区瀛海镇YZ00-0803-2010、2013A、2013B、2014、2016地块</t>
  </si>
  <si>
    <t>京土集使挂(兴)[2019]002号</t>
  </si>
  <si>
    <t xml:space="preserve"> f81≤2.5</t>
  </si>
  <si>
    <t xml:space="preserve"> F81绿隔产业用地(建设共有产权房)</t>
  </si>
  <si>
    <t xml:space="preserve"> 配建自住房/共有产权房用地,纯自住房/共有产权房用地</t>
  </si>
  <si>
    <t xml:space="preserve"> 正商集团</t>
  </si>
  <si>
    <t xml:space="preserve"> 居住70年、商业40年、办公50年</t>
  </si>
  <si>
    <t>集体建设用地区级统筹大兴区瀛海镇YZ00-0803-2009、2012A、2012B、2015地块</t>
  </si>
  <si>
    <t>京土集使挂(兴)[2019]001号</t>
  </si>
  <si>
    <t xml:space="preserve"> 湖北文化旅游</t>
  </si>
  <si>
    <t>集体建设用地区级统筹大兴区瀛海镇YZ00-0803-2003、2004、2005A、2005B、2008地块</t>
  </si>
  <si>
    <t>京土集使挂(兴)[2019]003号</t>
  </si>
  <si>
    <t xml:space="preserve"> 配建自住房/共有产权房用地</t>
  </si>
  <si>
    <t xml:space="preserve"> 北投集团</t>
  </si>
  <si>
    <t>北京市大兴区西红门镇集体经营性建设用地入市试点2号地C地块(2-006-1)F81绿隔产业用地</t>
  </si>
  <si>
    <t>京土集使挂(兴)[2018]002号</t>
  </si>
  <si>
    <t xml:space="preserve"> ≤2.0</t>
  </si>
  <si>
    <t xml:space="preserve"> 中国铁建</t>
  </si>
  <si>
    <t>大兴区西红门镇2号地小B(2-004)地块F81绿隔产业用地集体经营性建设用地使用权出让</t>
  </si>
  <si>
    <t>京土集使挂(兴)[2015]001号</t>
  </si>
  <si>
    <t xml:space="preserve"> ≤2</t>
  </si>
  <si>
    <t>朝阳区东风乡高井村居住混合公建用地(原北京市第三印染厂及东风乡部分集体用地)</t>
  </si>
  <si>
    <t>京土整储挂(朝)[2009]118号</t>
  </si>
  <si>
    <t xml:space="preserve"> 东八里庄、青年路</t>
  </si>
  <si>
    <t xml:space="preserve"> 住宅混合公建用地</t>
  </si>
  <si>
    <t xml:space="preserve"> 保利发展</t>
  </si>
  <si>
    <t xml:space="preserve"> 商业:40年、综合:50年、居住:70年</t>
  </si>
  <si>
    <t>朝阳区姚家园商业金融用地(北京市机电设备总公司及平房乡部分集体用地土地一级开发项目)</t>
  </si>
  <si>
    <t>京土整储招(朝)[2010]069号</t>
  </si>
  <si>
    <t xml:space="preserve"> 商业/办公用地</t>
  </si>
  <si>
    <t xml:space="preserve"> C2商业金融用地</t>
  </si>
  <si>
    <t xml:space="preserve"> 商业40年、综合50年</t>
  </si>
  <si>
    <t>成交日期</t>
    <phoneticPr fontId="134" type="noConversion"/>
  </si>
  <si>
    <t>337</t>
    <phoneticPr fontId="6" type="noConversion"/>
  </si>
  <si>
    <t>绿隔</t>
    <phoneticPr fontId="3" type="noConversion"/>
  </si>
  <si>
    <t>规则</t>
    <phoneticPr fontId="3" type="noConversion"/>
  </si>
  <si>
    <t>较规则</t>
    <phoneticPr fontId="3" type="noConversion"/>
  </si>
  <si>
    <t>集体土地</t>
    <phoneticPr fontId="3" type="noConversion"/>
  </si>
  <si>
    <t>出让</t>
    <phoneticPr fontId="3" type="noConversion"/>
  </si>
  <si>
    <t>权利性质</t>
    <phoneticPr fontId="30" type="noConversion"/>
  </si>
  <si>
    <t>否</t>
    <phoneticPr fontId="3" type="noConversion"/>
  </si>
  <si>
    <t>是</t>
    <phoneticPr fontId="3" type="noConversion"/>
  </si>
  <si>
    <t>是否可出售</t>
    <phoneticPr fontId="30" type="noConversion"/>
  </si>
  <si>
    <t>绿隔</t>
  </si>
  <si>
    <t>较规则</t>
  </si>
  <si>
    <t>五通</t>
  </si>
  <si>
    <t>三通</t>
  </si>
  <si>
    <t>较好</t>
  </si>
  <si>
    <t>出让</t>
    <phoneticPr fontId="30" type="noConversion"/>
  </si>
  <si>
    <t>是</t>
    <phoneticPr fontId="30" type="noConversion"/>
  </si>
  <si>
    <t>较差</t>
  </si>
  <si>
    <t>一般</t>
  </si>
  <si>
    <t>七通</t>
  </si>
  <si>
    <t>已部分缴纳</t>
  </si>
  <si>
    <t>部分缴纳</t>
  </si>
  <si>
    <t>成本法</t>
  </si>
  <si>
    <t>假设开发法</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</si>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</sst>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6" fillId="0" borderId="0" xfId="0" applyFont="1">
      <alignment vertical="center"/>
    </xf>
    <xf numFmtId="0" fontId="95" fillId="0" borderId="0" xfId="0" applyFont="1">
      <alignment vertical="center"/>
    </xf>
    <xf numFmtId="0" fontId="95" fillId="0" borderId="1" xfId="0" applyFont="1" applyBorder="1" applyAlignment="1">
      <alignment horizontal="center" vertical="center"/>
    </xf>
    <xf numFmtId="0" fontId="95" fillId="0" borderId="1" xfId="0" applyFont="1" applyFill="1" applyBorder="1" applyAlignment="1">
      <alignment horizontal="center" vertical="center"/>
    </xf>
    <xf numFmtId="0" fontId="95" fillId="0" borderId="15" xfId="0" applyFont="1" applyFill="1" applyBorder="1" applyAlignment="1">
      <alignment horizontal="center" vertical="center"/>
    </xf>
    <xf numFmtId="2" fontId="0" fillId="0" borderId="0" xfId="0" applyNumberFormat="1">
      <alignment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Border="1">
      <alignment vertical="center"/>
    </xf>
    <xf numFmtId="0" fontId="95" fillId="0" borderId="1" xfId="0" applyFont="1" applyBorder="1">
      <alignment vertical="center"/>
    </xf>
    <xf numFmtId="0" fontId="44" fillId="0" borderId="23" xfId="0" applyFont="1" applyBorder="1" applyAlignment="1" applyProtection="1">
      <alignment vertical="center"/>
      <protection locked="0"/>
    </xf>
    <xf numFmtId="0" fontId="107" fillId="0" borderId="0" xfId="0" applyNumberFormat="1" applyFont="1" applyAlignment="1"/>
    <xf numFmtId="14" fontId="107" fillId="0" borderId="0" xfId="0" applyNumberFormat="1" applyFont="1" applyAlignment="1"/>
    <xf numFmtId="0" fontId="269" fillId="0" borderId="0" xfId="0" applyNumberFormat="1" applyFont="1" applyAlignment="1"/>
    <xf numFmtId="14" fontId="269" fillId="0" borderId="0" xfId="0" applyNumberFormat="1" applyFont="1" applyAlignment="1"/>
    <xf numFmtId="0" fontId="107" fillId="5" borderId="0" xfId="0" applyNumberFormat="1" applyFont="1" applyFill="1" applyAlignment="1"/>
    <xf numFmtId="14" fontId="107" fillId="5" borderId="0" xfId="0" applyNumberFormat="1" applyFont="1" applyFill="1" applyAlignment="1"/>
    <xf numFmtId="0" fontId="269" fillId="5" borderId="0" xfId="0" applyNumberFormat="1" applyFont="1" applyFill="1" applyAlignment="1"/>
    <xf numFmtId="14" fontId="269" fillId="5" borderId="0" xfId="0" applyNumberFormat="1" applyFont="1" applyFill="1" applyAlignment="1"/>
    <xf numFmtId="0" fontId="269" fillId="0" borderId="0" xfId="0" applyNumberFormat="1" applyFont="1" applyFill="1" applyAlignment="1"/>
    <xf numFmtId="14" fontId="269" fillId="0" borderId="0" xfId="0" applyNumberFormat="1" applyFont="1" applyFill="1" applyAlignment="1"/>
    <xf numFmtId="0" fontId="94" fillId="0" borderId="9"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5" xfId="0" applyFont="1" applyBorder="1" applyAlignment="1">
      <alignment horizontal="center" vertical="center"/>
    </xf>
    <xf numFmtId="0" fontId="95" fillId="0" borderId="54" xfId="0" applyFont="1" applyBorder="1" applyAlignment="1">
      <alignment horizontal="center" vertical="center"/>
    </xf>
    <xf numFmtId="0" fontId="95" fillId="0" borderId="3" xfId="0" applyFont="1" applyBorder="1" applyAlignment="1">
      <alignment horizontal="center" vertical="center"/>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49" fontId="166" fillId="0" borderId="23" xfId="0" applyNumberFormat="1"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633630</xdr:colOff>
      <xdr:row>28</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691030" cy="4810125"/>
        </a:xfrm>
        <a:prstGeom prst="rect">
          <a:avLst/>
        </a:prstGeom>
      </xdr:spPr>
    </xdr:pic>
    <xdr:clientData/>
  </xdr:twoCellAnchor>
  <xdr:twoCellAnchor editAs="oneCell">
    <xdr:from>
      <xdr:col>4</xdr:col>
      <xdr:colOff>0</xdr:colOff>
      <xdr:row>0</xdr:row>
      <xdr:rowOff>0</xdr:rowOff>
    </xdr:from>
    <xdr:to>
      <xdr:col>9</xdr:col>
      <xdr:colOff>180524</xdr:colOff>
      <xdr:row>24</xdr:row>
      <xdr:rowOff>47105</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3609524" cy="4161905"/>
        </a:xfrm>
        <a:prstGeom prst="rect">
          <a:avLst/>
        </a:prstGeom>
      </xdr:spPr>
    </xdr:pic>
    <xdr:clientData/>
  </xdr:twoCellAnchor>
  <xdr:twoCellAnchor editAs="oneCell">
    <xdr:from>
      <xdr:col>9</xdr:col>
      <xdr:colOff>0</xdr:colOff>
      <xdr:row>0</xdr:row>
      <xdr:rowOff>0</xdr:rowOff>
    </xdr:from>
    <xdr:to>
      <xdr:col>14</xdr:col>
      <xdr:colOff>9095</xdr:colOff>
      <xdr:row>36</xdr:row>
      <xdr:rowOff>113515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3438095" cy="6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369-P01&#22902;&#19996;&#38598;&#20307;&#22312;&#24314;33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369-P01&#22902;&#19996;&#38598;&#20307;&#22312;&#24314;3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办公"/>
      <sheetName val="收益法-公寓"/>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131472.18</v>
          </cell>
          <cell r="C14">
            <v>58134.15</v>
          </cell>
          <cell r="D14">
            <v>131667</v>
          </cell>
          <cell r="G14">
            <v>131667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办公"/>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47120.43</v>
          </cell>
          <cell r="C14">
            <v>15491.2</v>
          </cell>
          <cell r="D14">
            <v>41492</v>
          </cell>
          <cell r="G14">
            <v>41492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北京市337房地产抵押价值预评估</v>
      </c>
    </row>
    <row r="3" spans="1:2" s="1203" customFormat="1">
      <c r="A3" s="1201" t="s">
        <v>523</v>
      </c>
      <c r="B3" s="1202">
        <f>'预评函-封皮'!B40</f>
        <v>0</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受贵公司委托，我公司对北京市337房地产抵押价值进行了预评估。</v>
      </c>
    </row>
    <row r="7" spans="1:2" s="1203" customFormat="1">
      <c r="A7" s="1201" t="s">
        <v>566</v>
      </c>
      <c r="B7" s="1202" t="str">
        <f>'预评函-1'!A7</f>
        <v>估价对象为北京市337房地产，为所有。根据《国有土地使用证》[]，估价对象（分摊）出让国有建设用地使用权面积为30808.7平方米，建筑面积为87440.46平方米。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估价对象为北京市337房地产,属开发建设的，该项目尚在开发建设中。根据《国有土地使用证》[]，估价对象（分摊）出让国有建设用地使用权面积为30808.7平方米，规划建筑面积为87440.46平方米。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拟使用北京市337房地产作为抵押担保物，向办理贷款手续。特委托北京康正宏基房地产评估有限公司对上述抵押物进行评估。本次评估为确定房地产抵押贷款额度提供参考依据而评估房地产抵押价值。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2023年5月18日（评估专业人员实地查勘之日）</v>
      </c>
    </row>
    <row r="13" spans="1:2" s="1203" customFormat="1">
      <c r="A13" s="1201" t="s">
        <v>529</v>
      </c>
      <c r="B13" s="1202"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40794</v>
      </c>
    </row>
    <row r="21" spans="1:2" s="1203" customFormat="1">
      <c r="A21" s="1201" t="s">
        <v>537</v>
      </c>
      <c r="B21" s="1202">
        <f ca="1">'预评函-2'!D7</f>
        <v>4665</v>
      </c>
    </row>
    <row r="22" spans="1:2" s="1203" customFormat="1">
      <c r="A22" s="1201" t="s">
        <v>538</v>
      </c>
      <c r="B22" s="1202" t="str">
        <f ca="1">'预评函-2'!D6</f>
        <v>肆亿零柒佰玖拾肆万元整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40794</v>
      </c>
    </row>
    <row r="31" spans="1:2" s="1203" customFormat="1">
      <c r="A31" s="1201" t="s">
        <v>576</v>
      </c>
      <c r="B31" s="1202">
        <f ca="1">'预评函-2'!D15</f>
        <v>4665</v>
      </c>
    </row>
    <row r="32" spans="1:2" s="1203" customFormat="1">
      <c r="A32" s="1201" t="s">
        <v>543</v>
      </c>
      <c r="B32" s="1202" t="str">
        <f ca="1">'预评函-2'!D14</f>
        <v>肆亿零柒佰玖拾肆万元整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北京市337房地产</v>
      </c>
    </row>
    <row r="42" spans="1:2" s="1203" customFormat="1">
      <c r="A42" s="1201" t="s">
        <v>590</v>
      </c>
      <c r="B42" s="1202" t="str">
        <f>'预评函-3'!B2</f>
        <v>建筑面积</v>
      </c>
    </row>
    <row r="43" spans="1:2" s="1203" customFormat="1">
      <c r="A43" s="1201" t="s">
        <v>591</v>
      </c>
      <c r="B43" s="1202">
        <f>'预评函-3'!B4</f>
        <v>87440.459999999992</v>
      </c>
    </row>
    <row r="44" spans="1:2" s="1203" customFormat="1">
      <c r="A44" s="1201" t="s">
        <v>575</v>
      </c>
      <c r="B44" s="1202" t="str">
        <f>'预评函-3'!C2</f>
        <v>(分摊)土地面积</v>
      </c>
    </row>
    <row r="45" spans="1:2" s="1203" customFormat="1">
      <c r="A45" s="1201" t="s">
        <v>547</v>
      </c>
      <c r="B45" s="1202">
        <f>'预评函-3'!C4</f>
        <v>30808.7</v>
      </c>
    </row>
    <row r="46" spans="1:2" s="1203" customFormat="1">
      <c r="A46" s="1201" t="s">
        <v>573</v>
      </c>
      <c r="B46" s="1202" t="str">
        <f>'预评函-3'!D2</f>
        <v>出让国有建设用地使用权价值</v>
      </c>
    </row>
    <row r="47" spans="1:2" s="1203" customFormat="1">
      <c r="A47" s="1201" t="s">
        <v>548</v>
      </c>
      <c r="B47" s="1202">
        <f ca="1">'预评函-3'!D4</f>
        <v>4278</v>
      </c>
    </row>
    <row r="48" spans="1:2" s="1203" customFormat="1">
      <c r="A48" s="1201" t="s">
        <v>549</v>
      </c>
      <c r="B48" s="1202">
        <f ca="1">'预评函-3'!E4</f>
        <v>489</v>
      </c>
    </row>
    <row r="49" spans="1:2" s="1203" customFormat="1">
      <c r="A49" s="1201" t="s">
        <v>550</v>
      </c>
      <c r="B49" s="1202" t="str">
        <f ca="1">'预评函-3'!D5</f>
        <v>肆仟贰佰柒拾捌万元整</v>
      </c>
    </row>
    <row r="50" spans="1:2" s="1203" customFormat="1">
      <c r="A50" s="1201" t="s">
        <v>574</v>
      </c>
      <c r="B50" s="1202" t="str">
        <f>'预评函-3'!F2</f>
        <v>在建建筑物价值</v>
      </c>
    </row>
    <row r="51" spans="1:2" s="1203" customFormat="1">
      <c r="A51" s="1201" t="s">
        <v>551</v>
      </c>
      <c r="B51" s="1202">
        <f ca="1">'预评函-3'!F4</f>
        <v>36516</v>
      </c>
    </row>
    <row r="52" spans="1:2" s="1203" customFormat="1">
      <c r="A52" s="1201" t="s">
        <v>552</v>
      </c>
      <c r="B52" s="1202">
        <f ca="1">'预评函-3'!G4</f>
        <v>4176</v>
      </c>
    </row>
    <row r="53" spans="1:2" s="1203" customFormat="1">
      <c r="A53" s="1201" t="s">
        <v>580</v>
      </c>
      <c r="B53" s="1202" t="str">
        <f ca="1">'预评函-3'!F5</f>
        <v>叁亿陆仟伍佰壹拾陆万元整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974</v>
      </c>
      <c r="C1" s="1541" t="s">
        <v>314</v>
      </c>
      <c r="D1" s="1543" t="s">
        <v>3352</v>
      </c>
      <c r="E1" s="1542" t="s">
        <v>975</v>
      </c>
      <c r="F1" s="1542" t="s">
        <v>976</v>
      </c>
      <c r="G1" s="1542" t="s">
        <v>977</v>
      </c>
      <c r="H1" s="1542" t="s">
        <v>978</v>
      </c>
      <c r="I1" s="1542" t="s">
        <v>979</v>
      </c>
      <c r="J1" s="1542" t="s">
        <v>980</v>
      </c>
      <c r="K1" s="1542" t="s">
        <v>981</v>
      </c>
      <c r="L1" s="1542" t="s">
        <v>982</v>
      </c>
      <c r="M1" s="1542" t="s">
        <v>983</v>
      </c>
      <c r="N1" s="1542" t="s">
        <v>984</v>
      </c>
      <c r="O1" s="1542" t="s">
        <v>985</v>
      </c>
      <c r="P1" s="1543" t="s">
        <v>309</v>
      </c>
      <c r="Q1" s="1543" t="s">
        <v>447</v>
      </c>
      <c r="R1" s="1542" t="s">
        <v>441</v>
      </c>
      <c r="S1" s="1542" t="s">
        <v>986</v>
      </c>
      <c r="T1" s="1544" t="s">
        <v>987</v>
      </c>
      <c r="U1" s="1542" t="s">
        <v>988</v>
      </c>
      <c r="V1" s="1542" t="s">
        <v>989</v>
      </c>
      <c r="W1" s="1542" t="s">
        <v>311</v>
      </c>
    </row>
    <row r="2" spans="1:23">
      <c r="A2" s="1546" t="s">
        <v>19</v>
      </c>
      <c r="B2" s="1546" t="s">
        <v>990</v>
      </c>
      <c r="C2" s="1547" t="s">
        <v>315</v>
      </c>
      <c r="D2" s="1548" t="s">
        <v>991</v>
      </c>
      <c r="E2" s="1548" t="s">
        <v>992</v>
      </c>
      <c r="F2" s="1548" t="s">
        <v>993</v>
      </c>
      <c r="G2" s="1548">
        <v>20</v>
      </c>
      <c r="H2" s="1548" t="s">
        <v>993</v>
      </c>
      <c r="I2" s="1548" t="s">
        <v>3338</v>
      </c>
      <c r="J2" s="1548" t="s">
        <v>994</v>
      </c>
      <c r="K2" s="1548" t="s">
        <v>995</v>
      </c>
      <c r="L2" s="1548" t="s">
        <v>995</v>
      </c>
      <c r="M2" s="1548" t="s">
        <v>995</v>
      </c>
      <c r="N2" s="1548" t="s">
        <v>995</v>
      </c>
      <c r="O2" s="1548" t="s">
        <v>995</v>
      </c>
      <c r="P2" s="1548" t="s">
        <v>995</v>
      </c>
      <c r="Q2" s="1548" t="s">
        <v>995</v>
      </c>
      <c r="R2" s="1548" t="s">
        <v>443</v>
      </c>
      <c r="S2" s="1548" t="s">
        <v>995</v>
      </c>
      <c r="T2" s="1548" t="s">
        <v>996</v>
      </c>
      <c r="U2" s="1548" t="s">
        <v>995</v>
      </c>
      <c r="V2" s="1548" t="s">
        <v>997</v>
      </c>
      <c r="W2" s="1548" t="s">
        <v>995</v>
      </c>
    </row>
    <row r="3" spans="1:23">
      <c r="A3" s="1546" t="s">
        <v>998</v>
      </c>
      <c r="B3" s="1549" t="s">
        <v>448</v>
      </c>
      <c r="C3" s="1550" t="s">
        <v>316</v>
      </c>
      <c r="D3" s="1548" t="s">
        <v>999</v>
      </c>
      <c r="E3" s="1548" t="s">
        <v>13</v>
      </c>
      <c r="F3" s="1548" t="s">
        <v>1000</v>
      </c>
      <c r="G3" s="1548">
        <v>40</v>
      </c>
      <c r="H3" s="1548" t="s">
        <v>1000</v>
      </c>
      <c r="I3" s="1548" t="s">
        <v>3339</v>
      </c>
      <c r="J3" s="1548" t="s">
        <v>1001</v>
      </c>
      <c r="K3" s="1548" t="s">
        <v>1002</v>
      </c>
      <c r="L3" s="1548" t="s">
        <v>1002</v>
      </c>
      <c r="M3" s="1548" t="s">
        <v>1002</v>
      </c>
      <c r="N3" s="1548" t="s">
        <v>1002</v>
      </c>
      <c r="O3" s="1548" t="s">
        <v>1002</v>
      </c>
      <c r="P3" s="1548" t="s">
        <v>1002</v>
      </c>
      <c r="Q3" s="1548" t="s">
        <v>1002</v>
      </c>
      <c r="R3" s="1548" t="s">
        <v>442</v>
      </c>
      <c r="S3" s="1548" t="s">
        <v>1002</v>
      </c>
      <c r="T3" s="1548" t="s">
        <v>1003</v>
      </c>
      <c r="U3" s="1548" t="s">
        <v>1002</v>
      </c>
      <c r="V3" s="1548" t="s">
        <v>1004</v>
      </c>
      <c r="W3" s="1548" t="s">
        <v>1002</v>
      </c>
    </row>
    <row r="4" spans="1:23">
      <c r="A4" s="1546" t="s">
        <v>1005</v>
      </c>
      <c r="B4" s="1546" t="s">
        <v>1006</v>
      </c>
      <c r="C4" s="1547" t="s">
        <v>317</v>
      </c>
      <c r="D4" s="1548" t="s">
        <v>389</v>
      </c>
      <c r="E4" s="1548" t="s">
        <v>1007</v>
      </c>
      <c r="F4" s="1548" t="s">
        <v>1008</v>
      </c>
      <c r="G4" s="1548">
        <v>50</v>
      </c>
      <c r="H4" s="1548" t="s">
        <v>1008</v>
      </c>
      <c r="I4" s="1548" t="s">
        <v>3340</v>
      </c>
      <c r="K4" s="1548" t="s">
        <v>1009</v>
      </c>
      <c r="L4" s="1548" t="s">
        <v>1009</v>
      </c>
      <c r="M4" s="1548" t="s">
        <v>1009</v>
      </c>
      <c r="N4" s="1548" t="s">
        <v>1009</v>
      </c>
      <c r="O4" s="1548" t="s">
        <v>1009</v>
      </c>
      <c r="P4" s="1548" t="s">
        <v>1009</v>
      </c>
      <c r="Q4" s="1548" t="s">
        <v>1009</v>
      </c>
      <c r="R4" s="1548" t="s">
        <v>444</v>
      </c>
      <c r="S4" s="1548" t="s">
        <v>1009</v>
      </c>
      <c r="T4" s="1548" t="s">
        <v>1010</v>
      </c>
      <c r="U4" s="1548" t="s">
        <v>1009</v>
      </c>
      <c r="W4" s="1548" t="s">
        <v>1009</v>
      </c>
    </row>
    <row r="5" spans="1:23">
      <c r="A5" s="1546" t="s">
        <v>1011</v>
      </c>
      <c r="B5" s="1546" t="s">
        <v>1012</v>
      </c>
      <c r="C5" s="1547" t="s">
        <v>318</v>
      </c>
      <c r="F5" s="1548" t="s">
        <v>1013</v>
      </c>
      <c r="G5" s="1548">
        <v>70</v>
      </c>
      <c r="H5" s="1548" t="s">
        <v>1014</v>
      </c>
      <c r="I5" s="1548" t="s">
        <v>3341</v>
      </c>
      <c r="K5" s="1548" t="s">
        <v>1015</v>
      </c>
      <c r="L5" s="1548" t="s">
        <v>1015</v>
      </c>
      <c r="M5" s="1548" t="s">
        <v>1015</v>
      </c>
      <c r="N5" s="1548" t="s">
        <v>1015</v>
      </c>
      <c r="O5" s="1548" t="s">
        <v>1015</v>
      </c>
      <c r="P5" s="1548" t="s">
        <v>1015</v>
      </c>
      <c r="Q5" s="1548" t="s">
        <v>1015</v>
      </c>
      <c r="R5" s="1548" t="s">
        <v>445</v>
      </c>
      <c r="S5" s="1548" t="s">
        <v>1015</v>
      </c>
      <c r="T5" s="1548" t="s">
        <v>1016</v>
      </c>
      <c r="U5" s="1548" t="s">
        <v>1015</v>
      </c>
      <c r="W5" s="1548" t="s">
        <v>1015</v>
      </c>
    </row>
    <row r="6" spans="1:23">
      <c r="A6" s="1546" t="s">
        <v>1017</v>
      </c>
      <c r="B6" s="1549" t="s">
        <v>449</v>
      </c>
      <c r="C6" s="1552" t="s">
        <v>24</v>
      </c>
      <c r="F6" s="1548" t="s">
        <v>1014</v>
      </c>
      <c r="H6" s="1548" t="s">
        <v>1018</v>
      </c>
      <c r="I6" s="1548" t="s">
        <v>3342</v>
      </c>
      <c r="K6" s="1548" t="s">
        <v>1019</v>
      </c>
      <c r="L6" s="1548" t="s">
        <v>1019</v>
      </c>
      <c r="M6" s="1548" t="s">
        <v>1019</v>
      </c>
      <c r="N6" s="1548" t="s">
        <v>1019</v>
      </c>
      <c r="O6" s="1548" t="s">
        <v>1019</v>
      </c>
      <c r="P6" s="1548" t="s">
        <v>1019</v>
      </c>
      <c r="Q6" s="1548" t="s">
        <v>1019</v>
      </c>
      <c r="R6" s="1548" t="s">
        <v>446</v>
      </c>
      <c r="S6" s="1548" t="s">
        <v>1019</v>
      </c>
      <c r="T6" s="1548"/>
      <c r="U6" s="1548" t="s">
        <v>1019</v>
      </c>
      <c r="W6" s="1548" t="s">
        <v>1019</v>
      </c>
    </row>
    <row r="7" spans="1:23">
      <c r="A7" s="1546" t="s">
        <v>1020</v>
      </c>
      <c r="B7" s="1549" t="s">
        <v>450</v>
      </c>
      <c r="C7" s="1547" t="s">
        <v>25</v>
      </c>
      <c r="F7" s="1548" t="s">
        <v>1021</v>
      </c>
      <c r="H7" s="1548" t="s">
        <v>1022</v>
      </c>
      <c r="I7" s="1548" t="s">
        <v>3343</v>
      </c>
    </row>
    <row r="8" spans="1:23">
      <c r="A8" s="1546" t="s">
        <v>1023</v>
      </c>
      <c r="B8" s="1546" t="s">
        <v>1024</v>
      </c>
      <c r="C8" s="1547" t="s">
        <v>319</v>
      </c>
      <c r="F8" s="1548" t="s">
        <v>1025</v>
      </c>
      <c r="H8" s="1548" t="s">
        <v>2576</v>
      </c>
      <c r="I8" s="1548" t="s">
        <v>3344</v>
      </c>
    </row>
    <row r="9" spans="1:23">
      <c r="A9" s="1546" t="s">
        <v>1026</v>
      </c>
      <c r="B9" s="1546" t="s">
        <v>1027</v>
      </c>
      <c r="C9" s="1547" t="s">
        <v>320</v>
      </c>
      <c r="F9" s="1548" t="s">
        <v>1028</v>
      </c>
      <c r="H9" s="1548"/>
      <c r="I9" s="1551" t="s">
        <v>3345</v>
      </c>
    </row>
    <row r="10" spans="1:23">
      <c r="A10" s="1546" t="s">
        <v>1029</v>
      </c>
      <c r="B10" s="1546" t="s">
        <v>1030</v>
      </c>
      <c r="C10" s="1547" t="s">
        <v>321</v>
      </c>
      <c r="F10" s="1548" t="s">
        <v>2577</v>
      </c>
      <c r="I10" s="1551" t="s">
        <v>3346</v>
      </c>
    </row>
    <row r="11" spans="1:23">
      <c r="A11" s="1546" t="s">
        <v>1031</v>
      </c>
      <c r="B11" s="1546" t="s">
        <v>1032</v>
      </c>
      <c r="C11" s="1547" t="s">
        <v>322</v>
      </c>
      <c r="F11" s="1548" t="s">
        <v>13</v>
      </c>
      <c r="I11" s="1551" t="s">
        <v>3347</v>
      </c>
    </row>
    <row r="12" spans="1:23">
      <c r="A12" s="1546" t="s">
        <v>1033</v>
      </c>
      <c r="B12" s="1546" t="s">
        <v>1034</v>
      </c>
      <c r="C12" s="1547" t="s">
        <v>323</v>
      </c>
      <c r="I12" s="1551" t="s">
        <v>3348</v>
      </c>
    </row>
    <row r="13" spans="1:23">
      <c r="A13" s="1546" t="s">
        <v>1035</v>
      </c>
      <c r="B13" s="1546" t="s">
        <v>1036</v>
      </c>
      <c r="C13" s="1547" t="s">
        <v>324</v>
      </c>
      <c r="I13" s="1551" t="s">
        <v>3349</v>
      </c>
    </row>
    <row r="14" spans="1:23">
      <c r="A14" s="1546" t="s">
        <v>1037</v>
      </c>
      <c r="B14" s="1546" t="s">
        <v>1038</v>
      </c>
      <c r="C14" s="1548" t="s">
        <v>13</v>
      </c>
      <c r="I14" s="1551" t="s">
        <v>3350</v>
      </c>
    </row>
    <row r="15" spans="1:23">
      <c r="A15" s="1546" t="s">
        <v>1039</v>
      </c>
      <c r="B15" s="1546" t="s">
        <v>1040</v>
      </c>
      <c r="C15" s="1547"/>
      <c r="I15" s="1551" t="s">
        <v>3351</v>
      </c>
    </row>
    <row r="16" spans="1:23">
      <c r="A16" s="1546" t="s">
        <v>1041</v>
      </c>
      <c r="B16" s="1546" t="s">
        <v>312</v>
      </c>
      <c r="C16" s="1547"/>
    </row>
    <row r="17" spans="1:3">
      <c r="A17" s="1546" t="s">
        <v>1042</v>
      </c>
      <c r="B17" s="1546" t="s">
        <v>2289</v>
      </c>
      <c r="C17" s="1547"/>
    </row>
    <row r="18" spans="1:3">
      <c r="A18" s="1546" t="s">
        <v>1043</v>
      </c>
      <c r="B18" s="1546" t="s">
        <v>2432</v>
      </c>
      <c r="C18" s="1547"/>
    </row>
    <row r="19" spans="1:3">
      <c r="A19" s="1546" t="s">
        <v>1044</v>
      </c>
      <c r="B19" s="1546" t="s">
        <v>313</v>
      </c>
      <c r="C19" s="1547"/>
    </row>
    <row r="20" spans="1:3">
      <c r="A20" s="1546" t="s">
        <v>1045</v>
      </c>
      <c r="B20" s="1546" t="s">
        <v>313</v>
      </c>
      <c r="C20" s="1547"/>
    </row>
    <row r="21" spans="1:3">
      <c r="A21" s="1546" t="s">
        <v>1046</v>
      </c>
      <c r="B21" s="1546" t="s">
        <v>313</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拟使用北京市337房地产作为抵押担保物，向办理贷款手续。特委托北京康正宏基房地产评估有限公司对上述抵押物进行评估。本次评估为确定房地产抵押贷款额度提供参考依据而评估房地产抵押价值。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21" t="s">
        <v>2579</v>
      </c>
      <c r="J2" s="3521"/>
      <c r="K2" s="3521"/>
      <c r="L2" s="3521"/>
      <c r="M2" s="3521"/>
      <c r="N2" s="3521"/>
      <c r="O2" s="3521"/>
      <c r="P2" s="3521"/>
      <c r="Q2" s="3521"/>
      <c r="R2" s="3521"/>
    </row>
    <row r="3" spans="1:18">
      <c r="A3" s="3020" t="s">
        <v>2500</v>
      </c>
      <c r="B3" s="3021">
        <f>项目基本情况!D3</f>
        <v>45064</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3.59</v>
      </c>
      <c r="D5" s="3025">
        <f>IF(ISERROR(ROUND(POWER(1+E5,A5-C5)*(POWER(1+E5,C5)-1)/(POWER(1+E5,A5)-1),3)),0,ROUND(POWER(1+E5,A5-C5)*(POWER(1+E5,C5)-1)/(POWER(1+E5,A5)-1),4))</f>
        <v>0.16589999999999999</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13.6</v>
      </c>
      <c r="D6" s="3025">
        <f>IF(ISERROR(ROUND(POWER(1+E6,A6-C6)*(POWER(1+E6,C6)-1)/(POWER(1+E6,A6)-1),3)),0,ROUND(POWER(1+E6,A6-C6)*(POWER(1+E6,C6)-1)/(POWER(1+E6,A6)-1),4))</f>
        <v>0.48110000000000003</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33.61</v>
      </c>
      <c r="D7" s="3025">
        <f>IF(ISERROR(ROUND(POWER(1+E7,A7-C7)*(POWER(1+E7,C7)-1)/(POWER(1+E7,A7)-1),3)),0,ROUND(POWER(1+E7,A7-C7)*(POWER(1+E7,C7)-1)/(POWER(1+E7,A7)-1),4))</f>
        <v>0.78259999999999996</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3">
      <c r="A17" s="3020" t="s">
        <v>2516</v>
      </c>
      <c r="B17" s="3029">
        <v>4810</v>
      </c>
      <c r="C17" s="3022"/>
      <c r="D17" s="3018"/>
      <c r="E17" s="3018"/>
      <c r="F17" s="3019"/>
    </row>
    <row r="18" spans="1:13" ht="14.25" thickBot="1">
      <c r="A18" s="3031" t="s">
        <v>2515</v>
      </c>
      <c r="B18" s="3032">
        <f>ROUND(B17*F11/F12,2)</f>
        <v>5541.87</v>
      </c>
      <c r="C18" s="3032">
        <f>ROUND(F11/F12,4)</f>
        <v>1.1521999999999999</v>
      </c>
      <c r="D18" s="3033"/>
      <c r="E18" s="3033"/>
      <c r="F18" s="3034"/>
    </row>
    <row r="19" spans="1:13" ht="14.25" thickBot="1"/>
    <row r="20" spans="1:13" s="3069" customFormat="1" ht="14.25" thickTop="1">
      <c r="A20" s="3066" t="s">
        <v>2518</v>
      </c>
      <c r="B20" s="3067"/>
      <c r="C20" s="3067"/>
      <c r="D20" s="3067"/>
      <c r="E20" s="3067"/>
      <c r="F20" s="3067"/>
      <c r="G20" s="3068"/>
      <c r="I20" s="3070" t="s">
        <v>2563</v>
      </c>
      <c r="J20" s="3070" t="s">
        <v>2568</v>
      </c>
      <c r="K20" s="3070"/>
      <c r="L20" s="3070"/>
      <c r="M20" s="3070"/>
    </row>
    <row r="21" spans="1:13">
      <c r="A21" s="3035"/>
      <c r="B21" s="3036" t="s">
        <v>2519</v>
      </c>
      <c r="C21" s="3036" t="s">
        <v>2520</v>
      </c>
      <c r="D21" s="3036" t="s">
        <v>2521</v>
      </c>
      <c r="E21" s="3036" t="s">
        <v>2522</v>
      </c>
      <c r="F21" s="3036" t="s">
        <v>2523</v>
      </c>
      <c r="G21" s="3037" t="s">
        <v>2524</v>
      </c>
      <c r="I21" s="3058">
        <v>5</v>
      </c>
      <c r="J21" s="3058">
        <v>54.2</v>
      </c>
    </row>
    <row r="22" spans="1:13">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M23" s="3058" t="s">
        <v>2567</v>
      </c>
    </row>
    <row r="24" spans="1:13">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M24" s="3058">
        <v>10</v>
      </c>
    </row>
    <row r="25" spans="1:13">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M25" s="3058">
        <v>8</v>
      </c>
    </row>
    <row r="26" spans="1:13">
      <c r="A26" s="3040"/>
      <c r="B26" s="3041"/>
      <c r="C26" s="3041"/>
      <c r="D26" s="3041"/>
      <c r="E26" s="3041"/>
      <c r="F26" s="3041"/>
      <c r="G26" s="3042"/>
      <c r="I26" s="3058">
        <v>30</v>
      </c>
      <c r="J26" s="3058">
        <v>90.5</v>
      </c>
      <c r="K26" s="3058">
        <f t="shared" si="2"/>
        <v>4.2000000000000028</v>
      </c>
      <c r="L26" s="3058" t="s">
        <v>2570</v>
      </c>
      <c r="M26" s="3058">
        <v>5</v>
      </c>
    </row>
    <row r="27" spans="1:13">
      <c r="A27" s="3040" t="s">
        <v>2529</v>
      </c>
      <c r="B27" s="3041"/>
      <c r="C27" s="3041"/>
      <c r="D27" s="3041"/>
      <c r="E27" s="3041"/>
      <c r="F27" s="3041"/>
      <c r="G27" s="3042"/>
      <c r="I27" s="3058">
        <v>35</v>
      </c>
      <c r="J27" s="3058">
        <v>93.8</v>
      </c>
      <c r="K27" s="3058">
        <f t="shared" si="2"/>
        <v>3.2999999999999972</v>
      </c>
      <c r="L27" s="3058" t="s">
        <v>2571</v>
      </c>
      <c r="M27" s="3058">
        <v>3</v>
      </c>
    </row>
    <row r="28" spans="1:13">
      <c r="A28" s="3040" t="s">
        <v>2530</v>
      </c>
      <c r="B28" s="3041"/>
      <c r="C28" s="3041"/>
      <c r="D28" s="3041"/>
      <c r="E28" s="3041"/>
      <c r="F28" s="3041"/>
      <c r="G28" s="3042"/>
      <c r="I28" s="3058">
        <v>40</v>
      </c>
      <c r="J28" s="3058">
        <v>96.4</v>
      </c>
      <c r="K28" s="3058">
        <f t="shared" si="2"/>
        <v>2.6000000000000085</v>
      </c>
      <c r="L28" s="3058" t="s">
        <v>2572</v>
      </c>
      <c r="M28" s="3058">
        <v>2</v>
      </c>
    </row>
    <row r="29" spans="1:13">
      <c r="A29" s="3040" t="s">
        <v>2531</v>
      </c>
      <c r="B29" s="3041"/>
      <c r="C29" s="3041"/>
      <c r="D29" s="3041"/>
      <c r="E29" s="3041"/>
      <c r="F29" s="3041"/>
      <c r="G29" s="3042"/>
      <c r="I29" s="3058">
        <v>45</v>
      </c>
      <c r="J29" s="3058">
        <v>98.4</v>
      </c>
      <c r="K29" s="3058">
        <f t="shared" si="2"/>
        <v>2</v>
      </c>
    </row>
    <row r="30" spans="1:13">
      <c r="A30" s="3040" t="s">
        <v>2532</v>
      </c>
      <c r="B30" s="3041"/>
      <c r="C30" s="3041"/>
      <c r="D30" s="3041"/>
      <c r="E30" s="3041"/>
      <c r="F30" s="3041"/>
      <c r="G30" s="3042"/>
      <c r="I30" s="3058">
        <v>50</v>
      </c>
      <c r="J30" s="3058">
        <v>100</v>
      </c>
      <c r="K30" s="3058">
        <f t="shared" si="2"/>
        <v>1.5999999999999943</v>
      </c>
    </row>
    <row r="31" spans="1:13">
      <c r="A31" s="3040" t="s">
        <v>2533</v>
      </c>
      <c r="B31" s="3041"/>
      <c r="C31" s="3041"/>
      <c r="D31" s="3041"/>
      <c r="E31" s="3041"/>
      <c r="F31" s="3041"/>
      <c r="G31" s="3042"/>
      <c r="I31" s="3058" t="s">
        <v>2564</v>
      </c>
    </row>
    <row r="32" spans="1:13">
      <c r="A32" s="3040" t="s">
        <v>2534</v>
      </c>
      <c r="B32" s="3041"/>
      <c r="C32" s="3041"/>
      <c r="D32" s="3041"/>
      <c r="E32" s="3041"/>
      <c r="F32" s="3041"/>
      <c r="G32" s="3042"/>
    </row>
    <row r="33" spans="1:13">
      <c r="A33" s="3040" t="s">
        <v>2535</v>
      </c>
      <c r="B33" s="3041"/>
      <c r="C33" s="3041"/>
      <c r="D33" s="3041"/>
      <c r="E33" s="3041"/>
      <c r="F33" s="3041"/>
      <c r="G33" s="3042"/>
      <c r="I33" s="3058" t="s">
        <v>2563</v>
      </c>
      <c r="J33" s="3058" t="s">
        <v>2573</v>
      </c>
    </row>
    <row r="34" spans="1:13">
      <c r="A34" s="3040" t="s">
        <v>2536</v>
      </c>
      <c r="B34" s="3041"/>
      <c r="C34" s="3041"/>
      <c r="D34" s="3041"/>
      <c r="E34" s="3041"/>
      <c r="F34" s="3041"/>
      <c r="G34" s="3042"/>
      <c r="I34" s="3058">
        <v>5</v>
      </c>
      <c r="J34" s="3058">
        <v>55.1</v>
      </c>
    </row>
    <row r="35" spans="1:13">
      <c r="A35" s="3040" t="s">
        <v>2537</v>
      </c>
      <c r="B35" s="3041"/>
      <c r="C35" s="3041"/>
      <c r="D35" s="3041"/>
      <c r="E35" s="3041"/>
      <c r="F35" s="3041"/>
      <c r="G35" s="3042"/>
      <c r="I35" s="3058">
        <v>10</v>
      </c>
      <c r="J35" s="3058">
        <v>67</v>
      </c>
      <c r="K35" s="3058">
        <f>J35-J34</f>
        <v>11.899999999999999</v>
      </c>
    </row>
    <row r="36" spans="1:13">
      <c r="A36" s="3040" t="s">
        <v>2538</v>
      </c>
      <c r="B36" s="3041"/>
      <c r="C36" s="3041"/>
      <c r="D36" s="3041"/>
      <c r="E36" s="3041"/>
      <c r="F36" s="3041"/>
      <c r="G36" s="3042"/>
      <c r="I36" s="3058">
        <v>15</v>
      </c>
      <c r="J36" s="3058">
        <v>76.3</v>
      </c>
      <c r="K36" s="3058">
        <f t="shared" ref="K36:K41" si="3">J36-J35</f>
        <v>9.2999999999999972</v>
      </c>
      <c r="L36" s="3058" t="s">
        <v>2566</v>
      </c>
      <c r="M36" s="3058" t="s">
        <v>2567</v>
      </c>
    </row>
    <row r="37" spans="1:13">
      <c r="A37" s="3040" t="s">
        <v>2539</v>
      </c>
      <c r="B37" s="3041"/>
      <c r="C37" s="3041"/>
      <c r="D37" s="3041"/>
      <c r="E37" s="3041"/>
      <c r="F37" s="3041"/>
      <c r="G37" s="3042"/>
      <c r="I37" s="3058">
        <v>20</v>
      </c>
      <c r="J37" s="3058">
        <v>83.6</v>
      </c>
      <c r="K37" s="3058">
        <f t="shared" si="3"/>
        <v>7.2999999999999972</v>
      </c>
      <c r="L37" s="3058" t="s">
        <v>2565</v>
      </c>
      <c r="M37" s="3058">
        <v>10</v>
      </c>
    </row>
    <row r="38" spans="1:13">
      <c r="A38" s="3040" t="s">
        <v>2540</v>
      </c>
      <c r="B38" s="3041"/>
      <c r="C38" s="3041"/>
      <c r="D38" s="3041"/>
      <c r="E38" s="3041"/>
      <c r="F38" s="3041"/>
      <c r="G38" s="3042"/>
      <c r="I38" s="3058">
        <v>25</v>
      </c>
      <c r="J38" s="3058">
        <v>89.3</v>
      </c>
      <c r="K38" s="3058">
        <f t="shared" si="3"/>
        <v>5.7000000000000028</v>
      </c>
      <c r="L38" s="3058" t="s">
        <v>2569</v>
      </c>
      <c r="M38" s="3058">
        <v>8</v>
      </c>
    </row>
    <row r="39" spans="1:13">
      <c r="A39" s="3040"/>
      <c r="B39" s="3041"/>
      <c r="C39" s="3041"/>
      <c r="D39" s="3041"/>
      <c r="E39" s="3041"/>
      <c r="F39" s="3041"/>
      <c r="G39" s="3042"/>
      <c r="I39" s="3058">
        <v>30</v>
      </c>
      <c r="J39" s="3058">
        <v>93.8</v>
      </c>
      <c r="K39" s="3058">
        <f t="shared" si="3"/>
        <v>4.5</v>
      </c>
      <c r="L39" s="3058" t="s">
        <v>2570</v>
      </c>
      <c r="M39" s="3058">
        <v>6</v>
      </c>
    </row>
    <row r="40" spans="1:13">
      <c r="A40" s="3043" t="s">
        <v>2541</v>
      </c>
      <c r="B40" s="3044"/>
      <c r="C40" s="3044"/>
      <c r="D40" s="3044"/>
      <c r="E40" s="3044"/>
      <c r="F40" s="3044"/>
      <c r="G40" s="3045"/>
      <c r="I40" s="3058">
        <v>35</v>
      </c>
      <c r="J40" s="3058">
        <v>97.2</v>
      </c>
      <c r="K40" s="3058">
        <f t="shared" si="3"/>
        <v>3.4000000000000057</v>
      </c>
      <c r="L40" s="3058" t="s">
        <v>2571</v>
      </c>
      <c r="M40" s="3058">
        <v>3</v>
      </c>
    </row>
    <row r="41" spans="1:13">
      <c r="A41" s="3046" t="s">
        <v>2542</v>
      </c>
      <c r="B41" s="3047" t="s">
        <v>2543</v>
      </c>
      <c r="C41" s="3048" t="s">
        <v>2544</v>
      </c>
      <c r="D41" s="3048" t="s">
        <v>2545</v>
      </c>
      <c r="E41" s="3049"/>
      <c r="F41" s="3050"/>
      <c r="G41" s="3051"/>
      <c r="I41" s="3058">
        <v>40</v>
      </c>
      <c r="J41" s="3058">
        <v>100</v>
      </c>
      <c r="K41" s="3058">
        <f t="shared" si="3"/>
        <v>2.7999999999999972</v>
      </c>
    </row>
    <row r="42" spans="1:13">
      <c r="A42" s="3046" t="s">
        <v>2546</v>
      </c>
      <c r="B42" s="3047" t="s">
        <v>2547</v>
      </c>
      <c r="C42" s="3048" t="s">
        <v>2548</v>
      </c>
      <c r="D42" s="3052" t="s">
        <v>2549</v>
      </c>
      <c r="E42" s="3044" t="s">
        <v>2550</v>
      </c>
      <c r="F42" s="3044"/>
      <c r="G42" s="3045"/>
    </row>
    <row r="43" spans="1:13">
      <c r="A43" s="3046" t="s">
        <v>2551</v>
      </c>
      <c r="B43" s="3047" t="s">
        <v>2552</v>
      </c>
      <c r="C43" s="3048" t="s">
        <v>2553</v>
      </c>
      <c r="D43" s="3048" t="s">
        <v>2554</v>
      </c>
      <c r="E43" s="3049" t="s">
        <v>2555</v>
      </c>
      <c r="F43" s="3050"/>
      <c r="G43" s="3051"/>
      <c r="I43" s="3058" t="s">
        <v>2563</v>
      </c>
      <c r="J43" s="3058" t="s">
        <v>2574</v>
      </c>
    </row>
    <row r="44" spans="1:13">
      <c r="A44" s="3046" t="s">
        <v>2556</v>
      </c>
      <c r="B44" s="3047" t="s">
        <v>2557</v>
      </c>
      <c r="C44" s="3048" t="s">
        <v>2558</v>
      </c>
      <c r="D44" s="3052">
        <v>0.5</v>
      </c>
      <c r="E44" s="3049" t="s">
        <v>2559</v>
      </c>
      <c r="F44" s="3050"/>
      <c r="G44" s="3051"/>
      <c r="I44" s="3058">
        <v>30</v>
      </c>
      <c r="J44" s="3058">
        <v>81.7</v>
      </c>
    </row>
    <row r="45" spans="1:13" ht="14.25" thickBot="1">
      <c r="A45" s="3053" t="s">
        <v>2560</v>
      </c>
      <c r="B45" s="3054" t="s">
        <v>2547</v>
      </c>
      <c r="C45" s="3055" t="s">
        <v>2547</v>
      </c>
      <c r="D45" s="3055" t="s">
        <v>2561</v>
      </c>
      <c r="E45" s="3056" t="s">
        <v>2562</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51" sqref="C5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30" t="str">
        <f>IF(B10="北京市","北京市",C10)&amp;F10&amp;IF(结果表!G1="在建","出让国有建设用地使用权及在建建筑物",IF(结果表!G1="土地","出让国有建设用地使用权",))&amp;B9&amp;"预评估"</f>
        <v>北京市337房地产抵押价值预评估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北京市337房地产抵押价值</v>
      </c>
      <c r="T1" s="1745"/>
      <c r="U1" s="1745"/>
      <c r="V1" s="1745"/>
      <c r="W1" s="1745"/>
      <c r="X1" s="1745"/>
      <c r="Y1" s="1745"/>
      <c r="Z1" s="1745"/>
      <c r="AA1" s="1745"/>
      <c r="AB1" s="1745"/>
    </row>
    <row r="2" spans="1:30">
      <c r="A2" s="2367" t="s">
        <v>2165</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北京市337房地产</v>
      </c>
      <c r="T2" s="1745"/>
      <c r="U2" s="1745"/>
      <c r="V2" s="1745"/>
      <c r="W2" s="1745"/>
      <c r="X2" s="1745"/>
      <c r="Y2" s="1745"/>
      <c r="Z2" s="1745"/>
      <c r="AA2" s="1745"/>
      <c r="AB2" s="1745"/>
    </row>
    <row r="3" spans="1:30">
      <c r="A3" s="302" t="s">
        <v>2166</v>
      </c>
      <c r="B3" s="2373">
        <v>45064</v>
      </c>
      <c r="C3" s="2374" t="s">
        <v>2167</v>
      </c>
      <c r="D3" s="2373">
        <v>45064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t="s">
        <v>3374</v>
      </c>
      <c r="C4" s="2376">
        <f ca="1">SUMIF(注册房地产估价师,B4,估价师及机构信息!B3:B24)</f>
        <v>1419970001</v>
      </c>
      <c r="D4" s="2375" t="s">
        <v>3375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2171</v>
      </c>
      <c r="B7" s="2387"/>
      <c r="C7" s="2385"/>
      <c r="D7" s="2386"/>
      <c r="E7" s="2662"/>
      <c r="F7" s="2664"/>
      <c r="G7" s="2664"/>
      <c r="H7" s="2664"/>
      <c r="I7" s="2664"/>
      <c r="J7" s="2439"/>
      <c r="K7" s="2616"/>
      <c r="L7" s="2613"/>
      <c r="M7" s="2613"/>
      <c r="N7" s="2439"/>
      <c r="O7" s="2450"/>
      <c r="P7" s="2439"/>
      <c r="Q7" s="2439"/>
      <c r="R7" s="2439"/>
    </row>
    <row r="8" spans="1:30">
      <c r="A8" s="2388" t="s">
        <v>2172</v>
      </c>
      <c r="B8" s="2389" t="s">
        <v>3376</v>
      </c>
      <c r="C8" s="2390"/>
      <c r="D8" s="3533" t="s">
        <v>2173</v>
      </c>
      <c r="E8" s="2391" t="s">
        <v>3377</v>
      </c>
      <c r="F8" s="2392"/>
      <c r="G8" s="2663"/>
      <c r="H8" s="2663"/>
      <c r="I8" s="2663"/>
      <c r="J8" s="2439"/>
      <c r="K8" s="2614"/>
      <c r="L8" s="2613"/>
      <c r="M8" s="2613"/>
      <c r="N8" s="2439"/>
      <c r="O8" s="2450"/>
      <c r="P8" s="2439"/>
      <c r="Q8" s="2439"/>
      <c r="R8" s="2439"/>
    </row>
    <row r="9" spans="1:30" ht="13.5" thickBot="1">
      <c r="A9" s="2393" t="s">
        <v>2174</v>
      </c>
      <c r="B9" s="2394" t="s">
        <v>3377</v>
      </c>
      <c r="C9" s="2395"/>
      <c r="D9" s="3534"/>
      <c r="E9" s="2394" t="s">
        <v>43</v>
      </c>
      <c r="F9" s="2396"/>
      <c r="G9" s="2665"/>
      <c r="H9" s="2665"/>
      <c r="I9" s="2665"/>
      <c r="J9" s="2439"/>
      <c r="K9" s="2616"/>
      <c r="L9" s="2613"/>
      <c r="M9" s="2613"/>
      <c r="N9" s="2439"/>
      <c r="O9" s="2450"/>
      <c r="P9" s="2439"/>
      <c r="Q9" s="2439"/>
      <c r="R9" s="2439"/>
    </row>
    <row r="10" spans="1:30" ht="13.5" thickTop="1">
      <c r="A10" s="2397" t="s">
        <v>2175</v>
      </c>
      <c r="B10" s="2398" t="s">
        <v>3378</v>
      </c>
      <c r="C10" s="2399"/>
      <c r="D10" s="2382"/>
      <c r="E10" s="2400" t="s">
        <v>2176</v>
      </c>
      <c r="F10" s="2666" t="s">
        <v>3549</v>
      </c>
      <c r="G10" s="2667"/>
      <c r="H10" s="2668"/>
      <c r="I10" s="2669"/>
      <c r="J10" s="2439"/>
      <c r="K10" s="2616"/>
      <c r="L10" s="2613"/>
      <c r="M10" s="2613"/>
      <c r="N10" s="2439"/>
      <c r="O10" s="2450"/>
      <c r="P10" s="2439"/>
      <c r="Q10" s="2439"/>
      <c r="R10" s="2439"/>
    </row>
    <row r="11" spans="1:30">
      <c r="A11" s="2401" t="s">
        <v>2177</v>
      </c>
      <c r="B11" s="2402" t="s">
        <v>3379</v>
      </c>
      <c r="C11" s="2403"/>
      <c r="D11" s="2404"/>
      <c r="E11" s="2370"/>
      <c r="F11" s="2370"/>
      <c r="G11" s="2370"/>
      <c r="H11" s="2370"/>
      <c r="I11" s="2370"/>
      <c r="J11" s="3061"/>
      <c r="K11" s="3060"/>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9" t="s">
        <v>2575</v>
      </c>
      <c r="J12" s="3062"/>
      <c r="K12" s="2613"/>
      <c r="L12" s="2613"/>
      <c r="M12" s="2439"/>
      <c r="N12" s="2450"/>
      <c r="O12" s="2439"/>
      <c r="P12" s="2439"/>
      <c r="Q12" s="2439"/>
      <c r="AD12" s="1745"/>
    </row>
    <row r="13" spans="1:30">
      <c r="A13" s="3423" t="s">
        <v>3333</v>
      </c>
      <c r="B13" s="2407" t="s">
        <v>2186</v>
      </c>
      <c r="C13" s="856"/>
      <c r="D13" s="856">
        <f>E13</f>
        <v>61751</v>
      </c>
      <c r="E13" s="856">
        <v>61751</v>
      </c>
      <c r="F13" s="856"/>
      <c r="G13" s="856"/>
      <c r="H13" s="856"/>
      <c r="I13" s="856"/>
      <c r="J13" s="3062"/>
      <c r="K13" s="2613"/>
      <c r="L13" s="2613"/>
      <c r="M13" s="2439"/>
      <c r="N13" s="2450"/>
      <c r="O13" s="2439"/>
      <c r="P13" s="2439"/>
      <c r="Q13" s="2439"/>
      <c r="AD13" s="1745"/>
    </row>
    <row r="14" spans="1:30">
      <c r="A14" s="1081"/>
      <c r="B14" s="2407" t="s">
        <v>2187</v>
      </c>
      <c r="C14" s="2408"/>
      <c r="D14" s="2408">
        <v>50</v>
      </c>
      <c r="E14" s="2408">
        <v>50</v>
      </c>
      <c r="F14" s="2408"/>
      <c r="G14" s="2408"/>
      <c r="H14" s="2408"/>
      <c r="I14" s="2408"/>
      <c r="J14" s="3063"/>
      <c r="K14" s="2613"/>
      <c r="L14" s="2613"/>
      <c r="M14" s="2439"/>
      <c r="N14" s="2450"/>
      <c r="O14" s="2439"/>
      <c r="P14" s="2439"/>
      <c r="Q14" s="2439"/>
      <c r="AD14" s="1745"/>
    </row>
    <row r="15" spans="1:30">
      <c r="A15" s="320"/>
      <c r="B15" s="2409" t="s">
        <v>2188</v>
      </c>
      <c r="C15" s="2410" t="str">
        <f>IF(A13="出让",IF(C13="","",ROUNDDOWN(MIN((C13-$D$3)/365,C14),2)),C14)</f>
        <v/>
      </c>
      <c r="D15" s="2410">
        <f>IF(A13="出让",IF(D13="","",ROUNDDOWN(MIN((D13-$D$3)/365,D14),2)),D14)</f>
        <v>45.71</v>
      </c>
      <c r="E15" s="2410">
        <f>IF(A13="出让",IF(E13="","",ROUNDDOWN(MIN((E13-$D$3)/365,E14),2)),E14)</f>
        <v>45.71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2189</v>
      </c>
      <c r="B16" s="3540"/>
      <c r="C16" s="3541"/>
      <c r="D16" s="3542"/>
      <c r="E16" s="2413" t="s">
        <v>2190</v>
      </c>
      <c r="F16" s="3543"/>
      <c r="G16" s="3544"/>
      <c r="H16" s="3544"/>
      <c r="I16" s="3545"/>
      <c r="J16" s="2439"/>
      <c r="K16" s="2617"/>
      <c r="L16" s="2451"/>
      <c r="M16" s="2451"/>
      <c r="N16" s="2509"/>
      <c r="O16" s="2451"/>
      <c r="P16" s="2509"/>
      <c r="Q16" s="2439"/>
      <c r="R16" s="2439"/>
    </row>
    <row r="17" spans="1:28">
      <c r="A17" s="313" t="s">
        <v>2191</v>
      </c>
      <c r="B17" s="302" t="s">
        <v>2192</v>
      </c>
      <c r="C17" s="8">
        <f>'数据-汇总表'!E3</f>
        <v>87440.459999999992</v>
      </c>
      <c r="D17" s="2322" t="s">
        <v>2193</v>
      </c>
      <c r="E17" s="3546" t="s">
        <v>2194</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30808.7</v>
      </c>
      <c r="D18" s="1092" t="s">
        <v>2197</v>
      </c>
      <c r="E18" s="3549" t="s">
        <v>2198</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1052</v>
      </c>
      <c r="B19" s="307" t="s">
        <v>2199</v>
      </c>
      <c r="C19" s="1563"/>
      <c r="D19" s="1564" t="s">
        <v>2200</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2201</v>
      </c>
      <c r="B20" s="3536" t="s">
        <v>2202</v>
      </c>
      <c r="C20" s="3537"/>
      <c r="D20" s="3538" t="s">
        <v>2203</v>
      </c>
      <c r="E20" s="3539"/>
      <c r="F20" s="2647" t="s">
        <v>1053</v>
      </c>
      <c r="G20" s="2664"/>
      <c r="H20" s="2664"/>
      <c r="I20" s="2664"/>
      <c r="J20" s="2439"/>
      <c r="K20" s="3535"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1054</v>
      </c>
      <c r="D21" s="1568" t="s">
        <v>2206</v>
      </c>
      <c r="E21" s="2635" t="s">
        <v>1054</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1055</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1056</v>
      </c>
      <c r="C24" s="2641"/>
      <c r="D24" s="2637" t="s">
        <v>1056</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1057</v>
      </c>
      <c r="C25" s="2641"/>
      <c r="D25" s="2637" t="s">
        <v>1057</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1058</v>
      </c>
      <c r="C26" s="2645"/>
      <c r="D26" s="2643" t="s">
        <v>1058</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2210</v>
      </c>
      <c r="B27" s="320" t="s">
        <v>2211</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2212</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2213</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2214</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2215</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4"/>
      <c r="J34" s="2439"/>
      <c r="K34" s="2427">
        <f>COUNTIF(B34:H34,"——")</f>
        <v>0</v>
      </c>
      <c r="L34" s="323" t="s">
        <v>2217</v>
      </c>
      <c r="M34" s="323" t="s">
        <v>2218</v>
      </c>
      <c r="N34" s="323" t="s">
        <v>2219</v>
      </c>
      <c r="O34" s="323" t="s">
        <v>2220</v>
      </c>
      <c r="P34" s="323" t="s">
        <v>2221</v>
      </c>
      <c r="Q34" s="323" t="s">
        <v>2222</v>
      </c>
      <c r="R34" s="323" t="s">
        <v>2223</v>
      </c>
      <c r="S34" s="3522" t="s">
        <v>2224</v>
      </c>
      <c r="T34" s="2428" t="str">
        <f>NUMBERSTRING(7-K34,1)&amp;"通"</f>
        <v>七通</v>
      </c>
      <c r="U34" s="2439"/>
      <c r="V34" s="2439"/>
    </row>
    <row r="35" spans="1:30">
      <c r="A35" s="2429"/>
      <c r="B35" s="3529" t="s">
        <v>2225</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5" t="s">
        <v>2578</v>
      </c>
      <c r="G36" s="2664"/>
      <c r="H36" s="2664"/>
      <c r="I36" s="2664"/>
      <c r="J36" s="2439"/>
      <c r="K36" s="2616"/>
      <c r="L36" s="2613"/>
      <c r="M36" s="2613"/>
      <c r="N36" s="2439"/>
      <c r="O36" s="2450"/>
      <c r="P36" s="2439"/>
      <c r="Q36" s="2439"/>
      <c r="R36" s="2439"/>
      <c r="S36" s="2439"/>
      <c r="T36" s="2439"/>
      <c r="U36" s="2439"/>
      <c r="V36" s="2439"/>
    </row>
    <row r="37" spans="1:30">
      <c r="A37" s="2630" t="s">
        <v>2226</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2227</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59"/>
  <sheetViews>
    <sheetView workbookViewId="0">
      <selection activeCell="H45" sqref="H45"/>
    </sheetView>
  </sheetViews>
  <sheetFormatPr defaultRowHeight="13.5"/>
  <cols>
    <col min="1" max="1" width="15.125" customWidth="1"/>
    <col min="2" max="2" width="11.25" customWidth="1"/>
    <col min="10" max="10" width="7.125" customWidth="1"/>
    <col min="19" max="19" width="12.75" customWidth="1"/>
    <col min="20" max="20" width="11.75" customWidth="1"/>
  </cols>
  <sheetData>
    <row r="1" spans="1:22">
      <c r="A1" s="3450" t="s">
        <v>3380</v>
      </c>
    </row>
    <row r="2" spans="1:22">
      <c r="A2" s="3451" t="s">
        <v>3381</v>
      </c>
      <c r="B2">
        <v>30808.7</v>
      </c>
    </row>
    <row r="3" spans="1:22">
      <c r="A3" s="3451" t="s">
        <v>3382</v>
      </c>
      <c r="B3" s="3451" t="s">
        <v>3383</v>
      </c>
    </row>
    <row r="4" spans="1:22">
      <c r="A4" s="3451" t="s">
        <v>3384</v>
      </c>
      <c r="B4" s="3451" t="s">
        <v>3385</v>
      </c>
      <c r="P4">
        <f>B2+B22+B51</f>
        <v>104434.05</v>
      </c>
    </row>
    <row r="5" spans="1:22">
      <c r="A5" s="3452" t="s">
        <v>3386</v>
      </c>
      <c r="B5" s="3452" t="s">
        <v>3387</v>
      </c>
      <c r="C5" s="3452" t="s">
        <v>3388</v>
      </c>
      <c r="D5" s="3452" t="s">
        <v>3389</v>
      </c>
      <c r="E5" s="3452" t="s">
        <v>3390</v>
      </c>
      <c r="F5" s="3452" t="s">
        <v>3391</v>
      </c>
      <c r="G5" s="3452" t="s">
        <v>3392</v>
      </c>
      <c r="H5" s="3453" t="s">
        <v>3393</v>
      </c>
      <c r="I5" s="3454" t="s">
        <v>3394</v>
      </c>
      <c r="J5" s="3455">
        <f>C17/B2</f>
        <v>1.093856930023013</v>
      </c>
      <c r="P5">
        <v>4208</v>
      </c>
      <c r="S5" s="3552" t="s">
        <v>3395</v>
      </c>
      <c r="T5" s="3553"/>
      <c r="U5" s="3553"/>
      <c r="V5" s="3554"/>
    </row>
    <row r="6" spans="1:22">
      <c r="A6" s="3452" t="s">
        <v>3396</v>
      </c>
      <c r="B6" s="3456">
        <f>C6+D6</f>
        <v>6451.79</v>
      </c>
      <c r="C6" s="3456">
        <v>4422.45</v>
      </c>
      <c r="D6" s="3456">
        <v>2029.34</v>
      </c>
      <c r="E6" s="3456"/>
      <c r="F6" s="3456"/>
      <c r="G6" s="3456">
        <v>3</v>
      </c>
      <c r="H6" s="3452" t="s">
        <v>3397</v>
      </c>
      <c r="P6">
        <f>P5*P4/10000</f>
        <v>43945.848240000007</v>
      </c>
      <c r="S6" s="3452" t="s">
        <v>3398</v>
      </c>
      <c r="T6" s="3452" t="s">
        <v>3399</v>
      </c>
      <c r="U6" s="3452" t="s">
        <v>3400</v>
      </c>
      <c r="V6" s="3452" t="s">
        <v>3401</v>
      </c>
    </row>
    <row r="7" spans="1:22">
      <c r="A7" s="3452" t="s">
        <v>3402</v>
      </c>
      <c r="B7" s="3456">
        <f t="shared" ref="B7:B16" si="0">C7+D7</f>
        <v>3126.9300000000003</v>
      </c>
      <c r="C7" s="3456">
        <v>2024.99</v>
      </c>
      <c r="D7" s="3456">
        <v>1101.94</v>
      </c>
      <c r="E7" s="3456"/>
      <c r="F7" s="3456"/>
      <c r="G7" s="3456">
        <v>2</v>
      </c>
      <c r="H7" s="3452" t="s">
        <v>3403</v>
      </c>
      <c r="S7" s="3452" t="s">
        <v>3404</v>
      </c>
      <c r="T7" s="3456">
        <f>U7+V7</f>
        <v>6451.79</v>
      </c>
      <c r="U7" s="3456">
        <v>4422.45</v>
      </c>
      <c r="V7" s="3456">
        <v>2029.34</v>
      </c>
    </row>
    <row r="8" spans="1:22">
      <c r="A8" s="3452" t="s">
        <v>3405</v>
      </c>
      <c r="B8" s="3456">
        <f t="shared" si="0"/>
        <v>3682.33</v>
      </c>
      <c r="C8" s="3456">
        <v>2361.23</v>
      </c>
      <c r="D8" s="3456">
        <v>1321.1</v>
      </c>
      <c r="E8" s="3456"/>
      <c r="F8" s="3456"/>
      <c r="G8" s="3456">
        <v>2</v>
      </c>
      <c r="H8" s="3452" t="s">
        <v>3403</v>
      </c>
      <c r="S8" s="3452" t="s">
        <v>3402</v>
      </c>
      <c r="T8" s="3456">
        <f t="shared" ref="T8:T17" si="1">U8+V8</f>
        <v>3126.9300000000003</v>
      </c>
      <c r="U8" s="3456">
        <v>2024.99</v>
      </c>
      <c r="V8" s="3456">
        <v>1101.94</v>
      </c>
    </row>
    <row r="9" spans="1:22">
      <c r="A9" s="3452" t="s">
        <v>3406</v>
      </c>
      <c r="B9" s="3456">
        <f t="shared" si="0"/>
        <v>3703.65</v>
      </c>
      <c r="C9" s="3456">
        <v>2378.15</v>
      </c>
      <c r="D9" s="3456">
        <v>1325.5</v>
      </c>
      <c r="E9" s="3456"/>
      <c r="F9" s="3456"/>
      <c r="G9" s="3456">
        <v>2</v>
      </c>
      <c r="H9" s="3452" t="s">
        <v>3407</v>
      </c>
      <c r="S9" s="3452" t="s">
        <v>3405</v>
      </c>
      <c r="T9" s="3456">
        <f t="shared" si="1"/>
        <v>3682.33</v>
      </c>
      <c r="U9" s="3456">
        <v>2361.23</v>
      </c>
      <c r="V9" s="3456">
        <v>1321.1</v>
      </c>
    </row>
    <row r="10" spans="1:22">
      <c r="A10" s="3452" t="s">
        <v>3408</v>
      </c>
      <c r="B10" s="3456">
        <f t="shared" si="0"/>
        <v>3682.33</v>
      </c>
      <c r="C10" s="3456">
        <v>2361.23</v>
      </c>
      <c r="D10" s="3456">
        <v>1321.1</v>
      </c>
      <c r="E10" s="3456"/>
      <c r="F10" s="3456"/>
      <c r="G10" s="3456">
        <v>2</v>
      </c>
      <c r="H10" s="3452" t="s">
        <v>3407</v>
      </c>
      <c r="S10" s="3452" t="s">
        <v>3406</v>
      </c>
      <c r="T10" s="3456">
        <f t="shared" si="1"/>
        <v>3703.65</v>
      </c>
      <c r="U10" s="3456">
        <v>2378.15</v>
      </c>
      <c r="V10" s="3456">
        <v>1325.5</v>
      </c>
    </row>
    <row r="11" spans="1:22">
      <c r="A11" s="3452" t="s">
        <v>3409</v>
      </c>
      <c r="B11" s="3456">
        <f t="shared" si="0"/>
        <v>3131.73</v>
      </c>
      <c r="C11" s="3456">
        <v>2024.99</v>
      </c>
      <c r="D11" s="3456">
        <v>1106.74</v>
      </c>
      <c r="E11" s="3456"/>
      <c r="F11" s="3456"/>
      <c r="G11" s="3456">
        <v>2</v>
      </c>
      <c r="H11" s="3452" t="s">
        <v>3397</v>
      </c>
      <c r="S11" s="3452" t="s">
        <v>3408</v>
      </c>
      <c r="T11" s="3456">
        <f t="shared" si="1"/>
        <v>3682.33</v>
      </c>
      <c r="U11" s="3456">
        <v>2361.23</v>
      </c>
      <c r="V11" s="3456">
        <v>1321.1</v>
      </c>
    </row>
    <row r="12" spans="1:22">
      <c r="A12" s="3452" t="s">
        <v>3410</v>
      </c>
      <c r="B12" s="3456">
        <f t="shared" si="0"/>
        <v>3095.52</v>
      </c>
      <c r="C12" s="3456">
        <v>1988.43</v>
      </c>
      <c r="D12" s="3456">
        <v>1107.0899999999999</v>
      </c>
      <c r="E12" s="3456"/>
      <c r="F12" s="3456"/>
      <c r="G12" s="3456">
        <v>2</v>
      </c>
      <c r="H12" s="3452" t="s">
        <v>3397</v>
      </c>
      <c r="S12" s="3452" t="s">
        <v>3409</v>
      </c>
      <c r="T12" s="3456">
        <f t="shared" si="1"/>
        <v>3131.73</v>
      </c>
      <c r="U12" s="3456">
        <v>2024.99</v>
      </c>
      <c r="V12" s="3456">
        <v>1106.74</v>
      </c>
    </row>
    <row r="13" spans="1:22">
      <c r="A13" s="3452" t="s">
        <v>3411</v>
      </c>
      <c r="B13" s="3456">
        <f t="shared" si="0"/>
        <v>6067.0999999999995</v>
      </c>
      <c r="C13" s="3456">
        <v>5368.4</v>
      </c>
      <c r="D13" s="3456">
        <v>698.7</v>
      </c>
      <c r="E13" s="3456"/>
      <c r="F13" s="3456"/>
      <c r="G13" s="3456">
        <v>8</v>
      </c>
      <c r="H13" s="3452" t="s">
        <v>3412</v>
      </c>
      <c r="S13" s="3452" t="s">
        <v>3410</v>
      </c>
      <c r="T13" s="3456">
        <f t="shared" si="1"/>
        <v>3095.52</v>
      </c>
      <c r="U13" s="3456">
        <v>1988.43</v>
      </c>
      <c r="V13" s="3456">
        <v>1107.0899999999999</v>
      </c>
    </row>
    <row r="14" spans="1:22">
      <c r="A14" s="3452" t="s">
        <v>3413</v>
      </c>
      <c r="B14" s="3456">
        <f t="shared" si="0"/>
        <v>6080.1299999999992</v>
      </c>
      <c r="C14" s="3456">
        <v>5405.65</v>
      </c>
      <c r="D14" s="3456">
        <v>674.48</v>
      </c>
      <c r="E14" s="3456"/>
      <c r="F14" s="3456"/>
      <c r="G14" s="3456">
        <v>8</v>
      </c>
      <c r="H14" s="3452" t="s">
        <v>3412</v>
      </c>
      <c r="S14" s="3452" t="s">
        <v>3411</v>
      </c>
      <c r="T14" s="3456">
        <f t="shared" si="1"/>
        <v>6067.0999999999995</v>
      </c>
      <c r="U14" s="3456">
        <v>5368.4</v>
      </c>
      <c r="V14" s="3456">
        <v>698.7</v>
      </c>
    </row>
    <row r="15" spans="1:22">
      <c r="A15" s="3452" t="s">
        <v>3414</v>
      </c>
      <c r="B15" s="3456">
        <f t="shared" si="0"/>
        <v>6035.46</v>
      </c>
      <c r="C15" s="3456">
        <v>5364.79</v>
      </c>
      <c r="D15" s="3456">
        <v>670.67</v>
      </c>
      <c r="E15" s="3456"/>
      <c r="F15" s="3456"/>
      <c r="G15" s="3456">
        <v>8</v>
      </c>
      <c r="H15" s="3452" t="s">
        <v>3412</v>
      </c>
      <c r="S15" s="3452" t="s">
        <v>3413</v>
      </c>
      <c r="T15" s="3456">
        <f t="shared" si="1"/>
        <v>6080.1299999999992</v>
      </c>
      <c r="U15" s="3456">
        <v>5405.65</v>
      </c>
      <c r="V15" s="3456">
        <v>674.48</v>
      </c>
    </row>
    <row r="16" spans="1:22">
      <c r="A16" s="3452" t="s">
        <v>3415</v>
      </c>
      <c r="B16" s="3456">
        <f t="shared" si="0"/>
        <v>42383.49</v>
      </c>
      <c r="C16" s="3456"/>
      <c r="D16" s="3456">
        <v>42383.49</v>
      </c>
      <c r="E16" s="3456"/>
      <c r="F16" s="3456"/>
      <c r="G16" s="3456"/>
      <c r="H16" s="3456"/>
      <c r="S16" s="3452" t="s">
        <v>3414</v>
      </c>
      <c r="T16" s="3456">
        <f t="shared" si="1"/>
        <v>6035.46</v>
      </c>
      <c r="U16" s="3456">
        <v>5364.79</v>
      </c>
      <c r="V16" s="3456">
        <v>670.67</v>
      </c>
    </row>
    <row r="17" spans="1:22">
      <c r="A17" s="3452" t="s">
        <v>3416</v>
      </c>
      <c r="B17" s="3456">
        <f>SUM(B6:B16)</f>
        <v>87440.459999999992</v>
      </c>
      <c r="C17" s="3456">
        <f t="shared" ref="C17:D17" si="2">SUM(C6:C16)</f>
        <v>33700.31</v>
      </c>
      <c r="D17" s="3456">
        <f t="shared" si="2"/>
        <v>53740.149999999994</v>
      </c>
      <c r="E17" s="3456"/>
      <c r="F17" s="3456"/>
      <c r="G17" s="3456"/>
      <c r="H17" s="3456"/>
      <c r="S17" s="3452" t="s">
        <v>3417</v>
      </c>
      <c r="T17" s="3456">
        <f t="shared" si="1"/>
        <v>42383.49</v>
      </c>
      <c r="U17" s="3456"/>
      <c r="V17" s="3456">
        <v>42383.49</v>
      </c>
    </row>
    <row r="18" spans="1:22">
      <c r="A18" s="3451"/>
      <c r="S18" s="3452" t="s">
        <v>3418</v>
      </c>
      <c r="T18" s="3456">
        <f>SUM(T7:T17)</f>
        <v>87440.459999999992</v>
      </c>
      <c r="U18" s="3456">
        <f t="shared" ref="U18:V18" si="3">SUM(U7:U17)</f>
        <v>33700.31</v>
      </c>
      <c r="V18" s="3456">
        <f t="shared" si="3"/>
        <v>53740.149999999994</v>
      </c>
    </row>
    <row r="19" spans="1:22">
      <c r="S19" s="3555" t="s">
        <v>3419</v>
      </c>
      <c r="T19" s="3556"/>
      <c r="U19" s="3556"/>
      <c r="V19" s="3557"/>
    </row>
    <row r="20" spans="1:22">
      <c r="S20" s="3452" t="s">
        <v>3420</v>
      </c>
      <c r="T20" s="3452" t="s">
        <v>3418</v>
      </c>
      <c r="U20" s="3452" t="s">
        <v>3421</v>
      </c>
      <c r="V20" s="3452" t="s">
        <v>3422</v>
      </c>
    </row>
    <row r="21" spans="1:22">
      <c r="A21" s="3450" t="s">
        <v>3419</v>
      </c>
      <c r="S21" s="3452" t="s">
        <v>3423</v>
      </c>
      <c r="T21" s="3456">
        <f>U21+V21+W21+X21</f>
        <v>12089.09</v>
      </c>
      <c r="U21" s="3456">
        <v>9792.32</v>
      </c>
      <c r="V21" s="3456">
        <v>2296.77</v>
      </c>
    </row>
    <row r="22" spans="1:22">
      <c r="A22" s="3451" t="s">
        <v>3424</v>
      </c>
      <c r="B22">
        <v>58134.15</v>
      </c>
      <c r="S22" s="3452" t="s">
        <v>3402</v>
      </c>
      <c r="T22" s="3456">
        <f t="shared" ref="T22:T34" si="4">U22+V22+W22+X22</f>
        <v>7556.15</v>
      </c>
      <c r="U22" s="3456">
        <v>5457.67</v>
      </c>
      <c r="V22" s="3456">
        <v>2098.48</v>
      </c>
    </row>
    <row r="23" spans="1:22">
      <c r="A23" s="3451" t="s">
        <v>3425</v>
      </c>
      <c r="B23" s="3451" t="s">
        <v>3426</v>
      </c>
      <c r="S23" s="3452" t="s">
        <v>3405</v>
      </c>
      <c r="T23" s="3456">
        <f t="shared" si="4"/>
        <v>5929.04</v>
      </c>
      <c r="U23" s="3456">
        <v>5101.1499999999996</v>
      </c>
      <c r="V23" s="3456">
        <v>827.89</v>
      </c>
    </row>
    <row r="24" spans="1:22">
      <c r="A24" s="3451" t="s">
        <v>3427</v>
      </c>
      <c r="B24" s="3451" t="s">
        <v>3428</v>
      </c>
      <c r="S24" s="3452" t="s">
        <v>3406</v>
      </c>
      <c r="T24" s="3456">
        <f t="shared" si="4"/>
        <v>5914.25</v>
      </c>
      <c r="U24" s="3456">
        <v>5086.3599999999997</v>
      </c>
      <c r="V24" s="3456">
        <v>827.89</v>
      </c>
    </row>
    <row r="25" spans="1:22">
      <c r="A25" s="3452" t="s">
        <v>3420</v>
      </c>
      <c r="B25" s="3452" t="s">
        <v>3429</v>
      </c>
      <c r="C25" s="3452" t="s">
        <v>3421</v>
      </c>
      <c r="D25" s="3452" t="s">
        <v>3422</v>
      </c>
      <c r="E25" s="3452" t="s">
        <v>3430</v>
      </c>
      <c r="F25" s="3452" t="s">
        <v>3431</v>
      </c>
      <c r="G25" s="3452" t="s">
        <v>3432</v>
      </c>
      <c r="H25" s="3453" t="s">
        <v>3425</v>
      </c>
      <c r="I25" s="3454" t="s">
        <v>3433</v>
      </c>
      <c r="J25" s="3455">
        <f>(E46+C46)/B22</f>
        <v>1.6302125342849252</v>
      </c>
      <c r="S25" s="3452" t="s">
        <v>3408</v>
      </c>
      <c r="T25" s="3456">
        <f t="shared" si="4"/>
        <v>6973.06</v>
      </c>
      <c r="U25" s="3456">
        <v>6006.97</v>
      </c>
      <c r="V25" s="3456">
        <v>966.09</v>
      </c>
    </row>
    <row r="26" spans="1:22">
      <c r="A26" s="3452" t="s">
        <v>3423</v>
      </c>
      <c r="B26" s="3456">
        <f>C26+D26+E26+F26</f>
        <v>12089.09</v>
      </c>
      <c r="C26" s="3456">
        <v>9792.32</v>
      </c>
      <c r="D26" s="3456">
        <v>2296.77</v>
      </c>
      <c r="E26" s="3456"/>
      <c r="F26" s="3456"/>
      <c r="G26" s="3456">
        <v>4</v>
      </c>
      <c r="H26" s="3452" t="s">
        <v>3434</v>
      </c>
      <c r="J26">
        <f>(1+0.7+0.6+0.5)/4</f>
        <v>0.7</v>
      </c>
      <c r="K26">
        <f>5.5/J26</f>
        <v>7.8571428571428577</v>
      </c>
      <c r="S26" s="3452" t="s">
        <v>3409</v>
      </c>
      <c r="T26" s="3456">
        <f t="shared" si="4"/>
        <v>6958.98</v>
      </c>
      <c r="U26" s="3456">
        <v>5993.62</v>
      </c>
      <c r="V26" s="3456">
        <v>965.36</v>
      </c>
    </row>
    <row r="27" spans="1:22">
      <c r="A27" s="3452" t="s">
        <v>3402</v>
      </c>
      <c r="B27" s="3456">
        <f t="shared" ref="B27:B45" si="5">C27+D27+E27+F27</f>
        <v>7556.15</v>
      </c>
      <c r="C27" s="3456">
        <v>5457.67</v>
      </c>
      <c r="D27" s="3456">
        <v>2098.48</v>
      </c>
      <c r="E27" s="3456"/>
      <c r="F27" s="3456"/>
      <c r="G27" s="3456">
        <v>3</v>
      </c>
      <c r="H27" s="3452" t="s">
        <v>3435</v>
      </c>
      <c r="S27" s="3452" t="s">
        <v>3410</v>
      </c>
      <c r="T27" s="3456">
        <f t="shared" si="4"/>
        <v>5763.3700000000008</v>
      </c>
      <c r="U27" s="3456">
        <v>5130.8500000000004</v>
      </c>
      <c r="V27" s="3456">
        <v>632.52</v>
      </c>
    </row>
    <row r="28" spans="1:22">
      <c r="A28" s="3452" t="s">
        <v>3405</v>
      </c>
      <c r="B28" s="3456">
        <f t="shared" si="5"/>
        <v>5929.04</v>
      </c>
      <c r="C28" s="3456">
        <v>5101.1499999999996</v>
      </c>
      <c r="D28" s="3456">
        <v>827.89</v>
      </c>
      <c r="E28" s="3456"/>
      <c r="F28" s="3456"/>
      <c r="G28" s="3456">
        <v>5</v>
      </c>
      <c r="H28" s="3453" t="s">
        <v>3436</v>
      </c>
      <c r="S28" s="3452" t="s">
        <v>3411</v>
      </c>
      <c r="T28" s="3456">
        <f t="shared" si="4"/>
        <v>5838.1299999999992</v>
      </c>
      <c r="U28" s="3456">
        <v>5205.6099999999997</v>
      </c>
      <c r="V28" s="3456">
        <v>632.52</v>
      </c>
    </row>
    <row r="29" spans="1:22">
      <c r="A29" s="3452" t="s">
        <v>3406</v>
      </c>
      <c r="B29" s="3456">
        <f t="shared" si="5"/>
        <v>5914.25</v>
      </c>
      <c r="C29" s="3456">
        <v>5086.3599999999997</v>
      </c>
      <c r="D29" s="3456">
        <v>827.89</v>
      </c>
      <c r="E29" s="3456"/>
      <c r="F29" s="3456"/>
      <c r="G29" s="3456">
        <v>5</v>
      </c>
      <c r="H29" s="3453" t="s">
        <v>3436</v>
      </c>
      <c r="S29" s="3452" t="s">
        <v>3413</v>
      </c>
      <c r="T29" s="3456">
        <f t="shared" si="4"/>
        <v>12136.79</v>
      </c>
      <c r="U29" s="3456">
        <v>9812.99</v>
      </c>
      <c r="V29" s="3456">
        <v>2323.8000000000002</v>
      </c>
    </row>
    <row r="30" spans="1:22">
      <c r="A30" s="3452" t="s">
        <v>3408</v>
      </c>
      <c r="B30" s="3456">
        <f t="shared" si="5"/>
        <v>6973.06</v>
      </c>
      <c r="C30" s="3456">
        <v>6006.97</v>
      </c>
      <c r="D30" s="3456">
        <v>966.09</v>
      </c>
      <c r="E30" s="3456"/>
      <c r="F30" s="3456"/>
      <c r="G30" s="3456">
        <v>5</v>
      </c>
      <c r="H30" s="3453" t="s">
        <v>3436</v>
      </c>
      <c r="S30" s="3452" t="s">
        <v>3414</v>
      </c>
      <c r="T30" s="3456">
        <f t="shared" si="4"/>
        <v>23751.16</v>
      </c>
      <c r="U30" s="3456">
        <v>20320.02</v>
      </c>
      <c r="V30" s="3456">
        <v>3431.14</v>
      </c>
    </row>
    <row r="31" spans="1:22">
      <c r="A31" s="3452" t="s">
        <v>3409</v>
      </c>
      <c r="B31" s="3456">
        <f t="shared" si="5"/>
        <v>6958.98</v>
      </c>
      <c r="C31" s="3456">
        <v>5993.62</v>
      </c>
      <c r="D31" s="3456">
        <v>965.36</v>
      </c>
      <c r="E31" s="3456"/>
      <c r="F31" s="3456"/>
      <c r="G31" s="3456">
        <v>5</v>
      </c>
      <c r="H31" s="3453" t="s">
        <v>3436</v>
      </c>
      <c r="S31" s="3452" t="s">
        <v>3437</v>
      </c>
      <c r="T31" s="3456">
        <f t="shared" si="4"/>
        <v>8482.43</v>
      </c>
      <c r="U31" s="3456">
        <v>7435.97</v>
      </c>
      <c r="V31" s="3456">
        <v>1046.46</v>
      </c>
    </row>
    <row r="32" spans="1:22">
      <c r="A32" s="3452" t="s">
        <v>3410</v>
      </c>
      <c r="B32" s="3456">
        <f t="shared" si="5"/>
        <v>5763.3700000000008</v>
      </c>
      <c r="C32" s="3456">
        <v>5130.8500000000004</v>
      </c>
      <c r="D32" s="3456">
        <v>632.52</v>
      </c>
      <c r="E32" s="3456"/>
      <c r="F32" s="3456"/>
      <c r="G32" s="3456">
        <v>5</v>
      </c>
      <c r="H32" s="3453" t="s">
        <v>3436</v>
      </c>
      <c r="S32" s="3452" t="s">
        <v>3438</v>
      </c>
      <c r="T32" s="3456">
        <f t="shared" si="4"/>
        <v>6465.24</v>
      </c>
      <c r="U32" s="3456">
        <v>5418.78</v>
      </c>
      <c r="V32" s="3456">
        <v>1046.46</v>
      </c>
    </row>
    <row r="33" spans="1:22">
      <c r="A33" s="3452" t="s">
        <v>3411</v>
      </c>
      <c r="B33" s="3456">
        <f t="shared" si="5"/>
        <v>5838.1299999999992</v>
      </c>
      <c r="C33" s="3456">
        <v>5205.6099999999997</v>
      </c>
      <c r="D33" s="3456">
        <v>632.52</v>
      </c>
      <c r="E33" s="3456"/>
      <c r="F33" s="3456"/>
      <c r="G33" s="3456">
        <v>5</v>
      </c>
      <c r="H33" s="3453" t="s">
        <v>3436</v>
      </c>
      <c r="S33" s="3452" t="s">
        <v>3439</v>
      </c>
      <c r="T33" s="3456">
        <f t="shared" si="4"/>
        <v>4825.82</v>
      </c>
      <c r="U33" s="3457">
        <v>3828.12</v>
      </c>
      <c r="V33" s="3457">
        <v>997.7</v>
      </c>
    </row>
    <row r="34" spans="1:22">
      <c r="A34" s="3452" t="s">
        <v>3413</v>
      </c>
      <c r="B34" s="3456">
        <f t="shared" si="5"/>
        <v>12136.79</v>
      </c>
      <c r="C34" s="3456">
        <v>9812.99</v>
      </c>
      <c r="D34" s="3456">
        <v>2323.8000000000002</v>
      </c>
      <c r="E34" s="3456"/>
      <c r="F34" s="3456"/>
      <c r="G34" s="3456">
        <v>7</v>
      </c>
      <c r="H34" s="3453" t="s">
        <v>3436</v>
      </c>
      <c r="S34" s="3452" t="s">
        <v>3440</v>
      </c>
      <c r="T34" s="3456">
        <f t="shared" si="4"/>
        <v>18788.669999999998</v>
      </c>
      <c r="U34" s="3458"/>
      <c r="V34" s="3457">
        <v>18788.669999999998</v>
      </c>
    </row>
    <row r="35" spans="1:22">
      <c r="A35" s="3452" t="s">
        <v>3414</v>
      </c>
      <c r="B35" s="3456">
        <f t="shared" si="5"/>
        <v>23751.16</v>
      </c>
      <c r="C35" s="3456">
        <v>20320.02</v>
      </c>
      <c r="D35" s="3456">
        <v>3431.14</v>
      </c>
      <c r="E35" s="3456"/>
      <c r="F35" s="3456"/>
      <c r="G35" s="3456">
        <v>7</v>
      </c>
      <c r="H35" s="3453" t="s">
        <v>3436</v>
      </c>
      <c r="S35" s="3459" t="s">
        <v>3418</v>
      </c>
      <c r="T35" s="3456">
        <f>SUM(T21:T34)</f>
        <v>131472.18</v>
      </c>
      <c r="U35" s="3456">
        <f t="shared" ref="U35:V35" si="6">SUM(U21:U34)</f>
        <v>94590.43</v>
      </c>
      <c r="V35" s="3456">
        <f t="shared" si="6"/>
        <v>36881.75</v>
      </c>
    </row>
    <row r="36" spans="1:22">
      <c r="A36" s="3452" t="s">
        <v>3437</v>
      </c>
      <c r="B36" s="3456">
        <f t="shared" si="5"/>
        <v>8482.43</v>
      </c>
      <c r="C36" s="3456">
        <v>7435.97</v>
      </c>
      <c r="D36" s="3456">
        <v>1046.46</v>
      </c>
      <c r="E36" s="3456"/>
      <c r="F36" s="3456"/>
      <c r="G36" s="3456">
        <v>8</v>
      </c>
      <c r="H36" s="3452" t="s">
        <v>3441</v>
      </c>
      <c r="S36" s="3555" t="s">
        <v>3442</v>
      </c>
      <c r="T36" s="3556"/>
      <c r="U36" s="3556"/>
      <c r="V36" s="3557"/>
    </row>
    <row r="37" spans="1:22">
      <c r="A37" s="3452" t="s">
        <v>3438</v>
      </c>
      <c r="B37" s="3456">
        <f t="shared" si="5"/>
        <v>6465.24</v>
      </c>
      <c r="C37" s="3456">
        <v>5418.78</v>
      </c>
      <c r="D37" s="3456">
        <v>1046.46</v>
      </c>
      <c r="E37" s="3456"/>
      <c r="F37" s="3456"/>
      <c r="G37" s="3456">
        <v>6</v>
      </c>
      <c r="H37" s="3453" t="s">
        <v>3436</v>
      </c>
      <c r="S37" s="3452" t="s">
        <v>3420</v>
      </c>
      <c r="T37" s="3452" t="s">
        <v>3418</v>
      </c>
      <c r="U37" s="3452" t="s">
        <v>3421</v>
      </c>
      <c r="V37" s="3452" t="s">
        <v>3422</v>
      </c>
    </row>
    <row r="38" spans="1:22">
      <c r="A38" s="3452" t="s">
        <v>3439</v>
      </c>
      <c r="B38" s="3456">
        <f t="shared" si="5"/>
        <v>4825.82</v>
      </c>
      <c r="C38" s="3457">
        <v>3828.12</v>
      </c>
      <c r="D38" s="3457">
        <v>997.7</v>
      </c>
      <c r="E38" s="3457"/>
      <c r="F38" s="3457"/>
      <c r="G38" s="3457">
        <v>5</v>
      </c>
      <c r="H38" s="3453" t="s">
        <v>3436</v>
      </c>
      <c r="S38" s="3452" t="s">
        <v>3423</v>
      </c>
      <c r="T38" s="3456">
        <f>U38+V38</f>
        <v>9149.89</v>
      </c>
      <c r="U38" s="3456">
        <v>9149.89</v>
      </c>
      <c r="V38" s="3456"/>
    </row>
    <row r="39" spans="1:22">
      <c r="A39" s="3452" t="s">
        <v>3440</v>
      </c>
      <c r="B39" s="3456">
        <f t="shared" si="5"/>
        <v>33275.01</v>
      </c>
      <c r="C39" s="3458"/>
      <c r="D39" s="3457">
        <f>33275.01-F39</f>
        <v>18788.670000000002</v>
      </c>
      <c r="E39" s="3457"/>
      <c r="F39" s="3458">
        <v>14486.34</v>
      </c>
      <c r="G39" s="3458"/>
      <c r="H39" s="3456"/>
      <c r="I39" s="3451"/>
      <c r="S39" s="3452" t="s">
        <v>3402</v>
      </c>
      <c r="T39" s="3456">
        <f t="shared" ref="T39:T41" si="7">U39+V39</f>
        <v>9561.0499999999993</v>
      </c>
      <c r="U39" s="3456">
        <v>9561.0499999999993</v>
      </c>
      <c r="V39" s="3456"/>
    </row>
    <row r="40" spans="1:22">
      <c r="A40" s="3453" t="s">
        <v>3443</v>
      </c>
      <c r="B40" s="3456">
        <f t="shared" si="5"/>
        <v>27.22</v>
      </c>
      <c r="C40" s="3458"/>
      <c r="D40" s="3458"/>
      <c r="E40" s="3458">
        <v>27.22</v>
      </c>
      <c r="F40" s="3458"/>
      <c r="G40" s="3458"/>
      <c r="H40" s="3456"/>
      <c r="S40" s="3452" t="s">
        <v>3405</v>
      </c>
      <c r="T40" s="3456">
        <f t="shared" si="7"/>
        <v>9400.5300000000007</v>
      </c>
      <c r="U40" s="3456">
        <v>9400.5300000000007</v>
      </c>
      <c r="V40" s="3456"/>
    </row>
    <row r="41" spans="1:22">
      <c r="A41" s="3453" t="s">
        <v>3444</v>
      </c>
      <c r="B41" s="3456">
        <f t="shared" si="5"/>
        <v>40.26</v>
      </c>
      <c r="C41" s="3458"/>
      <c r="D41" s="3458"/>
      <c r="E41" s="3458">
        <v>40.26</v>
      </c>
      <c r="F41" s="3458"/>
      <c r="G41" s="3458"/>
      <c r="H41" s="3456"/>
      <c r="S41" s="3452" t="s">
        <v>3445</v>
      </c>
      <c r="T41" s="3456">
        <f t="shared" si="7"/>
        <v>19008.96</v>
      </c>
      <c r="U41" s="3456">
        <v>17.2</v>
      </c>
      <c r="V41" s="3456">
        <v>18991.759999999998</v>
      </c>
    </row>
    <row r="42" spans="1:22">
      <c r="A42" s="3453" t="s">
        <v>3446</v>
      </c>
      <c r="B42" s="3456">
        <f t="shared" si="5"/>
        <v>44.25</v>
      </c>
      <c r="C42" s="3458"/>
      <c r="D42" s="3458"/>
      <c r="E42" s="3458">
        <v>44.25</v>
      </c>
      <c r="F42" s="3458"/>
      <c r="G42" s="3458"/>
      <c r="H42" s="3456"/>
      <c r="S42" s="3452" t="s">
        <v>3418</v>
      </c>
      <c r="T42" s="3456">
        <f>SUM(T38:T41)</f>
        <v>47120.43</v>
      </c>
      <c r="U42" s="3456">
        <f>SUM(U38:U41)</f>
        <v>28128.670000000002</v>
      </c>
      <c r="V42" s="3456">
        <f>SUM(V38:V41)</f>
        <v>18991.759999999998</v>
      </c>
    </row>
    <row r="43" spans="1:22">
      <c r="A43" s="3453" t="s">
        <v>3447</v>
      </c>
      <c r="B43" s="3456">
        <f t="shared" si="5"/>
        <v>23.96</v>
      </c>
      <c r="C43" s="3458"/>
      <c r="D43" s="3458"/>
      <c r="E43" s="3458">
        <v>23.96</v>
      </c>
      <c r="F43" s="3458"/>
      <c r="G43" s="3458"/>
      <c r="H43" s="3456"/>
      <c r="S43" s="3453" t="s">
        <v>3429</v>
      </c>
      <c r="T43" s="3457">
        <f>T18+T35+T42</f>
        <v>266033.07</v>
      </c>
      <c r="U43" s="3457">
        <f>U18+U35+U42</f>
        <v>156419.41</v>
      </c>
      <c r="V43" s="3457">
        <f>V18+V35+V42</f>
        <v>109613.65999999999</v>
      </c>
    </row>
    <row r="44" spans="1:22">
      <c r="A44" s="3453" t="s">
        <v>3448</v>
      </c>
      <c r="B44" s="3456">
        <f t="shared" si="5"/>
        <v>27.95</v>
      </c>
      <c r="C44" s="3458"/>
      <c r="D44" s="3458"/>
      <c r="E44" s="3458">
        <v>27.95</v>
      </c>
      <c r="F44" s="3458"/>
      <c r="G44" s="3458"/>
      <c r="H44" s="3456"/>
    </row>
    <row r="45" spans="1:22">
      <c r="A45" s="3453" t="s">
        <v>3449</v>
      </c>
      <c r="B45" s="3456">
        <f t="shared" si="5"/>
        <v>16.95</v>
      </c>
      <c r="C45" s="3458"/>
      <c r="D45" s="3458"/>
      <c r="E45" s="3458">
        <v>16.95</v>
      </c>
      <c r="F45" s="3458"/>
      <c r="G45" s="3458"/>
      <c r="H45" s="3456"/>
    </row>
    <row r="46" spans="1:22">
      <c r="A46" s="3458"/>
      <c r="B46" s="3456">
        <f>SUM(B26:B45)</f>
        <v>146139.11000000002</v>
      </c>
      <c r="C46" s="3456">
        <f t="shared" ref="C46:F46" si="8">SUM(C26:C45)</f>
        <v>94590.43</v>
      </c>
      <c r="D46" s="3456">
        <f t="shared" si="8"/>
        <v>36881.75</v>
      </c>
      <c r="E46" s="3456">
        <f t="shared" si="8"/>
        <v>180.58999999999997</v>
      </c>
      <c r="F46" s="3456">
        <f t="shared" si="8"/>
        <v>14486.34</v>
      </c>
      <c r="G46" s="3458"/>
      <c r="H46" s="3456"/>
    </row>
    <row r="50" spans="1:10">
      <c r="A50" s="3450" t="s">
        <v>3442</v>
      </c>
    </row>
    <row r="51" spans="1:10">
      <c r="A51" s="3451" t="s">
        <v>3424</v>
      </c>
      <c r="B51">
        <v>15491.2</v>
      </c>
    </row>
    <row r="52" spans="1:10">
      <c r="A52" s="3451" t="s">
        <v>3425</v>
      </c>
      <c r="B52" s="3451" t="s">
        <v>3426</v>
      </c>
    </row>
    <row r="53" spans="1:10">
      <c r="A53" s="3451" t="s">
        <v>3427</v>
      </c>
      <c r="B53" s="3451" t="s">
        <v>3450</v>
      </c>
    </row>
    <row r="54" spans="1:10">
      <c r="A54" s="3452" t="s">
        <v>3420</v>
      </c>
      <c r="B54" s="3452" t="s">
        <v>3429</v>
      </c>
      <c r="C54" s="3452" t="s">
        <v>3421</v>
      </c>
      <c r="D54" s="3452" t="s">
        <v>3422</v>
      </c>
      <c r="E54" s="3452" t="s">
        <v>3430</v>
      </c>
      <c r="F54" s="3452" t="s">
        <v>3431</v>
      </c>
      <c r="G54" s="3452" t="s">
        <v>3432</v>
      </c>
      <c r="H54" s="3453" t="s">
        <v>3425</v>
      </c>
      <c r="I54" s="3454" t="s">
        <v>3433</v>
      </c>
      <c r="J54" s="3455">
        <f>C59/B51</f>
        <v>1.815783799834745</v>
      </c>
    </row>
    <row r="55" spans="1:10">
      <c r="A55" s="3452" t="s">
        <v>3423</v>
      </c>
      <c r="B55" s="3456">
        <f>C55+D55</f>
        <v>9149.89</v>
      </c>
      <c r="C55" s="3456">
        <v>9149.89</v>
      </c>
      <c r="D55" s="3456"/>
      <c r="E55" s="3456"/>
      <c r="F55" s="3456"/>
      <c r="G55" s="3456">
        <v>5</v>
      </c>
      <c r="H55" s="3452" t="s">
        <v>3436</v>
      </c>
    </row>
    <row r="56" spans="1:10">
      <c r="A56" s="3452" t="s">
        <v>3402</v>
      </c>
      <c r="B56" s="3456">
        <f t="shared" ref="B56:B58" si="9">C56+D56</f>
        <v>9561.0499999999993</v>
      </c>
      <c r="C56" s="3456">
        <v>9561.0499999999993</v>
      </c>
      <c r="D56" s="3456"/>
      <c r="E56" s="3456"/>
      <c r="F56" s="3456"/>
      <c r="G56" s="3456">
        <v>5</v>
      </c>
      <c r="H56" s="3452" t="s">
        <v>3436</v>
      </c>
    </row>
    <row r="57" spans="1:10">
      <c r="A57" s="3452" t="s">
        <v>3405</v>
      </c>
      <c r="B57" s="3456">
        <f t="shared" si="9"/>
        <v>9400.5300000000007</v>
      </c>
      <c r="C57" s="3456">
        <v>9400.5300000000007</v>
      </c>
      <c r="D57" s="3456"/>
      <c r="E57" s="3456"/>
      <c r="F57" s="3456"/>
      <c r="G57" s="3456">
        <v>5</v>
      </c>
      <c r="H57" s="3452" t="s">
        <v>3436</v>
      </c>
    </row>
    <row r="58" spans="1:10">
      <c r="A58" s="3452" t="s">
        <v>3445</v>
      </c>
      <c r="B58" s="3456">
        <f t="shared" si="9"/>
        <v>19008.96</v>
      </c>
      <c r="C58" s="3456">
        <v>17.2</v>
      </c>
      <c r="D58" s="3456">
        <v>18991.759999999998</v>
      </c>
      <c r="E58" s="3456"/>
      <c r="F58" s="3456"/>
      <c r="G58" s="3456"/>
      <c r="H58" s="3456"/>
    </row>
    <row r="59" spans="1:10">
      <c r="A59" s="3452" t="s">
        <v>3429</v>
      </c>
      <c r="B59" s="3456">
        <f>SUM(B55:B58)</f>
        <v>47120.43</v>
      </c>
      <c r="C59" s="3456">
        <f>SUM(C55:C58)</f>
        <v>28128.670000000002</v>
      </c>
      <c r="D59" s="3456">
        <f>SUM(D55:D58)</f>
        <v>18991.759999999998</v>
      </c>
      <c r="E59" s="3456"/>
      <c r="F59" s="3456"/>
      <c r="G59" s="3456"/>
      <c r="H59" s="3456"/>
    </row>
  </sheetData>
  <mergeCells count="3">
    <mergeCell ref="S5:V5"/>
    <mergeCell ref="S19:V19"/>
    <mergeCell ref="S36:V3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G13" activePane="bottomRight" state="frozen"/>
      <selection activeCell="C50" sqref="C50"/>
      <selection pane="topRight" activeCell="C50" sqref="C50"/>
      <selection pane="bottomLeft" activeCell="C50" sqref="C50"/>
      <selection pane="bottomRight" activeCell="AL50" sqref="AL5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面积表!B2</f>
        <v>30808.7</v>
      </c>
      <c r="B3" s="11">
        <f>IF(C3="否",G5-AT5,G5)</f>
        <v>87440.459999999992</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87440.459999999992</v>
      </c>
      <c r="H5" s="13">
        <f t="shared" ref="H5:AT5" si="0">SUM(H13:H656)</f>
        <v>33700.31</v>
      </c>
      <c r="I5" s="13">
        <f t="shared" si="0"/>
        <v>33700.31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53740.149999999994</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53740.149999999994</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87440.459999999992</v>
      </c>
      <c r="BA5" s="15">
        <f t="shared" si="1"/>
        <v>33700.31</v>
      </c>
      <c r="BB5" s="15">
        <f t="shared" si="1"/>
        <v>33700.31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53740.149999999994</v>
      </c>
      <c r="BM5" s="15">
        <f t="shared" si="1"/>
        <v>0</v>
      </c>
      <c r="BN5" s="15">
        <f t="shared" si="1"/>
        <v>0</v>
      </c>
      <c r="BO5" s="15">
        <f t="shared" si="1"/>
        <v>0</v>
      </c>
      <c r="BP5" s="15">
        <f t="shared" si="1"/>
        <v>0</v>
      </c>
      <c r="BQ5" s="15">
        <f t="shared" si="1"/>
        <v>0</v>
      </c>
      <c r="BR5" s="15">
        <f t="shared" si="1"/>
        <v>53740.149999999994</v>
      </c>
      <c r="BS5" s="15">
        <f t="shared" si="1"/>
        <v>0</v>
      </c>
      <c r="BT5" s="16">
        <f t="shared" si="1"/>
        <v>0</v>
      </c>
    </row>
    <row r="6" spans="1:72" s="1589" customFormat="1" ht="12.75">
      <c r="A6" s="12" t="s">
        <v>1069</v>
      </c>
      <c r="B6" s="1586"/>
      <c r="C6" s="1586"/>
      <c r="D6" s="1587"/>
      <c r="E6" s="13">
        <f>H6+AC6+AT6</f>
        <v>30808.699999999997</v>
      </c>
      <c r="F6" s="13" t="s">
        <v>0</v>
      </c>
      <c r="G6" s="13" t="s">
        <v>1</v>
      </c>
      <c r="H6" s="17">
        <f>SUMIF(I$12:AB$12,"总值",I6:AB6)</f>
        <v>11873.94</v>
      </c>
      <c r="I6" s="13">
        <f t="shared" ref="I6:AB6" si="2">ROUND($A$3*I5/$B$3,2)</f>
        <v>11873.94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18934.759999999998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18934.759999999998</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30808.7</v>
      </c>
      <c r="AZ6" s="13" t="s">
        <v>2</v>
      </c>
      <c r="BA6" s="13">
        <f>ROUND($AY$6*BA5/$AZ$5,2)</f>
        <v>11873.94</v>
      </c>
      <c r="BB6" s="13">
        <f>ROUND($AY$6*BB5/$AZ$5,2)</f>
        <v>11873.94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18934.759999999998</v>
      </c>
      <c r="BM6" s="13">
        <f t="shared" si="5"/>
        <v>0</v>
      </c>
      <c r="BN6" s="13">
        <f t="shared" si="5"/>
        <v>0</v>
      </c>
      <c r="BO6" s="13">
        <f t="shared" si="5"/>
        <v>0</v>
      </c>
      <c r="BP6" s="13">
        <f t="shared" si="5"/>
        <v>0</v>
      </c>
      <c r="BQ6" s="13">
        <f t="shared" si="5"/>
        <v>0</v>
      </c>
      <c r="BR6" s="13">
        <f t="shared" si="5"/>
        <v>18934.759999999998</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3452</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3453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t="str">
        <f>I11</f>
        <v>大师工坊</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3451</v>
      </c>
      <c r="E13" s="13">
        <f>IF($C$3="是",ROUND($A$3*G13/$B$3,2),ROUND($A$3*(G13-AT13)/$B$3,2))</f>
        <v>30808.7</v>
      </c>
      <c r="F13" s="29"/>
      <c r="G13" s="30">
        <f>H13+AC13+AT13</f>
        <v>87440.459999999992</v>
      </c>
      <c r="H13" s="17">
        <f>SUMIF(I$12:AB$12,"总值",I13:AB13)</f>
        <v>33700.31</v>
      </c>
      <c r="I13" s="1626">
        <f>面积表!C17</f>
        <v>33700.31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53740.149999999994</v>
      </c>
      <c r="AD13" s="1627"/>
      <c r="AE13" s="1627"/>
      <c r="AF13" s="1627"/>
      <c r="AG13" s="1627"/>
      <c r="AH13" s="1627"/>
      <c r="AI13" s="1627"/>
      <c r="AJ13" s="1627"/>
      <c r="AK13" s="1627"/>
      <c r="AL13" s="1627"/>
      <c r="AM13" s="1627"/>
      <c r="AN13" s="1627">
        <f>面积表!D17</f>
        <v>53740.149999999994</v>
      </c>
      <c r="AO13" s="1627"/>
      <c r="AP13" s="1627"/>
      <c r="AQ13" s="1627"/>
      <c r="AR13" s="1627"/>
      <c r="AS13" s="1627"/>
      <c r="AT13" s="1628"/>
      <c r="AU13" s="1629"/>
      <c r="AV13" s="8">
        <f t="shared" ref="AV13:AX17" si="6">A13</f>
        <v>0</v>
      </c>
      <c r="AW13" s="8">
        <f t="shared" si="6"/>
        <v>0</v>
      </c>
      <c r="AX13" s="8">
        <f t="shared" si="6"/>
        <v>0</v>
      </c>
      <c r="AY13" s="1349">
        <f>ROUND($AY$6*AZ13/$AZ$5,2)</f>
        <v>30808.7</v>
      </c>
      <c r="AZ13" s="13">
        <f>BA13+BL13</f>
        <v>87440.459999999992</v>
      </c>
      <c r="BA13" s="13">
        <f>SUM(BB13:BK13)</f>
        <v>33700.31</v>
      </c>
      <c r="BB13" s="13">
        <f>IF($D13="是",I13-J13,0)</f>
        <v>33700.31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53740.149999999994</v>
      </c>
      <c r="BM13" s="13">
        <f>IF($D13="是",AD13-AE13,0)</f>
        <v>0</v>
      </c>
      <c r="BN13" s="13">
        <f>IF($D13="是",AF13-AG13,0)</f>
        <v>0</v>
      </c>
      <c r="BO13" s="13">
        <f>IF($D13="是",AH13-AI13,0)</f>
        <v>0</v>
      </c>
      <c r="BP13" s="13">
        <f>IF($D13="是",AJ13-AK13,0)</f>
        <v>0</v>
      </c>
      <c r="BQ13" s="13">
        <f>IF($D13="是",AL13-AM13,0)</f>
        <v>0</v>
      </c>
      <c r="BR13" s="13">
        <f>IF($D13="是",AN13-AO13,0)</f>
        <v>53740.149999999994</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0" sqref="E5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67" t="s">
        <v>1128</v>
      </c>
      <c r="B2" s="3567"/>
      <c r="C2" s="3567"/>
      <c r="D2" s="796" t="s">
        <v>1104</v>
      </c>
      <c r="E2" s="1639" t="s">
        <v>1105</v>
      </c>
      <c r="F2" s="2659"/>
      <c r="G2" s="2650"/>
      <c r="H2" s="2651"/>
      <c r="I2" s="2325" t="s">
        <v>1129</v>
      </c>
      <c r="J2" s="2659"/>
      <c r="K2" s="2659"/>
      <c r="L2" s="2659"/>
      <c r="M2" s="2659"/>
      <c r="N2" s="2661"/>
      <c r="O2" s="2659"/>
      <c r="P2" s="2659"/>
    </row>
    <row r="3" spans="1:16" ht="15.75" thickBot="1">
      <c r="A3" s="3568" t="s">
        <v>1102</v>
      </c>
      <c r="B3" s="3568"/>
      <c r="C3" s="3568"/>
      <c r="D3" s="43">
        <f>'数据-基础表'!AY6</f>
        <v>30808.7</v>
      </c>
      <c r="E3" s="43">
        <f>'数据-基础表'!AZ5</f>
        <v>87440.459999999992</v>
      </c>
      <c r="F3" s="2659"/>
      <c r="G3" s="1145"/>
      <c r="H3" s="1026" t="s">
        <v>1103</v>
      </c>
      <c r="I3" s="855">
        <f>ROUND('数据-基础表'!B3/'数据-基础表'!A3,2)</f>
        <v>2.84</v>
      </c>
      <c r="J3" s="2659"/>
      <c r="K3" s="2659"/>
      <c r="L3" s="2659"/>
      <c r="M3" s="2659"/>
      <c r="N3" s="2661"/>
      <c r="O3" s="2659"/>
      <c r="P3" s="2659"/>
    </row>
    <row r="4" spans="1:16" ht="15">
      <c r="A4" s="3569"/>
      <c r="B4" s="3570"/>
      <c r="C4" s="3571"/>
      <c r="D4" s="1641" t="s">
        <v>1104</v>
      </c>
      <c r="E4" s="1642" t="s">
        <v>1105</v>
      </c>
      <c r="F4" s="2659"/>
      <c r="G4" s="2652" t="s">
        <v>1130</v>
      </c>
      <c r="H4" s="1026" t="s">
        <v>1110</v>
      </c>
      <c r="I4" s="855">
        <f>ROUND(SUMIF('数据-基础表'!I9:AS9,"地上",'数据-基础表'!I5:AS5)/'数据-基础表'!A3,2)</f>
        <v>1.0900000000000001</v>
      </c>
      <c r="J4" s="2659"/>
      <c r="K4" s="2659"/>
      <c r="L4" s="2659"/>
      <c r="M4" s="2659"/>
      <c r="N4" s="2661"/>
      <c r="O4" s="2659"/>
      <c r="P4" s="2659"/>
    </row>
    <row r="5" spans="1:16">
      <c r="A5" s="44" t="s">
        <v>1106</v>
      </c>
      <c r="B5" s="3572" t="s">
        <v>1107</v>
      </c>
      <c r="C5" s="3572"/>
      <c r="D5" s="45">
        <f>ROUND($D$3*E5/$E$3,2)</f>
        <v>0</v>
      </c>
      <c r="E5" s="46">
        <f>SUMIF('数据-基础表'!$11:$11,"住宅",'数据-基础表'!$5:$5)</f>
        <v>0</v>
      </c>
      <c r="F5" s="2659"/>
      <c r="G5" s="1145"/>
      <c r="H5" s="1026" t="s">
        <v>1103</v>
      </c>
      <c r="I5" s="855">
        <f>ROUND(E31/D31,2)</f>
        <v>2.84</v>
      </c>
      <c r="J5" s="2659"/>
      <c r="K5" s="2659"/>
      <c r="L5" s="2659"/>
      <c r="M5" s="2659"/>
      <c r="N5" s="2659"/>
      <c r="O5" s="2659"/>
      <c r="P5" s="2659"/>
    </row>
    <row r="6" spans="1:16" ht="15" thickBot="1">
      <c r="A6" s="1644"/>
      <c r="B6" s="3572" t="s">
        <v>1108</v>
      </c>
      <c r="C6" s="3572"/>
      <c r="D6" s="45">
        <f>ROUND($D$3*E6/$E$3,2)</f>
        <v>30808.7</v>
      </c>
      <c r="E6" s="46">
        <f>E3-E5</f>
        <v>87440.459999999992</v>
      </c>
      <c r="F6" s="2659"/>
      <c r="G6" s="2653" t="s">
        <v>1109</v>
      </c>
      <c r="H6" s="1146" t="s">
        <v>1110</v>
      </c>
      <c r="I6" s="2654">
        <f>ROUND(F31/D31,2)</f>
        <v>1.0900000000000001</v>
      </c>
      <c r="J6" s="2659"/>
      <c r="K6" s="2659"/>
      <c r="L6" s="2659"/>
      <c r="M6" s="2659"/>
      <c r="N6" s="2659"/>
      <c r="O6" s="2659"/>
      <c r="P6" s="2659"/>
    </row>
    <row r="7" spans="1:16" ht="15.75" thickBot="1">
      <c r="A7" s="3564"/>
      <c r="B7" s="3565"/>
      <c r="C7" s="3566"/>
      <c r="D7" s="1641" t="s">
        <v>1104</v>
      </c>
      <c r="E7" s="1645" t="s">
        <v>1111</v>
      </c>
      <c r="F7" s="2659"/>
      <c r="G7" s="2655" t="s">
        <v>1112</v>
      </c>
      <c r="H7" s="2656"/>
      <c r="I7" s="2657"/>
      <c r="J7" s="2659"/>
      <c r="K7" s="2659"/>
      <c r="L7" s="2659"/>
      <c r="M7" s="2659"/>
      <c r="N7" s="2659"/>
      <c r="O7" s="2659"/>
      <c r="P7" s="2659"/>
    </row>
    <row r="8" spans="1:16">
      <c r="A8" s="44" t="s">
        <v>1113</v>
      </c>
      <c r="B8" s="47" t="s">
        <v>1114</v>
      </c>
      <c r="C8" s="45" t="s">
        <v>1115</v>
      </c>
      <c r="D8" s="45">
        <f t="shared" ref="D8:D15" si="0">ROUND($D$3*E8/$E$3,2)</f>
        <v>11873.94</v>
      </c>
      <c r="E8" s="48">
        <f>SUMIF('数据-基础表'!BB10:BK10,"地上",'数据-基础表'!BB5:BK5)</f>
        <v>33700.31</v>
      </c>
      <c r="F8" s="2659"/>
      <c r="G8" s="2660"/>
      <c r="H8" s="2660"/>
      <c r="I8" s="2659"/>
      <c r="J8" s="2659"/>
      <c r="K8" s="2659"/>
      <c r="L8" s="2659"/>
      <c r="M8" s="2659"/>
      <c r="N8" s="2659"/>
      <c r="O8" s="2659"/>
      <c r="P8" s="2659"/>
    </row>
    <row r="9" spans="1:16">
      <c r="A9" s="1646"/>
      <c r="B9" s="1647"/>
      <c r="C9" s="45" t="s">
        <v>1116</v>
      </c>
      <c r="D9" s="45">
        <f t="shared" si="0"/>
        <v>0</v>
      </c>
      <c r="E9" s="49">
        <v>0</v>
      </c>
      <c r="F9" s="2659"/>
      <c r="G9" s="2660"/>
      <c r="H9" s="2660"/>
      <c r="I9" s="2659"/>
      <c r="J9" s="2659"/>
      <c r="K9" s="2659"/>
      <c r="L9" s="2659"/>
      <c r="M9" s="2659"/>
      <c r="N9" s="2659"/>
      <c r="O9" s="2659"/>
      <c r="P9" s="2659"/>
    </row>
    <row r="10" spans="1:16">
      <c r="A10" s="1646"/>
      <c r="B10" s="1647"/>
      <c r="C10" s="45" t="s">
        <v>1125</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1117</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1118</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1119</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1131</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1126</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1120</v>
      </c>
      <c r="D16" s="47">
        <f>SUM(D8:D15)</f>
        <v>11873.94</v>
      </c>
      <c r="E16" s="50">
        <f>SUM(E8:E15)</f>
        <v>33700.31</v>
      </c>
      <c r="F16" s="2659"/>
      <c r="G16" s="2660"/>
      <c r="H16" s="1648" t="s">
        <v>1132</v>
      </c>
      <c r="I16" s="1649"/>
      <c r="J16" s="1139"/>
      <c r="K16" s="3561" t="s">
        <v>1132</v>
      </c>
      <c r="L16" s="3562"/>
      <c r="M16" s="3562"/>
      <c r="N16" s="3562"/>
      <c r="O16" s="3562"/>
      <c r="P16" s="3563"/>
    </row>
    <row r="17" spans="1:19" ht="15">
      <c r="A17" s="1650" t="s">
        <v>1133</v>
      </c>
      <c r="B17" s="1651" t="s">
        <v>1134</v>
      </c>
      <c r="C17" s="1652" t="s">
        <v>1135</v>
      </c>
      <c r="D17" s="1653" t="s">
        <v>1123</v>
      </c>
      <c r="E17" s="1654" t="s">
        <v>1124</v>
      </c>
      <c r="F17" s="1655"/>
      <c r="G17" s="1656"/>
      <c r="H17" s="1657" t="s">
        <v>1136</v>
      </c>
      <c r="I17" s="1658" t="s">
        <v>1121</v>
      </c>
      <c r="J17" s="1139"/>
      <c r="K17" s="3558" t="s">
        <v>1137</v>
      </c>
      <c r="L17" s="3559"/>
      <c r="M17" s="3560"/>
      <c r="N17" s="3558" t="s">
        <v>1138</v>
      </c>
      <c r="O17" s="3559"/>
      <c r="P17" s="3560"/>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7" t="s">
        <v>3454</v>
      </c>
      <c r="D19" s="45">
        <f>ROUND($D$3*E19/$E$3,2)</f>
        <v>11873.94</v>
      </c>
      <c r="E19" s="53">
        <f t="shared" ref="E19:E26" si="1">SUM(F19:G19)</f>
        <v>33700.31</v>
      </c>
      <c r="F19" s="2795">
        <v>33700.31</v>
      </c>
      <c r="G19" s="2796"/>
      <c r="H19" s="670">
        <f>ROUND($D$3*I19/$E$3,2)</f>
        <v>18934.759999999998</v>
      </c>
      <c r="I19" s="48">
        <f t="shared" ref="I19:I26" si="2">IF($I$17="自定义",P19,M19)</f>
        <v>53740.15</v>
      </c>
      <c r="J19" s="1139"/>
      <c r="K19" s="1138">
        <f t="shared" ref="K19:K26" si="3">ROUND(E$28*E19/E$27,2)</f>
        <v>53740.15</v>
      </c>
      <c r="L19" s="1026">
        <f t="shared" ref="L19:L26" si="4">ROUND(IF(COUNTIF(C19,"*住宅*")&gt;0,E$29*E19/E$32,0),2)</f>
        <v>0</v>
      </c>
      <c r="M19" s="1150">
        <f>K19+L19</f>
        <v>53740.15</v>
      </c>
      <c r="N19" s="1668"/>
      <c r="O19" s="1669"/>
      <c r="P19" s="1150">
        <f>N19+O19</f>
        <v>0</v>
      </c>
      <c r="R19" s="1026">
        <f t="shared" ref="R19:S26" si="5">D19+H19</f>
        <v>30808.699999999997</v>
      </c>
      <c r="S19" s="1027">
        <f t="shared" si="5"/>
        <v>87440.459999999992</v>
      </c>
    </row>
    <row r="20" spans="1:19">
      <c r="A20" s="1670"/>
      <c r="B20" s="47" t="s">
        <v>1150</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1150</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1150</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11873.94</v>
      </c>
      <c r="E27" s="1141">
        <f>IF(SUM(E19:E26)='数据-基础表'!BA5,SUM(E19:E26),IF(F27="地上面积有误","面积有误","地下面积有误"))</f>
        <v>33700.31</v>
      </c>
      <c r="F27" s="1140">
        <f>IF(SUM(F19:F26)=E8,SUM(F19:F26),"地上面积有误")</f>
        <v>33700.31</v>
      </c>
      <c r="G27" s="1142">
        <f>SUM(G19:G26)</f>
        <v>0</v>
      </c>
      <c r="H27" s="1143">
        <f>SUM(H19:H26)</f>
        <v>18934.759999999998</v>
      </c>
      <c r="I27" s="1144">
        <f>SUM(I19:I26)</f>
        <v>53740.15</v>
      </c>
      <c r="J27" s="1139"/>
      <c r="K27" s="1147">
        <f>SUM(K19:K26)</f>
        <v>53740.15</v>
      </c>
      <c r="L27" s="1148">
        <f>SUM(L19:L26)</f>
        <v>0</v>
      </c>
      <c r="M27" s="1151">
        <f>SUM(M19:M26)</f>
        <v>53740.15</v>
      </c>
      <c r="N27" s="1147">
        <f t="shared" ref="N27:O27" si="10">SUM(N19:N26)</f>
        <v>0</v>
      </c>
      <c r="O27" s="1148">
        <f t="shared" si="10"/>
        <v>0</v>
      </c>
      <c r="P27" s="1149">
        <f>SUM(P19:P26)</f>
        <v>0</v>
      </c>
      <c r="R27" s="1028">
        <f>IF(SUM(R19:R26)=$D$3,SUM(R19:R26),SUM(R19:R26)&amp;"误差"&amp;ROUND(SUM(R19:R26)-$D$3,2))</f>
        <v>30808.699999999997</v>
      </c>
      <c r="S27" s="1026">
        <f>IF(SUM(S19:S26)=$E$3,SUM(S19:S26),SUM(S19:S26)&amp;"误差"&amp;ROUND(SUM(S19:S26)-E3,2))</f>
        <v>87440.459999999992</v>
      </c>
    </row>
    <row r="28" spans="1:19">
      <c r="A28" s="1670"/>
      <c r="B28" s="47" t="s">
        <v>1152</v>
      </c>
      <c r="C28" s="1038" t="s">
        <v>1153</v>
      </c>
      <c r="D28" s="45">
        <f>ROUND($D$3*E28/$E$3,2)</f>
        <v>18934.759999999998</v>
      </c>
      <c r="E28" s="53">
        <f>SUM(F28:G28)</f>
        <v>53740.149999999994</v>
      </c>
      <c r="F28" s="56">
        <f>'数据-基础表'!BQ5+'数据-基础表'!BS5</f>
        <v>0</v>
      </c>
      <c r="G28" s="57">
        <f>'数据-基础表'!BR5+'数据-基础表'!BT5</f>
        <v>53740.149999999994</v>
      </c>
      <c r="H28" s="2659"/>
      <c r="I28" s="2659"/>
      <c r="J28" s="2659"/>
      <c r="K28" s="2659"/>
      <c r="L28" s="2659"/>
      <c r="M28" s="2659"/>
      <c r="N28" s="2659"/>
      <c r="O28" s="2659"/>
      <c r="P28" s="2659"/>
    </row>
    <row r="29" spans="1:19">
      <c r="A29" s="1670"/>
      <c r="B29" s="47" t="s">
        <v>1152</v>
      </c>
      <c r="C29" s="1674" t="s">
        <v>1154</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1151</v>
      </c>
      <c r="D30" s="1140">
        <f>SUM(D28:D29)</f>
        <v>18934.759999999998</v>
      </c>
      <c r="E30" s="1140">
        <f>SUM(E28:E29)</f>
        <v>53740.149999999994</v>
      </c>
      <c r="F30" s="1140">
        <f>SUM(F28:F29)</f>
        <v>0</v>
      </c>
      <c r="G30" s="1142">
        <f>SUM(G28:G29)</f>
        <v>53740.149999999994</v>
      </c>
      <c r="H30" s="2659"/>
      <c r="I30" s="2659"/>
      <c r="J30" s="2659"/>
      <c r="K30" s="2659"/>
      <c r="L30" s="2659"/>
      <c r="M30" s="2659"/>
      <c r="N30" s="2659"/>
      <c r="O30" s="2659"/>
      <c r="P30" s="2659"/>
    </row>
    <row r="31" spans="1:19" ht="15.75" thickBot="1">
      <c r="A31" s="1676"/>
      <c r="B31" s="1677"/>
      <c r="C31" s="835" t="s">
        <v>1155</v>
      </c>
      <c r="D31" s="676">
        <f>D27+D30</f>
        <v>30808.699999999997</v>
      </c>
      <c r="E31" s="676">
        <f>E27+E30</f>
        <v>87440.459999999992</v>
      </c>
      <c r="F31" s="677">
        <f>F27+F30</f>
        <v>33700.31</v>
      </c>
      <c r="G31" s="678">
        <f>G27+G30</f>
        <v>53740.149999999994</v>
      </c>
      <c r="H31" s="2659"/>
      <c r="I31" s="2659"/>
      <c r="J31" s="2659"/>
      <c r="K31" s="2659"/>
      <c r="L31" s="2659"/>
      <c r="M31" s="2659"/>
      <c r="N31" s="2659"/>
      <c r="O31" s="2659"/>
      <c r="P31" s="2659"/>
    </row>
    <row r="32" spans="1:19">
      <c r="A32" s="1643"/>
      <c r="B32" s="1643" t="s">
        <v>1156</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A6" activePane="bottomRight" state="frozen"/>
      <selection activeCell="C50" sqref="C50"/>
      <selection pane="topRight" activeCell="C50" sqref="C50"/>
      <selection pane="bottomLeft" activeCell="C50" sqref="C50"/>
      <selection pane="bottomRight" activeCell="AM46" sqref="AM4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1158</v>
      </c>
      <c r="B2" s="1045">
        <f>项目基本情况!D3</f>
        <v>45064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8"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3456</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大师工坊</v>
      </c>
      <c r="B6" s="1713" t="str">
        <f>IF(A6=0,"","经营性")</f>
        <v>经营性</v>
      </c>
      <c r="C6" s="1714" t="s">
        <v>21</v>
      </c>
      <c r="D6" s="858">
        <f>SUMIF(项目基本情况!C$12:I$12,C6,项目基本情况!C$14:I$14)</f>
        <v>50</v>
      </c>
      <c r="E6" s="857">
        <f>IF(B6="","",SUMIF(项目基本情况!C$12:I$12,C6,项目基本情况!C$13:I$13))</f>
        <v>61751</v>
      </c>
      <c r="F6" s="64">
        <f>SUMIF(项目基本情况!C$12:I$12,C6,项目基本情况!C$15:I$15)</f>
        <v>45.71</v>
      </c>
      <c r="G6" s="65">
        <f>IF(ISERROR(ROUND(POWER(1+H6,D6-F6)*(POWER(1+H6,F6)-1)/(POWER(1+H6,D6)-1),3)),0,ROUND(POWER(1+H6,D6-F6)*(POWER(1+H6,F6)-1)/(POWER(1+H6,D6)-1),3))</f>
        <v>0.98099999999999998</v>
      </c>
      <c r="H6" s="732">
        <v>5.5E-2</v>
      </c>
      <c r="I6" s="732">
        <v>0.06</v>
      </c>
      <c r="J6" s="66">
        <v>7.0000000000000007E-2</v>
      </c>
      <c r="K6" s="1030">
        <f>SUMIF('数据-汇总表'!C$19:C$33,A6,'数据-汇总表'!E$19:E$33)</f>
        <v>33700.31</v>
      </c>
      <c r="L6" s="733">
        <v>3800</v>
      </c>
      <c r="M6" s="67">
        <f t="shared" ref="M6:M14" si="0">ROUND(K6*L6/10000,0)</f>
        <v>12806</v>
      </c>
      <c r="N6" s="731">
        <v>0.75</v>
      </c>
      <c r="O6" s="67">
        <f>IF($N$5="成新度","——",ROUND(M6*N6,0))</f>
        <v>9605</v>
      </c>
      <c r="P6" s="68">
        <f>IF($N$5="成新度","——",M6-O6)</f>
        <v>3201</v>
      </c>
      <c r="Q6" s="734">
        <v>0.15</v>
      </c>
      <c r="R6" s="69">
        <f ca="1">SUMIF('数据-汇总表'!C$19:C$33,A6,'数据-汇总表'!R$19:R$27)</f>
        <v>30808.699999999997</v>
      </c>
      <c r="S6" s="51">
        <f>IF('数据-汇总表'!$I$17="按面积比例",SUMIF('数据-汇总表'!C$19:C$33,A6,'数据-汇总表'!K$19:K$33),SUMIF('数据-汇总表'!C$19:C$33,A6,'数据-汇总表'!N$19:N$33))</f>
        <v>53740.15</v>
      </c>
      <c r="T6" s="1172">
        <f>ROUND($L$14*S6/10000,0)</f>
        <v>20421</v>
      </c>
      <c r="U6" s="3460">
        <v>5</v>
      </c>
      <c r="V6" s="70">
        <v>0</v>
      </c>
      <c r="W6" s="70">
        <v>0.1</v>
      </c>
      <c r="X6" s="1040"/>
      <c r="Y6" s="71">
        <v>1</v>
      </c>
      <c r="Z6" s="72"/>
      <c r="AA6" s="66"/>
      <c r="AB6" s="66"/>
      <c r="AC6" s="1040"/>
      <c r="AD6" s="73"/>
      <c r="AE6" s="1041">
        <f ca="1">IF(AN6="",0,SUMIF(INDIRECT("'"&amp;AN6&amp;"'"&amp;"!E:E"),$AE$5,INDIRECT("'"&amp;AN6&amp;"'"&amp;"!F:F")))</f>
        <v>44.96</v>
      </c>
      <c r="AF6" s="1348"/>
      <c r="AG6" s="138">
        <f>IF(AF6="",0,AE6-AF6)</f>
        <v>0</v>
      </c>
      <c r="AH6" s="74"/>
      <c r="AI6" s="76">
        <v>365</v>
      </c>
      <c r="AJ6" s="77"/>
      <c r="AK6" s="78">
        <v>0.01</v>
      </c>
      <c r="AL6" s="79">
        <v>1E-3</v>
      </c>
      <c r="AM6" s="80">
        <v>0.01</v>
      </c>
      <c r="AN6" s="1715" t="s">
        <v>3457</v>
      </c>
      <c r="AO6" s="52">
        <f ca="1">SUMIF(INDIRECT("'"&amp;AN6&amp;"'"&amp;"!A:A"),"总价",INDIRECT("'"&amp;AN6&amp;"'"&amp;"!B:B"))</f>
        <v>62059</v>
      </c>
      <c r="AP6" s="1716">
        <f>IF(C6="住宅",K6*L6,0)</f>
        <v>0</v>
      </c>
      <c r="AQ6" s="52">
        <f>ROUND($L$14*$N$14*S6/10000,0)</f>
        <v>15316</v>
      </c>
      <c r="AR6" s="52">
        <f>ROUND($L$14*(1-$N$14)*S6/10000,0)</f>
        <v>5105</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53740.149999999994</v>
      </c>
      <c r="L14" s="82">
        <f>L6</f>
        <v>3800</v>
      </c>
      <c r="M14" s="67">
        <f t="shared" si="0"/>
        <v>20421</v>
      </c>
      <c r="N14" s="83">
        <f>N6</f>
        <v>0.75</v>
      </c>
      <c r="O14" s="67">
        <f t="shared" si="3"/>
        <v>15316</v>
      </c>
      <c r="P14" s="68">
        <f t="shared" si="4"/>
        <v>5105</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0.98099999999999998</v>
      </c>
      <c r="H16" s="90">
        <f>ROUND(SUMPRODUCT(H6:H13,K6:K13)/SUMPRODUCT((H6:H13&gt;0)*(K6:K13)),3)</f>
        <v>5.5E-2</v>
      </c>
      <c r="I16" s="91"/>
      <c r="J16" s="91"/>
      <c r="K16" s="92">
        <f>SUM(K6:K15)</f>
        <v>87440.459999999992</v>
      </c>
      <c r="L16" s="93">
        <f>ROUND(M16*10000/SUM(K6:K14),0)</f>
        <v>3800</v>
      </c>
      <c r="M16" s="93">
        <f>SUM(M6:M14)</f>
        <v>33227</v>
      </c>
      <c r="N16" s="94">
        <f>ROUND(SUMPRODUCT(M6:M14,N6:N14)/M16,3)</f>
        <v>0.75</v>
      </c>
      <c r="O16" s="93">
        <f>SUM(O6:O14)</f>
        <v>24921</v>
      </c>
      <c r="P16" s="93">
        <f>SUM(P6:P14)</f>
        <v>8306</v>
      </c>
      <c r="Q16" s="95">
        <f>ROUND(SUMPRODUCT(Q6:Q13,K6:K13)/SUMPRODUCT((Q6:Q13&gt;0)*(K6:K13)),2)</f>
        <v>0.15</v>
      </c>
      <c r="R16" s="1034">
        <f ca="1">SUM(R6:R13)</f>
        <v>30808.699999999997</v>
      </c>
      <c r="S16" s="96">
        <f>SUM(S6:S13)</f>
        <v>53740.15</v>
      </c>
      <c r="T16" s="97">
        <f>IF(SUMIF(T6:T13,"&lt;9E307")=M14,SUMIF(T6:T13,"&lt;9E307"),"有误，请检查")</f>
        <v>20421</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1207</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1208</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1209</v>
      </c>
      <c r="B20" s="104">
        <v>3</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1210</v>
      </c>
      <c r="B21" s="104">
        <f>B20*N16</f>
        <v>2.25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1211</v>
      </c>
      <c r="B22" s="105">
        <f>B19+B20</f>
        <v>3</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1212</v>
      </c>
      <c r="B23" s="105">
        <f>B19+B21</f>
        <v>2.25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1213</v>
      </c>
      <c r="B24" s="106">
        <f>B20-B21</f>
        <v>0.75</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1214</v>
      </c>
      <c r="B26" s="1726" t="s">
        <v>1215</v>
      </c>
      <c r="C26" s="2677" t="s">
        <v>1216</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1217</v>
      </c>
      <c r="B27" s="107">
        <v>160</v>
      </c>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v>0</v>
      </c>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150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50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0.04</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1.4999999999999999E-2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1227</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1228</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1229</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3455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1230</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1231</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1232</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1233</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1234</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1235</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1236</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1237</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1238</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1239</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1240</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1241</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1242</v>
      </c>
      <c r="B53" s="1738"/>
      <c r="C53" s="2661" t="s">
        <v>1243</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1244</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1245</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1246</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1247</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1248</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1249</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1250</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1251</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1252</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1253</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3" t="s">
        <v>2282</v>
      </c>
      <c r="B1" s="3574"/>
      <c r="C1" s="3574"/>
      <c r="D1" s="3574"/>
      <c r="E1" s="3574"/>
      <c r="F1" s="3574"/>
      <c r="G1" s="357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2248</v>
      </c>
      <c r="C3" s="2464" t="s">
        <v>2280</v>
      </c>
      <c r="D3" s="2465"/>
      <c r="E3" s="2442" t="s">
        <v>2279</v>
      </c>
      <c r="F3" s="2466" t="s">
        <v>2249</v>
      </c>
      <c r="G3" s="2467" t="s">
        <v>2281</v>
      </c>
      <c r="H3" s="799"/>
      <c r="I3" s="799"/>
      <c r="J3" s="799"/>
      <c r="K3" s="799"/>
      <c r="L3" s="799"/>
      <c r="M3" s="799"/>
      <c r="N3" s="799"/>
      <c r="O3" s="799"/>
      <c r="P3" s="799"/>
      <c r="Q3" s="799"/>
      <c r="R3" s="799"/>
    </row>
    <row r="4" spans="1:29" ht="36.75">
      <c r="A4" s="2442"/>
      <c r="B4" s="323" t="s">
        <v>2250</v>
      </c>
      <c r="C4" s="2468" t="s">
        <v>2251</v>
      </c>
      <c r="D4" s="2465"/>
      <c r="E4" s="2469"/>
      <c r="F4" s="1373" t="s">
        <v>2252</v>
      </c>
      <c r="G4" s="2470" t="s">
        <v>2253</v>
      </c>
      <c r="H4" s="799"/>
      <c r="I4" s="799"/>
      <c r="J4" s="799"/>
      <c r="K4" s="799"/>
      <c r="L4" s="799"/>
      <c r="M4" s="799"/>
      <c r="N4" s="799"/>
      <c r="O4" s="799"/>
      <c r="P4" s="799"/>
      <c r="Q4" s="799"/>
      <c r="R4" s="799"/>
    </row>
    <row r="5" spans="1:29" ht="36.75">
      <c r="A5" s="2442"/>
      <c r="B5" s="323" t="s">
        <v>2254</v>
      </c>
      <c r="C5" s="2468" t="s">
        <v>2255</v>
      </c>
      <c r="D5" s="2465"/>
      <c r="E5" s="2469"/>
      <c r="F5" s="323" t="s">
        <v>2256</v>
      </c>
      <c r="G5" s="2470" t="s">
        <v>2257</v>
      </c>
      <c r="H5" s="799"/>
      <c r="I5" s="799"/>
      <c r="J5" s="799"/>
      <c r="K5" s="799"/>
      <c r="L5" s="799"/>
      <c r="M5" s="799"/>
      <c r="N5" s="799"/>
      <c r="O5" s="799"/>
      <c r="P5" s="799"/>
      <c r="Q5" s="799"/>
      <c r="R5" s="799"/>
    </row>
    <row r="6" spans="1:29" ht="36">
      <c r="A6" s="2442"/>
      <c r="B6" s="323" t="s">
        <v>2258</v>
      </c>
      <c r="C6" s="2470" t="s">
        <v>2253</v>
      </c>
      <c r="D6" s="2465"/>
      <c r="E6" s="2469"/>
      <c r="F6" s="323" t="s">
        <v>2259</v>
      </c>
      <c r="G6" s="2470" t="s">
        <v>2260</v>
      </c>
      <c r="H6" s="799"/>
      <c r="I6" s="799"/>
      <c r="J6" s="799"/>
      <c r="K6" s="799"/>
      <c r="L6" s="799"/>
      <c r="M6" s="799"/>
      <c r="N6" s="799"/>
      <c r="O6" s="799"/>
      <c r="P6" s="799"/>
      <c r="Q6" s="799"/>
      <c r="R6" s="799"/>
    </row>
    <row r="7" spans="1:29" ht="24.75" thickBot="1">
      <c r="A7" s="2442"/>
      <c r="B7" s="323" t="s">
        <v>2256</v>
      </c>
      <c r="C7" s="2470" t="s">
        <v>2257</v>
      </c>
      <c r="D7" s="2471"/>
      <c r="E7" s="2472"/>
      <c r="F7" s="2473" t="s">
        <v>2261</v>
      </c>
      <c r="G7" s="2474" t="s">
        <v>2262</v>
      </c>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2263</v>
      </c>
      <c r="C9" s="2468" t="s">
        <v>2264</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2248</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2250</v>
      </c>
      <c r="C16" s="2501" t="str">
        <f>C4</f>
        <v>估价对象位于XX商圈，周边商业氛围成熟，人流量大，商业繁华度好</v>
      </c>
      <c r="D16" s="2465"/>
      <c r="E16" s="2447"/>
      <c r="F16" s="2502" t="s">
        <v>2252</v>
      </c>
      <c r="G16" s="2503" t="str">
        <f>G4</f>
        <v>估价对象周边道路状况、公共交通通达情况、停车便捷程度，综合评价交通便捷度较好</v>
      </c>
    </row>
    <row r="17" spans="1:18" ht="38.25">
      <c r="A17" s="2446"/>
      <c r="B17" s="2500" t="s">
        <v>2254</v>
      </c>
      <c r="C17" s="2501" t="str">
        <f>C5</f>
        <v>估价对象位于XX商圈，周边办公楼项目较多，入驻率高，办公集聚程度较好</v>
      </c>
      <c r="D17" s="2471"/>
      <c r="E17" s="2447"/>
      <c r="F17" s="2502" t="s">
        <v>2271</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t="str">
        <f>G7</f>
        <v>该园区内是否有污染型企业，绿化情况，卫生条件，整体环境状况判断</v>
      </c>
    </row>
    <row r="19" spans="1:18" ht="25.5">
      <c r="A19" s="2446"/>
      <c r="B19" s="2502" t="s">
        <v>2272</v>
      </c>
      <c r="C19" s="2504"/>
      <c r="D19" s="2465"/>
      <c r="E19" s="2447"/>
      <c r="F19" s="323" t="s">
        <v>2256</v>
      </c>
      <c r="G19" s="2503" t="str">
        <f>G5</f>
        <v>估价对象所在区域公共配套设施齐备情况</v>
      </c>
    </row>
    <row r="20" spans="1:18" ht="25.5">
      <c r="A20" s="2446"/>
      <c r="B20" s="2502" t="s">
        <v>2273</v>
      </c>
      <c r="C20" s="2501" t="str">
        <f>C9</f>
        <v>区域自然环境：；人文环境；综合评价环境状况一般</v>
      </c>
      <c r="D20" s="2471"/>
      <c r="E20" s="2447"/>
      <c r="F20" s="323" t="s">
        <v>2259</v>
      </c>
      <c r="G20" s="2503" t="str">
        <f>G6</f>
        <v>估价对象所在区域基础设施水平</v>
      </c>
    </row>
    <row r="21" spans="1:18" ht="25.5">
      <c r="A21" s="2446"/>
      <c r="B21" s="323" t="s">
        <v>2256</v>
      </c>
      <c r="C21" s="2503" t="str">
        <f>C7</f>
        <v>估价对象所在区域公共配套设施齐备情况</v>
      </c>
      <c r="D21" s="2465"/>
      <c r="E21" s="2447"/>
      <c r="F21" s="2502" t="s">
        <v>2274</v>
      </c>
      <c r="G21" s="2505"/>
    </row>
    <row r="22" spans="1:18" ht="13.5" customHeight="1">
      <c r="A22" s="2446"/>
      <c r="B22" s="323" t="s">
        <v>2259</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2" sqref="E42"/>
    </sheetView>
  </sheetViews>
  <sheetFormatPr defaultColWidth="9" defaultRowHeight="13.5"/>
  <cols>
    <col min="1" max="1" width="25" style="2513" customWidth="1"/>
    <col min="2" max="9" width="15.75" style="2513" customWidth="1"/>
    <col min="10" max="16384" width="9" style="2513"/>
  </cols>
  <sheetData>
    <row r="1" spans="1:11" ht="16.5">
      <c r="A1" s="2512" t="s">
        <v>662</v>
      </c>
      <c r="B1" s="2512">
        <f>SUM(B14:B23)</f>
        <v>266033.07</v>
      </c>
      <c r="C1" s="2686"/>
      <c r="D1" s="2686"/>
      <c r="E1" s="2686"/>
      <c r="F1" s="2686"/>
      <c r="G1" s="2687"/>
      <c r="H1" s="2688"/>
      <c r="I1" s="2688"/>
      <c r="J1" s="2688"/>
      <c r="K1" s="2688"/>
    </row>
    <row r="2" spans="1:11" ht="16.5">
      <c r="A2" s="2512" t="s">
        <v>650</v>
      </c>
      <c r="B2" s="2512">
        <f>SUM(C14:C23)</f>
        <v>104434.05</v>
      </c>
      <c r="C2" s="2686"/>
      <c r="D2" s="2686"/>
      <c r="E2" s="2686"/>
      <c r="F2" s="2686"/>
      <c r="G2" s="2687"/>
      <c r="H2" s="2688"/>
      <c r="I2" s="2688"/>
      <c r="J2" s="2688"/>
      <c r="K2" s="2688"/>
    </row>
    <row r="3" spans="1:11" ht="16.5">
      <c r="A3" s="2512" t="s">
        <v>659</v>
      </c>
      <c r="B3" s="2514">
        <f>项目基本情况!D3</f>
        <v>45064</v>
      </c>
      <c r="C3" s="2686"/>
      <c r="D3" s="2686"/>
      <c r="E3" s="2686"/>
      <c r="F3" s="2686"/>
      <c r="G3" s="2687"/>
      <c r="H3" s="2688"/>
      <c r="I3" s="2688"/>
      <c r="J3" s="2688"/>
      <c r="K3" s="2688"/>
    </row>
    <row r="4" spans="1:11" ht="33">
      <c r="A4" s="2512" t="s">
        <v>658</v>
      </c>
      <c r="B4" s="2512" t="s">
        <v>657</v>
      </c>
      <c r="C4" s="2512" t="s">
        <v>656</v>
      </c>
      <c r="D4" s="2512" t="s">
        <v>655</v>
      </c>
      <c r="E4" s="2686"/>
      <c r="F4" s="2687"/>
      <c r="G4" s="2687"/>
      <c r="H4" s="2688"/>
      <c r="I4" s="2688"/>
      <c r="J4" s="2688"/>
      <c r="K4" s="2688"/>
    </row>
    <row r="5" spans="1:11" ht="16.5">
      <c r="A5" s="2512" t="s">
        <v>654</v>
      </c>
      <c r="B5" s="2512">
        <f ca="1">SUM(D14:D23)</f>
        <v>213953</v>
      </c>
      <c r="C5" s="2512">
        <f ca="1">IF(B5=D14,结果表!H102,ROUND(B5*10000/$B$1,0))</f>
        <v>8042</v>
      </c>
      <c r="D5" s="2512">
        <f ca="1">ROUND(B5*10000/$B$2,0)</f>
        <v>20487</v>
      </c>
      <c r="E5" s="2686"/>
      <c r="F5" s="2687"/>
      <c r="G5" s="2687"/>
      <c r="H5" s="2688"/>
      <c r="I5" s="2688"/>
      <c r="J5" s="2688"/>
      <c r="K5" s="2688"/>
    </row>
    <row r="6" spans="1:11" ht="16.5">
      <c r="A6" s="2512" t="s">
        <v>653</v>
      </c>
      <c r="B6" s="2512">
        <f ca="1">SUM(G14:G23)</f>
        <v>213953</v>
      </c>
      <c r="C6" s="2512">
        <f ca="1">IF(B6=G14,结果表!H108,ROUND(B6*10000/$B$1,0))</f>
        <v>8042</v>
      </c>
      <c r="D6" s="2512">
        <f ca="1">ROUND(B6*10000/$B$2,0)</f>
        <v>20487</v>
      </c>
      <c r="E6" s="2686"/>
      <c r="F6" s="2687"/>
      <c r="G6" s="2687"/>
      <c r="H6" s="2688"/>
      <c r="I6" s="2688"/>
      <c r="J6" s="2688"/>
      <c r="K6" s="2688"/>
    </row>
    <row r="7" spans="1:11" ht="16.5">
      <c r="A7" s="2512" t="s">
        <v>661</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652</v>
      </c>
      <c r="B9" s="2520"/>
      <c r="C9" s="2686"/>
      <c r="D9" s="2686"/>
      <c r="E9" s="2686"/>
      <c r="F9" s="2687"/>
      <c r="G9" s="2687"/>
      <c r="H9" s="2688"/>
      <c r="I9" s="2688"/>
      <c r="J9" s="2688"/>
      <c r="K9" s="2688"/>
    </row>
    <row r="10" spans="1:11" ht="16.5">
      <c r="A10" s="2512" t="s">
        <v>651</v>
      </c>
      <c r="B10" s="2512">
        <f>IF(E10="",0,ROUND(B1*(E10*365/G10)/10000,0))</f>
        <v>0</v>
      </c>
      <c r="C10" s="2512" t="s">
        <v>3357</v>
      </c>
      <c r="D10" s="2512" t="s">
        <v>3358</v>
      </c>
      <c r="E10" s="3441"/>
      <c r="F10" s="3445" t="s">
        <v>3359</v>
      </c>
      <c r="G10" s="3442"/>
      <c r="H10" s="2688"/>
      <c r="I10" s="2688"/>
      <c r="J10" s="2688"/>
      <c r="K10" s="2688"/>
    </row>
    <row r="11" spans="1:11" ht="16.5">
      <c r="A11" s="2512" t="s">
        <v>667</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666</v>
      </c>
      <c r="B13" s="2516" t="s">
        <v>663</v>
      </c>
      <c r="C13" s="2516" t="s">
        <v>665</v>
      </c>
      <c r="D13" s="2516" t="s">
        <v>664</v>
      </c>
      <c r="E13" s="2512" t="s">
        <v>656</v>
      </c>
      <c r="F13" s="2512" t="s">
        <v>655</v>
      </c>
      <c r="G13" s="2516" t="s">
        <v>649</v>
      </c>
      <c r="H13" s="2516" t="s">
        <v>660</v>
      </c>
      <c r="I13" s="2516" t="s">
        <v>648</v>
      </c>
      <c r="J13" s="2687"/>
      <c r="K13" s="2688"/>
    </row>
    <row r="14" spans="1:11" ht="16.5">
      <c r="A14" s="2517">
        <v>337</v>
      </c>
      <c r="B14" s="2518">
        <f>结果表!B118</f>
        <v>87440.459999999992</v>
      </c>
      <c r="C14" s="2518">
        <f>结果表!C118</f>
        <v>30808.7</v>
      </c>
      <c r="D14" s="2518">
        <f ca="1">结果表!H118</f>
        <v>40794</v>
      </c>
      <c r="E14" s="2518">
        <f ca="1">ROUND(D14*10000/B14,0)</f>
        <v>4665</v>
      </c>
      <c r="F14" s="2518">
        <f ca="1">ROUND(D14*10000/C14,0)</f>
        <v>13241</v>
      </c>
      <c r="G14" s="2518">
        <f ca="1">结果表!D122</f>
        <v>40794</v>
      </c>
      <c r="H14" s="2518"/>
      <c r="I14" s="2518"/>
      <c r="J14" s="2687"/>
      <c r="K14" s="2688"/>
    </row>
    <row r="15" spans="1:11" ht="16.5">
      <c r="A15" s="2517">
        <v>338</v>
      </c>
      <c r="B15" s="2519">
        <f>[3]系统读取表!$B$14</f>
        <v>131472.18</v>
      </c>
      <c r="C15" s="2519">
        <f>[3]系统读取表!$C$14</f>
        <v>58134.15</v>
      </c>
      <c r="D15" s="2519">
        <f ca="1">[3]系统读取表!$D$14</f>
        <v>131667</v>
      </c>
      <c r="E15" s="2518">
        <f t="shared" ref="E15:E23" ca="1" si="0">ROUND(D15*10000/B15,0)</f>
        <v>10015</v>
      </c>
      <c r="F15" s="2518">
        <f t="shared" ref="F15:F23" ca="1" si="1">ROUND(D15*10000/C15,0)</f>
        <v>22649</v>
      </c>
      <c r="G15" s="1331">
        <f ca="1">[3]系统读取表!$G$14</f>
        <v>131667</v>
      </c>
      <c r="H15" s="1331"/>
      <c r="I15" s="2519"/>
      <c r="J15" s="2687"/>
      <c r="K15" s="2688"/>
    </row>
    <row r="16" spans="1:11" ht="16.5">
      <c r="A16" s="2517">
        <v>340</v>
      </c>
      <c r="B16" s="2519">
        <f>[4]系统读取表!$B$14</f>
        <v>47120.43</v>
      </c>
      <c r="C16" s="2519">
        <f>[4]系统读取表!$C$14</f>
        <v>15491.2</v>
      </c>
      <c r="D16" s="2519">
        <f ca="1">[4]系统读取表!$D$14</f>
        <v>41492</v>
      </c>
      <c r="E16" s="2518">
        <f t="shared" ca="1" si="0"/>
        <v>8806</v>
      </c>
      <c r="F16" s="2518">
        <f t="shared" ca="1" si="1"/>
        <v>26784</v>
      </c>
      <c r="G16" s="1331">
        <f ca="1">[4]系统读取表!$G$14</f>
        <v>41492</v>
      </c>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D121" sqref="D121:I12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c r="D1" s="1747"/>
      <c r="E1" s="1747"/>
      <c r="F1" s="1749" t="s">
        <v>1260</v>
      </c>
      <c r="G1" s="1561"/>
      <c r="H1" s="1750" t="str">
        <f>IF(G1="现房","——","估价对象范围")</f>
        <v>估价对象范围</v>
      </c>
      <c r="I1" s="1751"/>
    </row>
    <row r="2" spans="1:12" ht="21.75" customHeight="1" thickBot="1">
      <c r="A2" s="3609" t="str">
        <f>项目基本情况!S2</f>
        <v>北京市337房地产</v>
      </c>
      <c r="B2" s="3610"/>
      <c r="C2" s="3610"/>
      <c r="D2" s="3610"/>
      <c r="E2" s="3610"/>
      <c r="F2" s="3610"/>
      <c r="G2" s="3610"/>
      <c r="H2" s="3610"/>
      <c r="I2" s="3611"/>
    </row>
    <row r="3" spans="1:12" ht="12.75">
      <c r="A3" s="3613" t="s">
        <v>1261</v>
      </c>
      <c r="B3" s="3614"/>
      <c r="C3" s="3614"/>
      <c r="D3" s="3614"/>
      <c r="E3" s="3614"/>
      <c r="F3" s="3614"/>
      <c r="G3" s="3614"/>
      <c r="H3" s="3614"/>
      <c r="I3" s="3614"/>
    </row>
    <row r="4" spans="1:12" ht="14.25">
      <c r="A4" s="1754" t="s">
        <v>1262</v>
      </c>
      <c r="B4" s="1755" t="s">
        <v>1263</v>
      </c>
      <c r="C4" s="1756" t="s">
        <v>3571</v>
      </c>
      <c r="D4" s="1756" t="s">
        <v>3572</v>
      </c>
      <c r="E4" s="3615" t="s">
        <v>1264</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9" t="s">
        <v>1265</v>
      </c>
      <c r="B5" s="3576">
        <v>25</v>
      </c>
      <c r="C5" s="3592"/>
      <c r="D5" s="3612"/>
      <c r="E5" s="131" t="s">
        <v>1266</v>
      </c>
      <c r="F5" s="1757"/>
      <c r="G5" s="1757"/>
      <c r="H5" s="1757"/>
      <c r="I5" s="1373"/>
    </row>
    <row r="6" spans="1:12" ht="12.75">
      <c r="A6" s="3589"/>
      <c r="B6" s="3576"/>
      <c r="C6" s="3593"/>
      <c r="D6" s="3612"/>
      <c r="E6" s="131" t="s">
        <v>1267</v>
      </c>
      <c r="F6" s="1757"/>
      <c r="G6" s="1757"/>
      <c r="H6" s="1757"/>
      <c r="I6" s="1373"/>
    </row>
    <row r="7" spans="1:12" ht="12.75">
      <c r="A7" s="3589"/>
      <c r="B7" s="3576"/>
      <c r="C7" s="3594"/>
      <c r="D7" s="3612"/>
      <c r="E7" s="131" t="s">
        <v>1268</v>
      </c>
      <c r="F7" s="1757"/>
      <c r="G7" s="1757"/>
      <c r="H7" s="1757"/>
      <c r="I7" s="1373"/>
    </row>
    <row r="8" spans="1:12" ht="12.75">
      <c r="A8" s="3589" t="s">
        <v>1269</v>
      </c>
      <c r="B8" s="3576">
        <v>15</v>
      </c>
      <c r="C8" s="3592"/>
      <c r="D8" s="3612"/>
      <c r="E8" s="131" t="s">
        <v>1270</v>
      </c>
      <c r="F8" s="1757"/>
      <c r="G8" s="1757"/>
      <c r="H8" s="1757"/>
      <c r="I8" s="1373"/>
    </row>
    <row r="9" spans="1:12" ht="12.75">
      <c r="A9" s="3589"/>
      <c r="B9" s="3576"/>
      <c r="C9" s="3594"/>
      <c r="D9" s="3612"/>
      <c r="E9" s="131" t="s">
        <v>1271</v>
      </c>
      <c r="F9" s="1757"/>
      <c r="G9" s="1757"/>
      <c r="H9" s="1757"/>
      <c r="I9" s="1373"/>
    </row>
    <row r="10" spans="1:12" ht="12.75">
      <c r="A10" s="3589" t="s">
        <v>1272</v>
      </c>
      <c r="B10" s="3576">
        <v>15</v>
      </c>
      <c r="C10" s="3592"/>
      <c r="D10" s="3612"/>
      <c r="E10" s="131" t="s">
        <v>1273</v>
      </c>
      <c r="F10" s="1757"/>
      <c r="G10" s="1757"/>
      <c r="H10" s="1757"/>
      <c r="I10" s="1373"/>
    </row>
    <row r="11" spans="1:12" ht="12.75">
      <c r="A11" s="3589"/>
      <c r="B11" s="3576"/>
      <c r="C11" s="3594"/>
      <c r="D11" s="3612"/>
      <c r="E11" s="131" t="s">
        <v>1274</v>
      </c>
      <c r="F11" s="1757"/>
      <c r="G11" s="1757"/>
      <c r="H11" s="1757"/>
      <c r="I11" s="1373"/>
    </row>
    <row r="12" spans="1:12" ht="12.75">
      <c r="A12" s="3589" t="s">
        <v>1275</v>
      </c>
      <c r="B12" s="3576">
        <v>15</v>
      </c>
      <c r="C12" s="3592"/>
      <c r="D12" s="3612"/>
      <c r="E12" s="131" t="s">
        <v>1276</v>
      </c>
      <c r="F12" s="1757"/>
      <c r="G12" s="1757"/>
      <c r="H12" s="1757"/>
      <c r="I12" s="1373"/>
    </row>
    <row r="13" spans="1:12" ht="12.75">
      <c r="A13" s="3589"/>
      <c r="B13" s="3576"/>
      <c r="C13" s="3594"/>
      <c r="D13" s="3612"/>
      <c r="E13" s="131" t="s">
        <v>1277</v>
      </c>
      <c r="F13" s="1757"/>
      <c r="G13" s="1757"/>
      <c r="H13" s="1757"/>
      <c r="I13" s="1373"/>
    </row>
    <row r="14" spans="1:12" ht="12.75">
      <c r="A14" s="3589" t="s">
        <v>1278</v>
      </c>
      <c r="B14" s="3576">
        <v>30</v>
      </c>
      <c r="C14" s="3592">
        <v>0</v>
      </c>
      <c r="D14" s="3612">
        <v>1</v>
      </c>
      <c r="E14" s="131" t="s">
        <v>1279</v>
      </c>
      <c r="F14" s="1757"/>
      <c r="G14" s="1757"/>
      <c r="H14" s="1757"/>
      <c r="I14" s="1373"/>
    </row>
    <row r="15" spans="1:12" ht="12.75">
      <c r="A15" s="3589"/>
      <c r="B15" s="3576"/>
      <c r="C15" s="3593"/>
      <c r="D15" s="3612"/>
      <c r="E15" s="131" t="s">
        <v>1280</v>
      </c>
      <c r="F15" s="1757"/>
      <c r="G15" s="1757"/>
      <c r="H15" s="1757"/>
      <c r="I15" s="1373"/>
    </row>
    <row r="16" spans="1:12" ht="12.75">
      <c r="A16" s="3589"/>
      <c r="B16" s="3576"/>
      <c r="C16" s="3594"/>
      <c r="D16" s="3612"/>
      <c r="E16" s="131" t="s">
        <v>1281</v>
      </c>
      <c r="F16" s="1757"/>
      <c r="G16" s="1757"/>
      <c r="H16" s="1757"/>
      <c r="I16" s="1373"/>
    </row>
    <row r="17" spans="1:36" ht="15">
      <c r="A17" s="1758" t="s">
        <v>1282</v>
      </c>
      <c r="B17" s="56"/>
      <c r="C17" s="132">
        <f>SUM(C5:C16)</f>
        <v>0</v>
      </c>
      <c r="D17" s="132">
        <f>SUM(D5:D16)</f>
        <v>1</v>
      </c>
      <c r="E17" s="129"/>
      <c r="F17" s="129"/>
      <c r="G17" s="129"/>
      <c r="H17" s="129"/>
      <c r="I17" s="129"/>
      <c r="K17" s="302"/>
      <c r="L17" s="302" t="s">
        <v>1283</v>
      </c>
      <c r="M17" s="302" t="s">
        <v>1284</v>
      </c>
    </row>
    <row r="18" spans="1:36" ht="31.9" customHeight="1" thickBot="1">
      <c r="A18" s="1759" t="s">
        <v>1285</v>
      </c>
      <c r="B18" s="1760"/>
      <c r="C18" s="133">
        <f>ROUND(C17/SUM(C17:D17),2)</f>
        <v>0</v>
      </c>
      <c r="D18" s="133">
        <f>1-C18</f>
        <v>1</v>
      </c>
      <c r="E18" s="3599" t="s">
        <v>2127</v>
      </c>
      <c r="F18" s="3600"/>
      <c r="G18" s="3600"/>
      <c r="H18" s="3600"/>
      <c r="I18" s="3600"/>
      <c r="K18" s="302" t="s">
        <v>1286</v>
      </c>
      <c r="L18" s="302">
        <f>IF(C1="",'数据-汇总表'!E3,SUMIF(项目类型,C1,'数据-汇总表'!E17:E26)+SUMIF(项目类型,C1,'数据-汇总表'!I17:I26))</f>
        <v>87440.459999999992</v>
      </c>
      <c r="M18" s="302">
        <f>IF(C1="",'数据-汇总表'!E3,SUMIF(项目类型,C1,'数据-汇总表'!E17:E26))</f>
        <v>87440.459999999992</v>
      </c>
    </row>
    <row r="19" spans="1:36" ht="15">
      <c r="A19" s="1761" t="s">
        <v>1287</v>
      </c>
      <c r="B19" s="1762" t="s">
        <v>1288</v>
      </c>
      <c r="C19" s="134">
        <f ca="1">SUMIF(INDIRECT("'"&amp;C4&amp;"'"&amp;"!A:A"),结果表!B19,INDIRECT("'"&amp;C4&amp;"'"&amp;"!B:B"))</f>
        <v>77061</v>
      </c>
      <c r="D19" s="135">
        <f ca="1">SUMIF(INDIRECT("'"&amp;D4&amp;"'"&amp;"!A:A"),结果表!B19,INDIRECT("'"&amp;D4&amp;"'"&amp;"!B:B"))</f>
        <v>40794</v>
      </c>
      <c r="E19" s="1761" t="s">
        <v>1289</v>
      </c>
      <c r="F19" s="1762" t="s">
        <v>1288</v>
      </c>
      <c r="G19" s="136">
        <f ca="1">ROUND(C19*$C$18+D19*$D$18,0)</f>
        <v>40794</v>
      </c>
      <c r="H19" s="1763" t="s">
        <v>1290</v>
      </c>
      <c r="I19" s="129"/>
      <c r="K19" s="302" t="s">
        <v>1291</v>
      </c>
      <c r="L19" s="302">
        <f>IF(C1="",'数据-汇总表'!D3,SUMIF(项目类型,C1,'数据-汇总表'!D17:D26)+SUMIF(项目类型,C1,'数据-汇总表'!H17:H27))</f>
        <v>30808.7</v>
      </c>
      <c r="M19" s="302">
        <f>IF(C1="",'数据-汇总表'!D3,SUMIF(项目类型,C1,'数据-汇总表'!D17:D26))</f>
        <v>30808.7</v>
      </c>
    </row>
    <row r="20" spans="1:36" ht="15">
      <c r="A20" s="1764"/>
      <c r="B20" s="1026" t="s">
        <v>1292</v>
      </c>
      <c r="C20" s="137">
        <f ca="1">SUMIF(INDIRECT("'"&amp;C4&amp;"'"&amp;"!A:A"),结果表!B20,INDIRECT("'"&amp;C4&amp;"'"&amp;"!B:B"))</f>
        <v>8813</v>
      </c>
      <c r="D20" s="138">
        <f ca="1">SUMIF(INDIRECT("'"&amp;D4&amp;"'"&amp;"!A:A"),结果表!B20,INDIRECT("'"&amp;D4&amp;"'"&amp;"!B:B"))</f>
        <v>4665</v>
      </c>
      <c r="E20" s="1764"/>
      <c r="F20" s="1026" t="s">
        <v>1292</v>
      </c>
      <c r="G20" s="139">
        <f ca="1">ROUND(C20*$C$18+D20*$D$18,0)</f>
        <v>4665</v>
      </c>
      <c r="H20" s="808" t="s">
        <v>1293</v>
      </c>
      <c r="I20" s="129"/>
    </row>
    <row r="21" spans="1:36" ht="15" customHeight="1" thickBot="1">
      <c r="A21" s="828"/>
      <c r="B21" s="1765" t="s">
        <v>1294</v>
      </c>
      <c r="C21" s="719">
        <f ca="1">ROUND(C19*10000/L19,0)</f>
        <v>25013</v>
      </c>
      <c r="D21" s="720">
        <f ca="1">ROUND(D19*10000/L19,0)</f>
        <v>13241</v>
      </c>
      <c r="E21" s="828"/>
      <c r="F21" s="1765" t="s">
        <v>1294</v>
      </c>
      <c r="G21" s="140">
        <f ca="1">ROUND(G19*10000/L19,0)</f>
        <v>13241</v>
      </c>
      <c r="H21" s="1766" t="s">
        <v>1293</v>
      </c>
      <c r="I21" s="129"/>
    </row>
    <row r="22" spans="1:36" ht="15" thickBot="1">
      <c r="A22" s="1688" t="s">
        <v>1295</v>
      </c>
      <c r="B22" s="1767"/>
      <c r="C22" s="1768"/>
      <c r="D22" s="721">
        <f ca="1">IF(C19&lt;D19,D19/C19-1,C19/D19-1)</f>
        <v>0.8890277982056185</v>
      </c>
      <c r="E22" s="129"/>
      <c r="F22" s="129"/>
      <c r="G22" s="129"/>
      <c r="H22" s="129"/>
      <c r="I22" s="129"/>
    </row>
    <row r="23" spans="1:36" ht="13.5" thickBot="1">
      <c r="A23" s="1747"/>
      <c r="B23" s="1747"/>
      <c r="C23" s="1747"/>
      <c r="D23" s="1747"/>
      <c r="E23" s="129"/>
      <c r="F23" s="129"/>
      <c r="G23" s="129"/>
      <c r="H23" s="129"/>
      <c r="I23" s="129"/>
    </row>
    <row r="24" spans="1:36" ht="14.25">
      <c r="A24" s="3583" t="s">
        <v>1296</v>
      </c>
      <c r="B24" s="1762" t="s">
        <v>1288</v>
      </c>
      <c r="C24" s="136">
        <f>IF(B30=0,0,D30)</f>
        <v>0</v>
      </c>
      <c r="D24" s="1769"/>
      <c r="E24" s="129"/>
      <c r="F24" s="129"/>
      <c r="G24" s="129"/>
      <c r="H24" s="129"/>
      <c r="I24" s="129"/>
    </row>
    <row r="25" spans="1:36" ht="14.25">
      <c r="A25" s="3584"/>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40794</v>
      </c>
      <c r="D32" s="1775" t="s">
        <v>3573</v>
      </c>
      <c r="E32" s="129"/>
      <c r="F32" s="129"/>
      <c r="G32" s="129"/>
      <c r="H32" s="129"/>
      <c r="I32" s="129"/>
    </row>
    <row r="33" spans="1:15" ht="15">
      <c r="A33" s="786" t="s">
        <v>1303</v>
      </c>
      <c r="B33" s="1776"/>
      <c r="C33" s="1777" t="s">
        <v>3574</v>
      </c>
      <c r="D33" s="1778" t="s">
        <v>3571</v>
      </c>
      <c r="E33" s="1779" t="s">
        <v>1304</v>
      </c>
      <c r="F33" s="1780" t="str">
        <f>IF(D32="楼面单价","取值（单价）","取值（总价）")</f>
        <v>取值（总价）</v>
      </c>
      <c r="G33" s="129"/>
      <c r="H33" s="129"/>
      <c r="I33" s="129"/>
    </row>
    <row r="34" spans="1:15" ht="15">
      <c r="A34" s="1781"/>
      <c r="B34" s="1782" t="s">
        <v>1305</v>
      </c>
      <c r="C34" s="148">
        <f ca="1">IF(C33="自定义",F34,C32-C35)</f>
        <v>4278</v>
      </c>
      <c r="D34" s="861">
        <f ca="1">IF(C33="自定义",ROUND(C34/C32,3),IF(C33="收益比率",SUMIF(INDIRECT("'"&amp;D33&amp;"'"&amp;"!b:b"),"土地收益比率",INDIRECT("'"&amp;D33&amp;"'"&amp;"!c:c")),SUMIF(INDIRECT("'"&amp;D33&amp;"'"&amp;"!b:b"),"土地成本比率",INDIRECT("'"&amp;D33&amp;"'"&amp;"!c:c"))))</f>
        <v>0.105</v>
      </c>
      <c r="E34" s="1783" t="s">
        <v>1306</v>
      </c>
      <c r="F34" s="1330">
        <f ca="1">G19-F35</f>
        <v>4278</v>
      </c>
      <c r="G34" s="129"/>
      <c r="H34" s="129"/>
      <c r="I34" s="129"/>
    </row>
    <row r="35" spans="1:15" ht="15.75" thickBot="1">
      <c r="A35" s="1784"/>
      <c r="B35" s="1785" t="s">
        <v>1307</v>
      </c>
      <c r="C35" s="1170">
        <f ca="1">IF(C33="自定义",F35,ROUND(C32*D35,0))</f>
        <v>36516</v>
      </c>
      <c r="D35" s="1171">
        <f ca="1">IF(C33="自定义",ROUND(C35/C32,3),IF(C33="收益比率",SUMIF(INDIRECT("'"&amp;D33&amp;"'"&amp;"!b:b"),"建筑物收益比率",INDIRECT("'"&amp;D33&amp;"'"&amp;"!c:c")),SUMIF(INDIRECT("'"&amp;D33&amp;"'"&amp;"!b:b"),"建筑物成本比率",INDIRECT("'"&amp;D33&amp;"'"&amp;"!c:c"))))</f>
        <v>0.89500000000000002</v>
      </c>
      <c r="E35" s="1786" t="s">
        <v>1308</v>
      </c>
      <c r="F35" s="154">
        <f ca="1">成本法!C51</f>
        <v>36516</v>
      </c>
      <c r="G35" s="129"/>
      <c r="H35" s="129"/>
      <c r="I35" s="129"/>
    </row>
    <row r="36" spans="1:15" ht="15.75" thickBot="1">
      <c r="A36" s="3603" t="s">
        <v>1309</v>
      </c>
      <c r="B36" s="1787" t="s">
        <v>1310</v>
      </c>
      <c r="C36" s="145"/>
      <c r="D36" s="1788"/>
      <c r="E36" s="1789"/>
      <c r="F36" s="1790"/>
      <c r="G36" s="129"/>
      <c r="H36" s="129"/>
      <c r="I36" s="129"/>
    </row>
    <row r="37" spans="1:15" ht="15.75" thickBot="1">
      <c r="A37" s="3604"/>
      <c r="B37" s="1674" t="s">
        <v>1311</v>
      </c>
      <c r="C37" s="147"/>
      <c r="D37" s="1139"/>
      <c r="E37" s="1139"/>
      <c r="F37" s="1790"/>
      <c r="G37" s="129"/>
      <c r="H37" s="129"/>
      <c r="I37" s="129"/>
    </row>
    <row r="38" spans="1:15" ht="15.75" thickBot="1">
      <c r="A38" s="3605"/>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80" t="s">
        <v>1323</v>
      </c>
      <c r="B45" s="3581"/>
      <c r="C45" s="3582"/>
      <c r="D45" s="155">
        <f ca="1">ROUND(H101*F45,0)</f>
        <v>40794</v>
      </c>
      <c r="E45" s="156" t="s">
        <v>1324</v>
      </c>
      <c r="F45" s="157">
        <v>1</v>
      </c>
      <c r="G45" s="158" t="s">
        <v>1325</v>
      </c>
      <c r="H45" s="129"/>
      <c r="I45" s="129"/>
      <c r="J45" s="3658" t="s">
        <v>1326</v>
      </c>
      <c r="K45" s="3658"/>
      <c r="L45" s="3658"/>
      <c r="M45" s="3658"/>
      <c r="N45" s="3658"/>
      <c r="O45" s="3658"/>
    </row>
    <row r="46" spans="1:15" ht="14.25" customHeight="1">
      <c r="A46" s="3577" t="s">
        <v>1327</v>
      </c>
      <c r="B46" s="3578"/>
      <c r="C46" s="3578"/>
      <c r="D46" s="3578"/>
      <c r="E46" s="3578"/>
      <c r="F46" s="3578"/>
      <c r="G46" s="3579"/>
      <c r="H46" s="1806"/>
      <c r="I46" s="159"/>
      <c r="J46" s="2523">
        <v>1</v>
      </c>
      <c r="K46" s="3639" t="s">
        <v>1328</v>
      </c>
      <c r="L46" s="3639"/>
      <c r="M46" s="3659"/>
      <c r="N46" s="3659"/>
      <c r="O46" s="3659"/>
    </row>
    <row r="47" spans="1:15" ht="12" customHeight="1">
      <c r="A47" s="160" t="s">
        <v>1329</v>
      </c>
      <c r="B47" s="161"/>
      <c r="C47" s="162"/>
      <c r="D47" s="1087" t="s">
        <v>1330</v>
      </c>
      <c r="E47" s="302" t="s">
        <v>1331</v>
      </c>
      <c r="F47" s="163" t="s">
        <v>1332</v>
      </c>
      <c r="G47" s="2546" t="s">
        <v>1333</v>
      </c>
      <c r="H47" s="2547"/>
      <c r="I47" s="159"/>
      <c r="J47" s="2523">
        <v>2</v>
      </c>
      <c r="K47" s="3639" t="s">
        <v>1334</v>
      </c>
      <c r="L47" s="3639"/>
      <c r="M47" s="3660">
        <f>'数据-取费表'!B2</f>
        <v>45064</v>
      </c>
      <c r="N47" s="3660"/>
      <c r="O47" s="3660"/>
    </row>
    <row r="48" spans="1:15" ht="25.5">
      <c r="A48" s="3608" t="s">
        <v>1335</v>
      </c>
      <c r="B48" s="3591"/>
      <c r="C48" s="359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1336</v>
      </c>
      <c r="H48" s="2550"/>
      <c r="I48" s="1806"/>
      <c r="J48" s="2523">
        <v>3</v>
      </c>
      <c r="K48" s="3639" t="s">
        <v>1337</v>
      </c>
      <c r="L48" s="3639"/>
      <c r="M48" s="3661">
        <f ca="1">H101</f>
        <v>40794</v>
      </c>
      <c r="N48" s="3661"/>
      <c r="O48" s="3661"/>
    </row>
    <row r="49" spans="1:35" ht="25.5" customHeight="1">
      <c r="A49" s="2333" t="s">
        <v>1338</v>
      </c>
      <c r="B49" s="3575" t="s">
        <v>1339</v>
      </c>
      <c r="C49" s="3575"/>
      <c r="D49" s="1590">
        <v>0</v>
      </c>
      <c r="E49" s="324" t="s">
        <v>1340</v>
      </c>
      <c r="F49" s="2424" t="s">
        <v>28</v>
      </c>
      <c r="G49" s="3645"/>
      <c r="H49" s="2310" t="s">
        <v>2130</v>
      </c>
      <c r="I49" s="2311"/>
      <c r="J49" s="2523">
        <v>4</v>
      </c>
      <c r="K49" s="3639" t="str">
        <f>IF(项目基本情况!E8="房地产抵押价值","房地产抵押价值","抵押担保权已注销时的房地产抵押价值")</f>
        <v>房地产抵押价值</v>
      </c>
      <c r="L49" s="3639"/>
      <c r="M49" s="3661">
        <f ca="1">IF(项目基本情况!E8="房地产抵押价值",H107,H109)</f>
        <v>40794</v>
      </c>
      <c r="N49" s="3661"/>
      <c r="O49" s="3661"/>
    </row>
    <row r="50" spans="1:35" ht="25.5" customHeight="1">
      <c r="A50" s="2551"/>
      <c r="B50" s="3575" t="s">
        <v>1341</v>
      </c>
      <c r="C50" s="3575"/>
      <c r="D50" s="2552"/>
      <c r="E50" s="332"/>
      <c r="F50" s="2424"/>
      <c r="G50" s="3646"/>
      <c r="H50" s="2312" t="s">
        <v>2131</v>
      </c>
      <c r="I50" s="2311"/>
      <c r="J50" s="3658" t="s">
        <v>1342</v>
      </c>
      <c r="K50" s="3658"/>
      <c r="L50" s="3658"/>
      <c r="M50" s="3658"/>
      <c r="N50" s="3658"/>
      <c r="O50" s="3658"/>
    </row>
    <row r="51" spans="1:35" ht="20.45" customHeight="1">
      <c r="A51" s="2553"/>
      <c r="B51" s="3575" t="s">
        <v>1343</v>
      </c>
      <c r="C51" s="3575"/>
      <c r="D51" s="1087"/>
      <c r="E51" s="327"/>
      <c r="F51" s="2424"/>
      <c r="G51" s="3647"/>
      <c r="H51" s="2312" t="s">
        <v>2132</v>
      </c>
      <c r="I51" s="2311"/>
      <c r="J51" s="2524" t="s">
        <v>1344</v>
      </c>
      <c r="K51" s="3639" t="s">
        <v>1345</v>
      </c>
      <c r="L51" s="3639"/>
      <c r="M51" s="2524" t="s">
        <v>1346</v>
      </c>
      <c r="N51" s="2524" t="s">
        <v>1347</v>
      </c>
      <c r="O51" s="2524" t="s">
        <v>1348</v>
      </c>
    </row>
    <row r="52" spans="1:35" ht="24" customHeight="1">
      <c r="A52" s="2335" t="s">
        <v>1349</v>
      </c>
      <c r="B52" s="3575" t="s">
        <v>1350</v>
      </c>
      <c r="C52" s="3575"/>
      <c r="D52" s="1087">
        <f ca="1">ROUND(D45*'数据-取费表'!B41/(1+'数据-取费表'!C42),0)</f>
        <v>2176</v>
      </c>
      <c r="E52" s="2334" t="s">
        <v>1351</v>
      </c>
      <c r="F52" s="2554">
        <f>'数据-取费表'!B41</f>
        <v>5.6000000000000001E-2</v>
      </c>
      <c r="G52" s="2555"/>
      <c r="H52" s="2544"/>
      <c r="I52" s="1807"/>
      <c r="J52" s="2523">
        <v>1</v>
      </c>
      <c r="K52" s="3640" t="s">
        <v>1352</v>
      </c>
      <c r="L52" s="3640"/>
      <c r="M52" s="2525" t="b">
        <f>D48</f>
        <v>0</v>
      </c>
      <c r="N52" s="2523" t="str">
        <f>E48</f>
        <v>销售额×税（费）率</v>
      </c>
      <c r="O52" s="2526">
        <f>F48</f>
        <v>5.6000000000000001E-2</v>
      </c>
    </row>
    <row r="53" spans="1:35" ht="12" customHeight="1">
      <c r="A53" s="2335" t="s">
        <v>1353</v>
      </c>
      <c r="B53" s="3601" t="s">
        <v>2287</v>
      </c>
      <c r="C53" s="3602"/>
      <c r="D53" s="1087">
        <f ca="1">ROUND(D45*'数据-取费表'!B41/(1+'数据-取费表'!C42),0)</f>
        <v>2176</v>
      </c>
      <c r="E53" s="2334" t="s">
        <v>1351</v>
      </c>
      <c r="F53" s="2554">
        <f>'数据-取费表'!B41</f>
        <v>5.6000000000000001E-2</v>
      </c>
      <c r="G53" s="2555"/>
      <c r="H53" s="2544"/>
      <c r="I53" s="1807"/>
      <c r="J53" s="2523">
        <v>2</v>
      </c>
      <c r="K53" s="3640" t="s">
        <v>1354</v>
      </c>
      <c r="L53" s="3640"/>
      <c r="M53" s="2525">
        <f t="shared" ref="M53:O54" ca="1" si="0">D55</f>
        <v>20</v>
      </c>
      <c r="N53" s="2523" t="str">
        <f t="shared" si="0"/>
        <v>销售额×税（费）率</v>
      </c>
      <c r="O53" s="2526" t="str">
        <f t="shared" si="0"/>
        <v>免征</v>
      </c>
    </row>
    <row r="54" spans="1:35" ht="12" customHeight="1">
      <c r="A54" s="2335" t="s">
        <v>1355</v>
      </c>
      <c r="B54" s="3601" t="s">
        <v>2288</v>
      </c>
      <c r="C54" s="3602"/>
      <c r="D54" s="1087">
        <f ca="1">C68</f>
        <v>2176</v>
      </c>
      <c r="E54" s="327" t="s">
        <v>1356</v>
      </c>
      <c r="F54" s="2554">
        <f>'数据-取费表'!B41</f>
        <v>5.6000000000000001E-2</v>
      </c>
      <c r="G54" s="2555"/>
      <c r="H54" s="2556"/>
      <c r="I54" s="1807"/>
      <c r="J54" s="2523">
        <v>3</v>
      </c>
      <c r="K54" s="3640" t="s">
        <v>1357</v>
      </c>
      <c r="L54" s="3640"/>
      <c r="M54" s="2525">
        <f t="shared" ca="1" si="0"/>
        <v>23089</v>
      </c>
      <c r="N54" s="2523" t="str">
        <f t="shared" si="0"/>
        <v>增值额×税（费）率</v>
      </c>
      <c r="O54" s="2527" t="str">
        <f t="shared" si="0"/>
        <v>免征</v>
      </c>
    </row>
    <row r="55" spans="1:35" ht="24" customHeight="1">
      <c r="A55" s="3590" t="s">
        <v>1358</v>
      </c>
      <c r="B55" s="3591"/>
      <c r="C55" s="3591"/>
      <c r="D55" s="2324">
        <f ca="1">IF(H55="个人住宅",0,ROUND(D45*I55,0))</f>
        <v>20</v>
      </c>
      <c r="E55" s="2334" t="s">
        <v>1359</v>
      </c>
      <c r="F55" s="2554" t="str">
        <f>IF(H55="正常",I55,"免征")</f>
        <v>免征</v>
      </c>
      <c r="G55" s="2555"/>
      <c r="H55" s="2550"/>
      <c r="I55" s="165">
        <f>'数据-取费表'!B49</f>
        <v>5.0000000000000001E-4</v>
      </c>
      <c r="J55" s="2523">
        <f>IF(H59="非个人房产","",4)</f>
        <v>4</v>
      </c>
      <c r="K55" s="3640" t="str">
        <f>IF(H59="非个人房产","——","个人所得税")</f>
        <v>个人所得税</v>
      </c>
      <c r="L55" s="3640"/>
      <c r="M55" s="2528">
        <f ca="1">D59</f>
        <v>389</v>
      </c>
      <c r="N55" s="2040" t="str">
        <f>E59</f>
        <v>差额计税</v>
      </c>
      <c r="O55" s="2529">
        <f>F59</f>
        <v>0.01</v>
      </c>
    </row>
    <row r="56" spans="1:35" ht="24.75">
      <c r="A56" s="3590" t="s">
        <v>1360</v>
      </c>
      <c r="B56" s="3591"/>
      <c r="C56" s="3591"/>
      <c r="D56" s="2324">
        <f ca="1">IF(H56="个人住宅",D57,D58)</f>
        <v>23089</v>
      </c>
      <c r="E56" s="2334" t="s">
        <v>1361</v>
      </c>
      <c r="F56" s="2554" t="str">
        <f>IF(H56="正常",F58,"免征")</f>
        <v>免征</v>
      </c>
      <c r="G56" s="2557" t="s">
        <v>1362</v>
      </c>
      <c r="H56" s="2558"/>
      <c r="I56" s="1808"/>
      <c r="J56" s="2523" t="str">
        <f>IF(项目基本情况!K6="上海银行",IF(J55="",4,J55+1),"")</f>
        <v/>
      </c>
      <c r="K56" s="3663" t="str">
        <f>IF(项目基本情况!K6="上海银行","其他处置费用","")</f>
        <v/>
      </c>
      <c r="L56" s="3664"/>
      <c r="M56" s="2525" t="str">
        <f>IF(项目基本情况!K6="上海银行",M69,"")</f>
        <v/>
      </c>
      <c r="N56" s="3663" t="str">
        <f>IF(项目基本情况!K6="上海银行","包含处置中涉及的律师、诉讼、拍卖、评估等费用","")</f>
        <v/>
      </c>
      <c r="O56" s="3666"/>
    </row>
    <row r="57" spans="1:35" ht="12.75">
      <c r="A57" s="2335" t="s">
        <v>1338</v>
      </c>
      <c r="B57" s="3601" t="s">
        <v>1363</v>
      </c>
      <c r="C57" s="3602"/>
      <c r="D57" s="1590">
        <v>0</v>
      </c>
      <c r="E57" s="324" t="s">
        <v>1340</v>
      </c>
      <c r="F57" s="302"/>
      <c r="G57" s="2555"/>
      <c r="H57" s="2559"/>
      <c r="I57" s="1808"/>
      <c r="J57" s="3640">
        <f>IF(AND(J55="",J56=""),4,IF(项目基本情况!K6="上海银行",结果表!J56+1,结果表!J55+1))</f>
        <v>5</v>
      </c>
      <c r="K57" s="3640" t="s">
        <v>1364</v>
      </c>
      <c r="L57" s="2530" t="s">
        <v>1365</v>
      </c>
      <c r="M57" s="2531"/>
      <c r="N57" s="2532">
        <f ca="1">SUMIF(M52:M56,"&lt;9e307")</f>
        <v>23498</v>
      </c>
      <c r="O57" s="2533"/>
      <c r="P57" s="2690">
        <f ca="1">N57/M49</f>
        <v>0.57601608079619548</v>
      </c>
    </row>
    <row r="58" spans="1:35" ht="24.75">
      <c r="A58" s="2335" t="s">
        <v>1349</v>
      </c>
      <c r="B58" s="3601" t="s">
        <v>1366</v>
      </c>
      <c r="C58" s="3575"/>
      <c r="D58" s="2324">
        <f ca="1">IF(H58="转让取得",C81,C97)</f>
        <v>23089</v>
      </c>
      <c r="E58" s="2334" t="s">
        <v>1361</v>
      </c>
      <c r="F58" s="302" t="s">
        <v>28</v>
      </c>
      <c r="G58" s="2555"/>
      <c r="H58" s="2558"/>
      <c r="I58" s="1808"/>
      <c r="J58" s="3640"/>
      <c r="K58" s="3640"/>
      <c r="L58" s="2530" t="s">
        <v>1367</v>
      </c>
      <c r="M58" s="2534"/>
      <c r="N58" s="2535" t="str">
        <f ca="1">NUMBERSTRING(INT(N57*10000),2)&amp;"元整"</f>
        <v>贰亿叁仟肆佰玖拾捌万元整</v>
      </c>
      <c r="O58" s="2536"/>
    </row>
    <row r="59" spans="1:35" ht="24.75" thickBot="1">
      <c r="A59" s="3643" t="s">
        <v>1368</v>
      </c>
      <c r="B59" s="3644"/>
      <c r="C59" s="3644"/>
      <c r="D59" s="2560">
        <f ca="1">IF(H59="非个人房产","——",IF(H59="个人住宅（满五唯一有凭证）",0,IF(H59="个人其他（无凭证）",ROUND(D45*F59,0),ROUND(C67*F59,0))))</f>
        <v>389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1362</v>
      </c>
      <c r="H59" s="2314"/>
      <c r="I59" s="2313" t="s">
        <v>2133</v>
      </c>
      <c r="J59" s="3641">
        <f>J57+1</f>
        <v>6</v>
      </c>
      <c r="K59" s="3640" t="s">
        <v>1369</v>
      </c>
      <c r="L59" s="2523" t="s">
        <v>1365</v>
      </c>
      <c r="M59" s="2537"/>
      <c r="N59" s="2538">
        <f ca="1">M49-N57</f>
        <v>17296</v>
      </c>
      <c r="O59" s="2539"/>
    </row>
    <row r="60" spans="1:35" ht="12" customHeight="1">
      <c r="A60" s="1809"/>
      <c r="B60" s="1747"/>
      <c r="C60" s="1747"/>
      <c r="D60" s="1747"/>
      <c r="E60" s="1578"/>
      <c r="F60" s="1808"/>
      <c r="G60" s="1808"/>
      <c r="H60" s="1810"/>
      <c r="I60" s="129"/>
      <c r="J60" s="3642"/>
      <c r="K60" s="3640"/>
      <c r="L60" s="2530" t="s">
        <v>1367</v>
      </c>
      <c r="M60" s="2534"/>
      <c r="N60" s="2535" t="str">
        <f ca="1">NUMBERSTRING(INT(N59*10000),2)&amp;"元整"</f>
        <v>壹亿柒仟贰佰玖拾陆万元整</v>
      </c>
      <c r="O60" s="2536"/>
    </row>
    <row r="61" spans="1:35" ht="13.5" thickBot="1">
      <c r="A61" s="3588" t="s">
        <v>1370</v>
      </c>
      <c r="B61" s="3588"/>
      <c r="C61" s="3588"/>
      <c r="D61" s="3588"/>
      <c r="E61" s="3588"/>
      <c r="F61" s="1808"/>
      <c r="G61" s="1808"/>
      <c r="H61" s="1810"/>
      <c r="I61" s="129"/>
      <c r="J61" s="2523">
        <f>J59+1</f>
        <v>7</v>
      </c>
      <c r="K61" s="3640" t="s">
        <v>1371</v>
      </c>
      <c r="L61" s="3640"/>
      <c r="M61" s="2540"/>
      <c r="N61" s="2541">
        <f ca="1">ROUND(N59*10000/'数据-汇总表'!E3,0)</f>
        <v>1978</v>
      </c>
      <c r="O61" s="2542"/>
    </row>
    <row r="62" spans="1:35" ht="12.75">
      <c r="A62" s="3606" t="s">
        <v>1372</v>
      </c>
      <c r="B62" s="3607"/>
      <c r="C62" s="2021"/>
      <c r="D62" s="2021" t="s">
        <v>1373</v>
      </c>
      <c r="E62" s="166" t="s">
        <v>1374</v>
      </c>
      <c r="F62" s="1808"/>
      <c r="G62" s="1808"/>
      <c r="H62" s="1810"/>
      <c r="I62" s="129"/>
    </row>
    <row r="63" spans="1:35" ht="12.75">
      <c r="A63" s="173" t="s">
        <v>330</v>
      </c>
      <c r="B63" s="167" t="s">
        <v>1375</v>
      </c>
      <c r="C63" s="2564">
        <f ca="1">ROUND((C64+C65)/(1+'数据-取费表'!C42),0)</f>
        <v>38851</v>
      </c>
      <c r="D63" s="167"/>
      <c r="E63" s="168"/>
      <c r="F63" s="1808"/>
      <c r="G63" s="1808"/>
      <c r="H63" s="1810"/>
      <c r="I63" s="129"/>
      <c r="J63" s="3665" t="s">
        <v>1376</v>
      </c>
      <c r="K63" s="1332" t="s">
        <v>1377</v>
      </c>
      <c r="L63" s="1332">
        <f ca="1">IF(M49&gt;10000,M49*0.5%,IF(AND(M49&gt;1000,M49&lt;=10000),M49*1%,IF(AND(M49&gt;100,M49&lt;=1000),M49*3%,IF(AND(M49&gt;10,M49&lt;=100),M49*5%,M49*8%))))</f>
        <v>203.97</v>
      </c>
      <c r="M63" s="302">
        <f ca="1">ROUND(L63,1)</f>
        <v>204</v>
      </c>
      <c r="N63" s="2543"/>
      <c r="Z63" s="1752"/>
      <c r="AI63" s="1753"/>
    </row>
    <row r="64" spans="1:35" ht="14.25" customHeight="1">
      <c r="A64" s="169" t="s">
        <v>325</v>
      </c>
      <c r="B64" s="170" t="s">
        <v>1378</v>
      </c>
      <c r="C64" s="2565">
        <f ca="1">D45</f>
        <v>40794</v>
      </c>
      <c r="D64" s="170" t="s">
        <v>26</v>
      </c>
      <c r="E64" s="172"/>
      <c r="F64" s="1808"/>
      <c r="G64" s="1808"/>
      <c r="H64" s="1810"/>
      <c r="I64" s="129"/>
      <c r="J64" s="3665"/>
      <c r="K64" s="1332" t="s">
        <v>1379</v>
      </c>
      <c r="L64" s="1332">
        <f ca="1">IF(M49&gt;2000,M49*0.5%,IF(AND(M49&gt;1000,M49&lt;=2000),M49*0.6%,IF(AND(M49&gt;500,M49&lt;=1000),M49*0.7%,IF(AND(M49&gt;200,M49&lt;=500),M49*0.8%,IF(AND(M49&gt;100,M49&lt;=200),M49*0.9%,IF(AND(M49&gt;50,M49&lt;=100),M49*1%,IF(AND(M49&gt;20,M49&lt;=50),M49*1.5%,IF(AND(M49&gt;10,M49&lt;=20),M49*2%,IF(AND(M49&gt;1,M49&lt;=10),M49*2.5%)))))))))</f>
        <v>203.97</v>
      </c>
      <c r="M64" s="302">
        <f t="shared" ref="M64:M65" ca="1" si="1">ROUND(L64,1)</f>
        <v>204</v>
      </c>
      <c r="N64" s="2544" t="s">
        <v>1380</v>
      </c>
      <c r="Z64" s="1752"/>
      <c r="AI64" s="1753"/>
    </row>
    <row r="65" spans="1:35" ht="14.25" customHeight="1">
      <c r="A65" s="169" t="s">
        <v>326</v>
      </c>
      <c r="B65" s="170" t="s">
        <v>1381</v>
      </c>
      <c r="C65" s="2566"/>
      <c r="D65" s="170"/>
      <c r="E65" s="172"/>
      <c r="F65" s="1808"/>
      <c r="G65" s="1808"/>
      <c r="H65" s="1810"/>
      <c r="I65" s="129"/>
      <c r="J65" s="3665"/>
      <c r="K65" s="1332" t="s">
        <v>1382</v>
      </c>
      <c r="L65" s="1332">
        <f ca="1">IF(M49&gt;1000,M49*0.1%,IF(AND(M49&gt;500,M49&lt;=1000),M49*0.5%,IF(AND(M49&gt;50,M49&lt;=500),M49*1%,IF(AND(M49&gt;1,M49&lt;=50),M49*1.5%))))</f>
        <v>40.794000000000004</v>
      </c>
      <c r="M65" s="302">
        <f t="shared" ca="1" si="1"/>
        <v>40.799999999999997</v>
      </c>
      <c r="N65" s="2544" t="s">
        <v>1380</v>
      </c>
      <c r="Z65" s="1752"/>
      <c r="AI65" s="1753"/>
    </row>
    <row r="66" spans="1:35" ht="14.25" customHeight="1">
      <c r="A66" s="173" t="s">
        <v>327</v>
      </c>
      <c r="B66" s="174" t="s">
        <v>1383</v>
      </c>
      <c r="C66" s="2567"/>
      <c r="D66" s="174" t="s">
        <v>26</v>
      </c>
      <c r="E66" s="1338" t="s">
        <v>668</v>
      </c>
      <c r="F66" s="1808"/>
      <c r="G66" s="1808"/>
      <c r="H66" s="1810"/>
      <c r="I66" s="129"/>
      <c r="J66" s="3665"/>
      <c r="K66" s="1332" t="s">
        <v>1384</v>
      </c>
      <c r="L66" s="1332">
        <f ca="1">M49*0.5%</f>
        <v>203.97</v>
      </c>
      <c r="M66" s="302">
        <f ca="1">IF(L66&gt;0.5,0.5,ROUND(L66,0))</f>
        <v>0.5</v>
      </c>
      <c r="N66" s="2544" t="s">
        <v>1385</v>
      </c>
      <c r="Z66" s="1752"/>
      <c r="AI66" s="1753"/>
    </row>
    <row r="67" spans="1:35" ht="14.25" customHeight="1">
      <c r="A67" s="173" t="s">
        <v>328</v>
      </c>
      <c r="B67" s="174" t="s">
        <v>1386</v>
      </c>
      <c r="C67" s="2568">
        <f ca="1">C63-C66</f>
        <v>38851</v>
      </c>
      <c r="D67" s="170" t="s">
        <v>26</v>
      </c>
      <c r="E67" s="172"/>
      <c r="F67" s="1808"/>
      <c r="G67" s="1808"/>
      <c r="H67" s="1810"/>
      <c r="I67" s="129"/>
      <c r="J67" s="3665"/>
      <c r="K67" s="1332" t="s">
        <v>1387</v>
      </c>
      <c r="L67" s="1332">
        <f ca="1">IF(M49&gt;=10000,(8.25+(M49-10000)*0.01%),IF(AND(M49&gt;=8000,M49&lt;10000),(7.85+(M49-8000)*0.02%),IF(AND(M49&gt;=5000,M49&lt;8000),(6.65+(M49-5000)*0.04%),IF(AND(M49&gt;=2000,M49&lt;5000),(4.25+(PM49-2000)*0.08%),IF(AND(M49&gt;=1000,M49&lt;2000),(2.75+(M49-1000)*0.15%),IF(AND(M49&gt;=100,M49&lt;1000),(0.5+(M49-100)*0.25%),IF(AND(M49&gt;0,M49&lt;100),M49*0.5%)))))))</f>
        <v>11.3294</v>
      </c>
      <c r="M67" s="302">
        <f ca="1">ROUND(L67*0.9,1)</f>
        <v>10.199999999999999</v>
      </c>
      <c r="N67" s="2543"/>
      <c r="Z67" s="1752"/>
      <c r="AI67" s="1753"/>
    </row>
    <row r="68" spans="1:35" ht="14.25" customHeight="1" thickBot="1">
      <c r="A68" s="176" t="s">
        <v>329</v>
      </c>
      <c r="B68" s="177" t="s">
        <v>1388</v>
      </c>
      <c r="C68" s="2569">
        <f ca="1">IF(C67&lt;=0,0,ROUND(C67*D68,0))</f>
        <v>2176</v>
      </c>
      <c r="D68" s="2570">
        <f>'数据-取费表'!B41</f>
        <v>5.6000000000000001E-2</v>
      </c>
      <c r="E68" s="178"/>
      <c r="F68" s="1808"/>
      <c r="G68" s="1808"/>
      <c r="H68" s="1810"/>
      <c r="I68" s="129"/>
      <c r="J68" s="3665"/>
      <c r="K68" s="1332" t="s">
        <v>1389</v>
      </c>
      <c r="L68" s="1332">
        <f ca="1">IF(M49&gt;10000,M49*0.5%,IF(AND(M49&gt;5000,M49&lt;=10000),M49*1%,IF(AND(M49&gt;1000,M49&lt;=5000),M49*2%,IF(AND(M49&gt;200,M49&lt;=1000),M49*3%,M49*5%))))</f>
        <v>203.97</v>
      </c>
      <c r="M68" s="302">
        <f ca="1">ROUND(L68,1)</f>
        <v>204</v>
      </c>
      <c r="N68" s="2543"/>
      <c r="Z68" s="1752"/>
      <c r="AI68" s="1753"/>
    </row>
    <row r="69" spans="1:35" s="1772" customFormat="1" ht="16.5" customHeight="1">
      <c r="A69" s="1811"/>
      <c r="B69" s="1812"/>
      <c r="C69" s="1813"/>
      <c r="D69" s="1814"/>
      <c r="E69" s="1815"/>
      <c r="F69" s="1578"/>
      <c r="G69" s="1578"/>
      <c r="H69" s="1577"/>
      <c r="I69" s="1747"/>
      <c r="J69" s="3665"/>
      <c r="K69" s="1332" t="s">
        <v>1390</v>
      </c>
      <c r="L69" s="1332"/>
      <c r="M69" s="302">
        <f ca="1">ROUND(SUM(M63:M68),0)</f>
        <v>664</v>
      </c>
      <c r="N69" s="2545">
        <f ca="1">M69/M49</f>
        <v>1.6276903466196008E-2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1391</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1372</v>
      </c>
      <c r="B71" s="3607"/>
      <c r="C71" s="2021"/>
      <c r="D71" s="2021"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38851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233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c r="D75" s="170" t="s">
        <v>26</v>
      </c>
      <c r="E75" s="184" t="s">
        <v>1396</v>
      </c>
      <c r="F75" s="2572"/>
      <c r="G75" s="184" t="s">
        <v>1397</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01" t="s">
        <v>1399</v>
      </c>
      <c r="F76" s="3575"/>
      <c r="G76" s="3575"/>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0</v>
      </c>
      <c r="D77" s="2575">
        <f>'数据-取费表'!B48+'数据-取费表'!B49</f>
        <v>3.0499999999999999E-2</v>
      </c>
      <c r="E77" s="2324" t="s">
        <v>1401</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233</v>
      </c>
      <c r="D78" s="2577">
        <f>'数据-取费表'!B43</f>
        <v>6.000000000000001E-3</v>
      </c>
      <c r="E78" s="3585" t="s">
        <v>1403</v>
      </c>
      <c r="F78" s="3586"/>
      <c r="G78" s="3586"/>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8">
        <f ca="1">C72-C73</f>
        <v>38618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165.74248927038627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23089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1407</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6" t="s">
        <v>1372</v>
      </c>
      <c r="B84" s="3607"/>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38851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233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2327"/>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2327"/>
      <c r="G90" s="3667" t="s">
        <v>2125</v>
      </c>
      <c r="H90" s="3668"/>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85" t="s">
        <v>1416</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85" t="s">
        <v>1419</v>
      </c>
      <c r="F92" s="3586"/>
      <c r="G92" s="3586"/>
      <c r="H92" s="3595"/>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233</v>
      </c>
      <c r="D93" s="2577">
        <f>'数据-取费表'!B43</f>
        <v>6.000000000000001E-3</v>
      </c>
      <c r="E93" s="3585" t="s">
        <v>1403</v>
      </c>
      <c r="F93" s="3586"/>
      <c r="G93" s="3586"/>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596" t="s">
        <v>1423</v>
      </c>
      <c r="F94" s="3597"/>
      <c r="G94" s="3597"/>
      <c r="H94" s="359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8">
        <f ca="1">ROUND(C85-C86,0)</f>
        <v>38618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165.74248927038627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23089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69" t="s">
        <v>1425</v>
      </c>
      <c r="B100" s="3570"/>
      <c r="C100" s="3570"/>
      <c r="D100" s="3587"/>
      <c r="E100" s="3570" t="s">
        <v>1426</v>
      </c>
      <c r="F100" s="3570"/>
      <c r="G100" s="3570"/>
      <c r="H100" s="3587"/>
      <c r="I100" s="129"/>
    </row>
    <row r="101" spans="1:35" ht="18.75" customHeight="1">
      <c r="A101" s="3648" t="s">
        <v>1427</v>
      </c>
      <c r="B101" s="3649"/>
      <c r="C101" s="2585" t="str">
        <f>C4</f>
        <v>成本法</v>
      </c>
      <c r="D101" s="2586" t="str">
        <f>D4</f>
        <v>假设开发法</v>
      </c>
      <c r="E101" s="3662" t="s">
        <v>1428</v>
      </c>
      <c r="F101" s="3619"/>
      <c r="G101" s="1827" t="s">
        <v>1429</v>
      </c>
      <c r="H101" s="2595">
        <f ca="1">H118</f>
        <v>40794</v>
      </c>
      <c r="I101" s="129"/>
    </row>
    <row r="102" spans="1:35" ht="18.75" customHeight="1">
      <c r="A102" s="3621" t="s">
        <v>1430</v>
      </c>
      <c r="B102" s="2584" t="s">
        <v>1429</v>
      </c>
      <c r="C102" s="2585">
        <f ca="1">IF(D32="楼面单价",ROUND(C19,0),C19)</f>
        <v>77061</v>
      </c>
      <c r="D102" s="2586">
        <f ca="1">IF(D32="楼面单价",ROUND(D19,0),D19)</f>
        <v>40794</v>
      </c>
      <c r="E102" s="3662"/>
      <c r="F102" s="3619"/>
      <c r="G102" s="1827" t="s">
        <v>1431</v>
      </c>
      <c r="H102" s="2555">
        <f ca="1">I118</f>
        <v>4665</v>
      </c>
      <c r="I102" s="129"/>
    </row>
    <row r="103" spans="1:35" ht="42.75" customHeight="1">
      <c r="A103" s="3621"/>
      <c r="B103" s="2584" t="s">
        <v>1431</v>
      </c>
      <c r="C103" s="2587">
        <f ca="1">C20</f>
        <v>8813</v>
      </c>
      <c r="D103" s="2588">
        <f ca="1">D20</f>
        <v>4665</v>
      </c>
      <c r="E103" s="3656" t="s">
        <v>1432</v>
      </c>
      <c r="F103" s="3657"/>
      <c r="G103" s="1828" t="s">
        <v>1433</v>
      </c>
      <c r="H103" s="2595">
        <f>IF(D36="正常操作",H104+H105+H106,H105+H106)</f>
        <v>0</v>
      </c>
      <c r="I103" s="129"/>
    </row>
    <row r="104" spans="1:35" ht="18.75" customHeight="1">
      <c r="A104" s="3621" t="s">
        <v>1434</v>
      </c>
      <c r="B104" s="2589" t="s">
        <v>1429</v>
      </c>
      <c r="C104" s="2590">
        <f ca="1">H118</f>
        <v>40794</v>
      </c>
      <c r="D104" s="2591"/>
      <c r="E104" s="1674" t="s">
        <v>1435</v>
      </c>
      <c r="F104" s="1666"/>
      <c r="G104" s="1828" t="s">
        <v>1433</v>
      </c>
      <c r="H104" s="2596">
        <f>IF(D36="同一抵押权人同一抵押物续贷",C36&amp;"（续贷，未扣减，详见特别提示）",C36)</f>
        <v>0</v>
      </c>
      <c r="I104" s="129"/>
    </row>
    <row r="105" spans="1:35" ht="18.75" customHeight="1" thickBot="1">
      <c r="A105" s="3622"/>
      <c r="B105" s="2592" t="s">
        <v>1431</v>
      </c>
      <c r="C105" s="2593">
        <f ca="1">I118</f>
        <v>4665</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618" t="str">
        <f>IF(项目基本情况!E8="已注销","——","3.房地产抵押价值")</f>
        <v>3.房地产抵押价值</v>
      </c>
      <c r="F107" s="3619"/>
      <c r="G107" s="1827" t="s">
        <v>1429</v>
      </c>
      <c r="H107" s="2595">
        <f ca="1">IF(E107="——","——",H101-H103)</f>
        <v>40794</v>
      </c>
      <c r="I107" s="129"/>
    </row>
    <row r="108" spans="1:35" ht="18.75" customHeight="1">
      <c r="A108" s="129"/>
      <c r="B108" s="129"/>
      <c r="C108" s="129"/>
      <c r="D108" s="129"/>
      <c r="E108" s="3618"/>
      <c r="F108" s="3619"/>
      <c r="G108" s="1827" t="s">
        <v>1431</v>
      </c>
      <c r="H108" s="2555">
        <f ca="1">IF(H107=H101,H102,ROUND(H107*10000/'数据-汇总表'!E3,0))</f>
        <v>4665</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619"/>
      <c r="G109" s="1827" t="s">
        <v>1429</v>
      </c>
      <c r="H109" s="2598" t="str">
        <f>IF(E109="——","——",H101-H105-H106)</f>
        <v>——</v>
      </c>
      <c r="I109" s="129"/>
    </row>
    <row r="110" spans="1:35" ht="18.75" customHeight="1">
      <c r="A110" s="129"/>
      <c r="B110" s="129"/>
      <c r="C110" s="129"/>
      <c r="D110" s="129"/>
      <c r="E110" s="3618"/>
      <c r="F110" s="3619"/>
      <c r="G110" s="1827" t="s">
        <v>1431</v>
      </c>
      <c r="H110" s="2555" t="str">
        <f>IF(H109="——","——",ROUND(H109*10000/'数据-汇总表'!E3,0))</f>
        <v>——</v>
      </c>
      <c r="I110" s="129"/>
    </row>
    <row r="111" spans="1:35" ht="18.75" customHeight="1">
      <c r="A111" s="129"/>
      <c r="B111" s="129"/>
      <c r="C111" s="129"/>
      <c r="D111" s="129"/>
      <c r="E111" s="3650" t="str">
        <f>IF(项目基本情况!E9="抵押净值",IF(OR(项目基本情况!E8="已注销",项目基本情况!E8="房地产抵押价值"),"4.抵押净值","5.抵押净值"),"——")</f>
        <v>——</v>
      </c>
      <c r="F111" s="3620"/>
      <c r="G111" s="1827" t="s">
        <v>1429</v>
      </c>
      <c r="H111" s="2595" t="str">
        <f>IF(E111="——","——",N59)</f>
        <v>——</v>
      </c>
      <c r="I111" s="129"/>
    </row>
    <row r="112" spans="1:35" ht="18.75" customHeight="1" thickBot="1">
      <c r="A112" s="129"/>
      <c r="B112" s="129"/>
      <c r="C112" s="129"/>
      <c r="D112" s="129"/>
      <c r="E112" s="3651"/>
      <c r="F112" s="3652"/>
      <c r="G112" s="1830" t="s">
        <v>1431</v>
      </c>
      <c r="H112" s="2599" t="str">
        <f>IF(E111="——","——",N61)</f>
        <v>——</v>
      </c>
      <c r="I112" s="129"/>
    </row>
    <row r="113" spans="1:27" ht="18.75" customHeight="1">
      <c r="A113" s="129"/>
      <c r="B113" s="129"/>
      <c r="C113" s="129"/>
      <c r="D113" s="129"/>
      <c r="E113" s="3623" t="s">
        <v>1437</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3" t="s">
        <v>1439</v>
      </c>
      <c r="B115" s="3634"/>
      <c r="C115" s="3634"/>
      <c r="D115" s="3634"/>
      <c r="E115" s="3634"/>
      <c r="F115" s="3634"/>
      <c r="G115" s="3634"/>
      <c r="H115" s="3634"/>
      <c r="I115" s="3635"/>
    </row>
    <row r="116" spans="1:27" ht="27" customHeight="1">
      <c r="A116" s="3589" t="s">
        <v>1440</v>
      </c>
      <c r="B116" s="3624" t="s">
        <v>1441</v>
      </c>
      <c r="C116" s="3624" t="s">
        <v>1442</v>
      </c>
      <c r="D116" s="3637" t="s">
        <v>1443</v>
      </c>
      <c r="E116" s="3638"/>
      <c r="F116" s="3632" t="s">
        <v>1444</v>
      </c>
      <c r="G116" s="3632"/>
      <c r="H116" s="3589" t="s">
        <v>1445</v>
      </c>
      <c r="I116" s="3589"/>
    </row>
    <row r="117" spans="1:27" ht="18.75" customHeight="1">
      <c r="A117" s="3589"/>
      <c r="B117" s="3625"/>
      <c r="C117" s="3625"/>
      <c r="D117" s="2329" t="s">
        <v>1446</v>
      </c>
      <c r="E117" s="2329" t="s">
        <v>1447</v>
      </c>
      <c r="F117" s="2329" t="s">
        <v>1446</v>
      </c>
      <c r="G117" s="2329" t="s">
        <v>1448</v>
      </c>
      <c r="H117" s="2329" t="s">
        <v>1446</v>
      </c>
      <c r="I117" s="2329" t="s">
        <v>1448</v>
      </c>
    </row>
    <row r="118" spans="1:27" ht="24.75" customHeight="1">
      <c r="A118" s="2600" t="str">
        <f>项目基本情况!S2</f>
        <v>北京市337房地产</v>
      </c>
      <c r="B118" s="2329">
        <f>M18</f>
        <v>87440.459999999992</v>
      </c>
      <c r="C118" s="2329">
        <f>M19</f>
        <v>30808.7</v>
      </c>
      <c r="D118" s="2329">
        <f ca="1">ROUND(IF(D32="总价",C34,E118*B118/10000),0)</f>
        <v>4278</v>
      </c>
      <c r="E118" s="2329">
        <f ca="1">ROUND(IF(C33="自定义",IF(D32="楼面单价",C34,D118*10000/B118),I118-G118),0)</f>
        <v>489</v>
      </c>
      <c r="F118" s="2329">
        <f ca="1">ROUND(IF(D32="总价",C35,G118*B118/10000),0)</f>
        <v>36516</v>
      </c>
      <c r="G118" s="2329">
        <f ca="1">ROUND(IF(D32="楼面单价",C35,F118*10000/B118),0)</f>
        <v>4176</v>
      </c>
      <c r="H118" s="2329">
        <f ca="1">ROUND(IF(D32="总价",C32,I118*B118/10000),0)</f>
        <v>40794</v>
      </c>
      <c r="I118" s="2329">
        <f ca="1">ROUND(IF(D32="楼面单价",C32,H118*10000/B118),0)</f>
        <v>4665</v>
      </c>
    </row>
    <row r="119" spans="1:27" ht="18.75" customHeight="1">
      <c r="A119" s="3589" t="s">
        <v>1449</v>
      </c>
      <c r="B119" s="3589"/>
      <c r="C119" s="3589"/>
      <c r="D119" s="3629" t="str">
        <f ca="1">NUMBERSTRING(INT(D118*10000),2)&amp;"元整"</f>
        <v>肆仟贰佰柒拾捌万元整</v>
      </c>
      <c r="E119" s="3631"/>
      <c r="F119" s="3629" t="str">
        <f ca="1">NUMBERSTRING(INT(F118*10000),2)&amp;"元整"</f>
        <v>叁亿陆仟伍佰壹拾陆万元整</v>
      </c>
      <c r="G119" s="3631"/>
      <c r="H119" s="3629" t="str">
        <f ca="1">NUMBERSTRING(INT(H118*10000),2)&amp;"元整"</f>
        <v>肆亿零柒佰玖拾肆万元整</v>
      </c>
      <c r="I119" s="3631"/>
    </row>
    <row r="120" spans="1:27" ht="18.75" customHeight="1">
      <c r="A120" s="3653" t="str">
        <f>IF(项目基本情况!B9="房地产市场价值","",MID(E103,3,LEN(E103)-2))</f>
        <v>估价师知悉的法定优先受偿款</v>
      </c>
      <c r="B120" s="3654"/>
      <c r="C120" s="3655"/>
      <c r="D120" s="3653">
        <f>H103</f>
        <v>0</v>
      </c>
      <c r="E120" s="3654"/>
      <c r="F120" s="3654"/>
      <c r="G120" s="3654"/>
      <c r="H120" s="3654"/>
      <c r="I120" s="365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9" t="s">
        <v>1449</v>
      </c>
      <c r="B121" s="3630"/>
      <c r="C121" s="3631"/>
      <c r="D121" s="3629" t="str">
        <f>IF(D120=0,"零元整",NUMBERSTRING(INT(D120*10000),2)&amp;"元整")</f>
        <v>零元整</v>
      </c>
      <c r="E121" s="3630"/>
      <c r="F121" s="3630"/>
      <c r="G121" s="3630"/>
      <c r="H121" s="3630"/>
      <c r="I121" s="3631"/>
      <c r="AA121" s="725"/>
    </row>
    <row r="122" spans="1:27" ht="18.75" customHeight="1">
      <c r="A122" s="3620" t="str">
        <f>IF(项目基本情况!B9="房地产市场价值","",MID(E107,3,LEN(E107)-2))</f>
        <v>房地产抵押价值</v>
      </c>
      <c r="B122" s="3620"/>
      <c r="C122" s="3620"/>
      <c r="D122" s="3653">
        <f ca="1">H107</f>
        <v>40794</v>
      </c>
      <c r="E122" s="3654"/>
      <c r="F122" s="3654"/>
      <c r="G122" s="3654"/>
      <c r="H122" s="3654"/>
      <c r="I122" s="3655"/>
      <c r="AA122" s="725"/>
    </row>
    <row r="123" spans="1:27" ht="18.75" customHeight="1">
      <c r="A123" s="3589" t="s">
        <v>1449</v>
      </c>
      <c r="B123" s="3589"/>
      <c r="C123" s="3589"/>
      <c r="D123" s="3629" t="str">
        <f ca="1">NUMBERSTRING(INT(D122*10000),2)&amp;"元整"</f>
        <v>肆亿零柒佰玖拾肆万元整</v>
      </c>
      <c r="E123" s="3630"/>
      <c r="F123" s="3630"/>
      <c r="G123" s="3630"/>
      <c r="H123" s="3630"/>
      <c r="I123" s="3631"/>
      <c r="AA123" s="725"/>
    </row>
    <row r="124" spans="1:27" ht="18.75" customHeight="1">
      <c r="A124" s="3620" t="str">
        <f>IF(项目基本情况!B9="房地产市场价值","",MID(E109,3,LEN(E109)-2))</f>
        <v/>
      </c>
      <c r="B124" s="3620"/>
      <c r="C124" s="3620"/>
      <c r="D124" s="3653" t="str">
        <f>H109</f>
        <v>——</v>
      </c>
      <c r="E124" s="3654"/>
      <c r="F124" s="3654"/>
      <c r="G124" s="3654"/>
      <c r="H124" s="3654"/>
      <c r="I124" s="3655"/>
      <c r="AA124" s="725"/>
    </row>
    <row r="125" spans="1:27" ht="18.75" customHeight="1">
      <c r="A125" s="3589" t="s">
        <v>1449</v>
      </c>
      <c r="B125" s="3589"/>
      <c r="C125" s="3589"/>
      <c r="D125" s="3629" t="e">
        <f>NUMBERSTRING(INT(D124*10000),2)&amp;"元整"</f>
        <v>#VALUE!</v>
      </c>
      <c r="E125" s="3630"/>
      <c r="F125" s="3630"/>
      <c r="G125" s="3630"/>
      <c r="H125" s="3630"/>
      <c r="I125" s="3631"/>
      <c r="AA125" s="725"/>
    </row>
    <row r="126" spans="1:27" ht="18.75" customHeight="1">
      <c r="A126" s="3620" t="str">
        <f>IF(项目基本情况!B9="房地产市场价值","",MID(E111,3,LEN(E111)-2))</f>
        <v/>
      </c>
      <c r="B126" s="3620"/>
      <c r="C126" s="3620"/>
      <c r="D126" s="3653" t="str">
        <f>H111</f>
        <v>——</v>
      </c>
      <c r="E126" s="3654"/>
      <c r="F126" s="3654"/>
      <c r="G126" s="3654"/>
      <c r="H126" s="3654"/>
      <c r="I126" s="3655"/>
      <c r="AA126" s="725"/>
    </row>
    <row r="127" spans="1:27" ht="18.75" customHeight="1">
      <c r="A127" s="3589" t="s">
        <v>1449</v>
      </c>
      <c r="B127" s="3589"/>
      <c r="C127" s="3589"/>
      <c r="D127" s="3629" t="e">
        <f>NUMBERSTRING(INT(D126*10000),2)&amp;"元整"</f>
        <v>#VALUE!</v>
      </c>
      <c r="E127" s="3630"/>
      <c r="F127" s="3630"/>
      <c r="G127" s="3630"/>
      <c r="H127" s="3630"/>
      <c r="I127" s="3631"/>
      <c r="AA127" s="725"/>
    </row>
    <row r="128" spans="1:27" ht="21.75" customHeight="1">
      <c r="A128" s="3636" t="s">
        <v>1450</v>
      </c>
      <c r="B128" s="3636"/>
      <c r="C128" s="3636"/>
      <c r="D128" s="3636"/>
      <c r="E128" s="3636"/>
      <c r="F128" s="3636"/>
      <c r="G128" s="3636"/>
      <c r="H128" s="3636"/>
      <c r="I128" s="3636"/>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北京市337房地产抵押价值预评估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59" sqref="I5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77061</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8813</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30405</v>
      </c>
      <c r="D5" s="211" t="s">
        <v>1466</v>
      </c>
      <c r="E5" s="212" t="s">
        <v>1467</v>
      </c>
      <c r="F5" s="212" t="s">
        <v>1468</v>
      </c>
      <c r="G5" s="213"/>
    </row>
    <row r="6" spans="1:9" s="214" customFormat="1" ht="13.5" customHeight="1">
      <c r="A6" s="778" t="s">
        <v>1469</v>
      </c>
      <c r="B6" s="215" t="s">
        <v>1470</v>
      </c>
      <c r="C6" s="216">
        <f>'土地比较法-住宅、综合'!B2</f>
        <v>29505</v>
      </c>
      <c r="D6" s="217"/>
      <c r="E6" s="218"/>
      <c r="F6" s="218"/>
      <c r="G6" s="219"/>
    </row>
    <row r="7" spans="1:9" s="214" customFormat="1" ht="13.5" customHeight="1">
      <c r="A7" s="778" t="s">
        <v>1471</v>
      </c>
      <c r="B7" s="215" t="s">
        <v>1472</v>
      </c>
      <c r="C7" s="220">
        <f>ROUND(C6*F7,0)</f>
        <v>900</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6" t="s">
        <v>3458</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160</v>
      </c>
      <c r="F9" s="221"/>
      <c r="G9" s="1857" t="s">
        <v>3570</v>
      </c>
      <c r="H9" s="1137"/>
      <c r="I9" s="1858" t="s">
        <v>1476</v>
      </c>
    </row>
    <row r="10" spans="1:9" s="214" customFormat="1" ht="13.5" customHeight="1">
      <c r="A10" s="779" t="s">
        <v>356</v>
      </c>
      <c r="B10" s="224" t="s">
        <v>1477</v>
      </c>
      <c r="C10" s="225">
        <f ca="1">ROUND(D10*E10/10000,0)</f>
        <v>1749</v>
      </c>
      <c r="D10" s="845">
        <f ca="1">IF(B1="",'数据-汇总表'!E6,IF(INDIRECT("'数据-取费表'!c"&amp;$G$1)="住宅",INDIRECT("'数据-取费表'!s"&amp;$G$1),INDIRECT("'数据-取费表'!k"&amp;$G$1)+INDIRECT("'数据-取费表'!s"&amp;$G$1)))</f>
        <v>87440.459999999992</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87440.459999999992</v>
      </c>
      <c r="E19" s="211">
        <f>'数据-取费表'!B31</f>
        <v>150</v>
      </c>
      <c r="F19" s="231"/>
      <c r="G19" s="1856" t="s">
        <v>3459</v>
      </c>
    </row>
    <row r="20" spans="1:7" s="214" customFormat="1" ht="13.5" customHeight="1">
      <c r="A20" s="255" t="s">
        <v>1490</v>
      </c>
      <c r="B20" s="210" t="s">
        <v>1491</v>
      </c>
      <c r="C20" s="232">
        <f>ROUND((C5+C19)*F20,0)</f>
        <v>608</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2941</v>
      </c>
      <c r="D22" s="235">
        <f ca="1">C26</f>
        <v>8.9999999999999998E-4</v>
      </c>
      <c r="E22" s="236" t="s">
        <v>1495</v>
      </c>
      <c r="F22" s="237">
        <f ca="1">'数据-取费表'!B40</f>
        <v>4.1499999999999995E-2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2913</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28</v>
      </c>
      <c r="D25" s="238"/>
      <c r="E25" s="241"/>
      <c r="F25" s="239"/>
      <c r="G25" s="242" t="s">
        <v>1507</v>
      </c>
    </row>
    <row r="26" spans="1:7" s="214" customFormat="1">
      <c r="A26" s="780" t="s">
        <v>350</v>
      </c>
      <c r="B26" s="215" t="s">
        <v>1508</v>
      </c>
      <c r="C26" s="238">
        <f ca="1">ROUND(IF('数据-取费表'!B22&lt;=1,F21*F22*'数据-取费表'!B23/2,F21*(POWER((1+F22),'数据-取费表'!B23/2)-1)),4)</f>
        <v>8.9999999999999998E-4</v>
      </c>
      <c r="D26" s="238"/>
      <c r="E26" s="241"/>
      <c r="F26" s="239"/>
      <c r="G26" s="243"/>
    </row>
    <row r="27" spans="1:7" s="214" customFormat="1" ht="24.75">
      <c r="A27" s="255" t="s">
        <v>1509</v>
      </c>
      <c r="B27" s="244" t="s">
        <v>1510</v>
      </c>
      <c r="C27" s="245">
        <f ca="1">C28</f>
        <v>3489</v>
      </c>
      <c r="D27" s="235">
        <f ca="1">C29</f>
        <v>2.3E-3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3489</v>
      </c>
      <c r="D28" s="235"/>
      <c r="E28" s="236"/>
      <c r="F28" s="246"/>
      <c r="G28" s="247"/>
    </row>
    <row r="29" spans="1:7" s="214" customFormat="1" ht="13.5" customHeight="1">
      <c r="A29" s="780" t="s">
        <v>347</v>
      </c>
      <c r="B29" s="248" t="s">
        <v>1514</v>
      </c>
      <c r="C29" s="238">
        <f ca="1">ROUND(C21*F27*'数据-取费表'!B21/'数据-取费表'!B20,4)</f>
        <v>2.3E-3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40545</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27604</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24921</v>
      </c>
      <c r="D34" s="217"/>
      <c r="E34" s="220"/>
      <c r="F34" s="257">
        <f ca="1">IF('数据-取费表'!B24=0,1,IF(B1="",'数据-取费表'!N16,INDIRECT("'数据-取费表'!n"&amp;$G$1)))</f>
        <v>0.75</v>
      </c>
      <c r="G34" s="219" t="s">
        <v>1523</v>
      </c>
    </row>
    <row r="35" spans="1:7" ht="13.5" customHeight="1">
      <c r="A35" s="780" t="s">
        <v>351</v>
      </c>
      <c r="B35" s="215" t="s">
        <v>1524</v>
      </c>
      <c r="C35" s="220">
        <f ca="1">ROUND(C34*F35,0)</f>
        <v>997</v>
      </c>
      <c r="D35" s="220"/>
      <c r="E35" s="220"/>
      <c r="F35" s="259">
        <f>'数据-取费表'!B33</f>
        <v>0.04</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1312</v>
      </c>
      <c r="D37" s="217">
        <f ca="1">D19</f>
        <v>87440.459999999992</v>
      </c>
      <c r="E37" s="249">
        <f>'数据-取费表'!B35</f>
        <v>200</v>
      </c>
      <c r="F37" s="259"/>
      <c r="G37" s="261" t="s">
        <v>1529</v>
      </c>
    </row>
    <row r="38" spans="1:7" ht="13.5" customHeight="1">
      <c r="A38" s="780" t="s">
        <v>354</v>
      </c>
      <c r="B38" s="215" t="s">
        <v>1530</v>
      </c>
      <c r="C38" s="220">
        <f ca="1">ROUND(C34*F38,0)</f>
        <v>374</v>
      </c>
      <c r="D38" s="220"/>
      <c r="E38" s="220"/>
      <c r="F38" s="259">
        <f>'数据-取费表'!B36</f>
        <v>1.4999999999999999E-2</v>
      </c>
      <c r="G38" s="219" t="s">
        <v>1525</v>
      </c>
    </row>
    <row r="39" spans="1:7" s="214" customFormat="1" ht="13.5" customHeight="1">
      <c r="A39" s="255" t="s">
        <v>1531</v>
      </c>
      <c r="B39" s="210" t="s">
        <v>1532</v>
      </c>
      <c r="C39" s="232">
        <f ca="1">ROUND(C33*F20,0)</f>
        <v>552</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1318</v>
      </c>
      <c r="D41" s="235">
        <f ca="1">C44</f>
        <v>8.9999999999999998E-4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1292</v>
      </c>
      <c r="D42" s="238"/>
      <c r="E42" s="238"/>
      <c r="F42" s="239"/>
      <c r="G42" s="3669" t="s">
        <v>1541</v>
      </c>
    </row>
    <row r="43" spans="1:7" ht="13.5" customHeight="1">
      <c r="A43" s="780" t="s">
        <v>347</v>
      </c>
      <c r="B43" s="215" t="s">
        <v>1542</v>
      </c>
      <c r="C43" s="238">
        <f ca="1">ROUND(IF('数据-取费表'!B22&lt;=1,C39*F22*'数据-取费表'!B21/2,C39*(POWER((1+F22),'数据-取费表'!B21/2)-1)),0)</f>
        <v>26</v>
      </c>
      <c r="D43" s="238"/>
      <c r="E43" s="238"/>
      <c r="F43" s="239"/>
      <c r="G43" s="3670"/>
    </row>
    <row r="44" spans="1:7" ht="13.5" customHeight="1">
      <c r="A44" s="780" t="s">
        <v>348</v>
      </c>
      <c r="B44" s="215" t="s">
        <v>1543</v>
      </c>
      <c r="C44" s="238">
        <f ca="1">ROUND(IF('数据-取费表'!B22&lt;=1,C40*F22*'数据-取费表'!B21/2,C40*(POWER((1+F22),'数据-取费表'!B21/2)-1)),4)</f>
        <v>8.9999999999999998E-4</v>
      </c>
      <c r="D44" s="238"/>
      <c r="E44" s="238"/>
      <c r="F44" s="239"/>
      <c r="G44" s="3671"/>
    </row>
    <row r="45" spans="1:7" s="214" customFormat="1" ht="13.5" customHeight="1">
      <c r="A45" s="255" t="s">
        <v>1544</v>
      </c>
      <c r="B45" s="244" t="s">
        <v>1510</v>
      </c>
      <c r="C45" s="245">
        <f ca="1">C46</f>
        <v>4223</v>
      </c>
      <c r="D45" s="235">
        <f ca="1">C47</f>
        <v>3.0000000000000001E-3</v>
      </c>
      <c r="E45" s="236" t="s">
        <v>1536</v>
      </c>
      <c r="F45" s="246">
        <f ca="1">F27</f>
        <v>0.15</v>
      </c>
      <c r="G45" s="247" t="s">
        <v>1545</v>
      </c>
    </row>
    <row r="46" spans="1:7" s="214" customFormat="1" ht="13.5" customHeight="1">
      <c r="A46" s="780" t="s">
        <v>346</v>
      </c>
      <c r="B46" s="248" t="s">
        <v>1546</v>
      </c>
      <c r="C46" s="249">
        <f ca="1">ROUND((C33+C39)*F27,0)</f>
        <v>4223</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36516</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36516</v>
      </c>
      <c r="D51" s="232"/>
      <c r="E51" s="232"/>
      <c r="F51" s="264"/>
      <c r="G51" s="234" t="s">
        <v>1557</v>
      </c>
    </row>
    <row r="52" spans="1:7" s="208" customFormat="1" ht="16.5" thickBot="1">
      <c r="A52" s="265" t="s">
        <v>1558</v>
      </c>
      <c r="B52" s="266"/>
      <c r="C52" s="267">
        <f ca="1">C31+C51</f>
        <v>77061</v>
      </c>
      <c r="D52" s="266"/>
      <c r="E52" s="266"/>
      <c r="F52" s="266"/>
      <c r="G52" s="268"/>
    </row>
    <row r="55" spans="1:7" ht="15">
      <c r="B55" s="270" t="s">
        <v>1559</v>
      </c>
      <c r="C55" s="271"/>
    </row>
    <row r="56" spans="1:7">
      <c r="B56" s="273" t="s">
        <v>799</v>
      </c>
      <c r="C56" s="275">
        <f ca="1">1-C57</f>
        <v>0.52600000000000002</v>
      </c>
    </row>
    <row r="57" spans="1:7">
      <c r="B57" s="273" t="s">
        <v>800</v>
      </c>
      <c r="C57" s="274">
        <f ca="1">ROUND(C51/C52,3)</f>
        <v>0.47399999999999998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4">
        <f ca="1">ROUND(IF(D2="——",C52/10000,C52/10000-E2),4)</f>
        <v>53688.669000000002</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6140</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17488092</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17488092</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1477</v>
      </c>
      <c r="C10" s="225">
        <f ca="1">ROUND(D10*E10,0)</f>
        <v>17488092</v>
      </c>
      <c r="D10" s="845">
        <f ca="1">IF(B1="",'数据-汇总表'!E6,IF(INDIRECT("'数据-取费表'!c"&amp;$G$1)="住宅",INDIRECT("'数据-取费表'!s"&amp;$G$1),INDIRECT("'数据-取费表'!k"&amp;$G$1)+INDIRECT("'数据-取费表'!s"&amp;$G$1)))</f>
        <v>87440.459999999992</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13116069</v>
      </c>
      <c r="D19" s="849">
        <f ca="1">D9+D10</f>
        <v>87440.459999999992</v>
      </c>
      <c r="E19" s="211">
        <f>'数据-取费表'!B31</f>
        <v>150</v>
      </c>
      <c r="F19" s="231"/>
      <c r="G19" s="1856"/>
    </row>
    <row r="20" spans="1:7" s="214" customFormat="1" ht="13.5" customHeight="1">
      <c r="A20" s="255" t="s">
        <v>1571</v>
      </c>
      <c r="B20" s="210" t="s">
        <v>1572</v>
      </c>
      <c r="C20" s="232">
        <f ca="1">ROUND((C5+C19)*F20,0)</f>
        <v>612083</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4009024</v>
      </c>
      <c r="D22" s="235">
        <f ca="1">C26</f>
        <v>1.2999999999999999E-3</v>
      </c>
      <c r="E22" s="236" t="s">
        <v>1576</v>
      </c>
      <c r="F22" s="237">
        <f ca="1">'数据-取费表'!B40</f>
        <v>4.1499999999999995E-2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2268874</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1701655</v>
      </c>
      <c r="D24" s="238"/>
      <c r="E24" s="238"/>
      <c r="F24" s="239"/>
      <c r="G24" s="240" t="s">
        <v>1583</v>
      </c>
    </row>
    <row r="25" spans="1:7" s="214" customFormat="1" ht="24">
      <c r="A25" s="780" t="s">
        <v>1473</v>
      </c>
      <c r="B25" s="215" t="s">
        <v>1584</v>
      </c>
      <c r="C25" s="1128">
        <f ca="1">ROUND(IF('数据-取费表'!B22&lt;=1,C20*F22*'数据-取费表'!B22/2,C20*(POWER((1+F22),'数据-取费表'!B22/2)-1)),0)</f>
        <v>38495</v>
      </c>
      <c r="D25" s="238"/>
      <c r="E25" s="241"/>
      <c r="F25" s="239"/>
      <c r="G25" s="242" t="s">
        <v>1585</v>
      </c>
    </row>
    <row r="26" spans="1:7" s="214" customFormat="1">
      <c r="A26" s="780" t="s">
        <v>350</v>
      </c>
      <c r="B26" s="215" t="s">
        <v>1508</v>
      </c>
      <c r="C26" s="238">
        <f ca="1">ROUND(IF('数据-取费表'!B22&lt;=1,F21*F22*'数据-取费表'!B22/2,F21*(POWER((1+F22),'数据-取费表'!B22/2)-1)),4)</f>
        <v>1.2999999999999999E-3</v>
      </c>
      <c r="D26" s="238"/>
      <c r="E26" s="241"/>
      <c r="F26" s="239"/>
      <c r="G26" s="243"/>
    </row>
    <row r="27" spans="1:7" s="214" customFormat="1" ht="24.75">
      <c r="A27" s="255" t="s">
        <v>1509</v>
      </c>
      <c r="B27" s="244" t="s">
        <v>1510</v>
      </c>
      <c r="C27" s="245">
        <f ca="1">C28</f>
        <v>4682437</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4682437</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43265075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368036896</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332273748</v>
      </c>
      <c r="D34" s="217"/>
      <c r="E34" s="220"/>
      <c r="F34" s="257"/>
      <c r="G34" s="219"/>
    </row>
    <row r="35" spans="1:7" ht="13.5" customHeight="1">
      <c r="A35" s="780" t="s">
        <v>351</v>
      </c>
      <c r="B35" s="215" t="s">
        <v>1524</v>
      </c>
      <c r="C35" s="220">
        <f ca="1">ROUND(C34*F35,0)</f>
        <v>13290950</v>
      </c>
      <c r="D35" s="220"/>
      <c r="E35" s="220"/>
      <c r="F35" s="259">
        <f>'数据-取费表'!B33</f>
        <v>0.04</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17488092</v>
      </c>
      <c r="D37" s="217">
        <f ca="1">D19</f>
        <v>87440.459999999992</v>
      </c>
      <c r="E37" s="249">
        <f>'数据-取费表'!B35</f>
        <v>200</v>
      </c>
      <c r="F37" s="259"/>
      <c r="G37" s="261"/>
    </row>
    <row r="38" spans="1:7" ht="13.5" customHeight="1">
      <c r="A38" s="780" t="s">
        <v>354</v>
      </c>
      <c r="B38" s="215" t="s">
        <v>1530</v>
      </c>
      <c r="C38" s="220">
        <f ca="1">ROUND(C34*F38,0)</f>
        <v>4984106</v>
      </c>
      <c r="D38" s="220"/>
      <c r="E38" s="220"/>
      <c r="F38" s="259">
        <f>'数据-取费表'!B36</f>
        <v>1.4999999999999999E-2</v>
      </c>
      <c r="G38" s="219" t="s">
        <v>1525</v>
      </c>
    </row>
    <row r="39" spans="1:7" s="214" customFormat="1" ht="13.5" customHeight="1">
      <c r="A39" s="255" t="s">
        <v>1531</v>
      </c>
      <c r="B39" s="210" t="s">
        <v>1532</v>
      </c>
      <c r="C39" s="232">
        <f ca="1">ROUND(C33*F20,0)</f>
        <v>7360738</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23609299</v>
      </c>
      <c r="D41" s="235">
        <f ca="1">C44</f>
        <v>1.2999999999999999E-3</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23146372</v>
      </c>
      <c r="D42" s="238"/>
      <c r="E42" s="238"/>
      <c r="F42" s="239"/>
      <c r="G42" s="3669" t="s">
        <v>1588</v>
      </c>
    </row>
    <row r="43" spans="1:7" ht="13.5" customHeight="1">
      <c r="A43" s="780" t="s">
        <v>347</v>
      </c>
      <c r="B43" s="215" t="s">
        <v>1542</v>
      </c>
      <c r="C43" s="238">
        <f ca="1">ROUND(IF('数据-取费表'!B22&lt;=1,C39*F22*'数据-取费表'!B20/2,C39*(POWER((1+F22),'数据-取费表'!B20/2)-1)),0)</f>
        <v>462927</v>
      </c>
      <c r="D43" s="238"/>
      <c r="E43" s="238"/>
      <c r="F43" s="239"/>
      <c r="G43" s="3670"/>
    </row>
    <row r="44" spans="1:7" ht="13.5" customHeight="1">
      <c r="A44" s="780" t="s">
        <v>348</v>
      </c>
      <c r="B44" s="215" t="s">
        <v>1543</v>
      </c>
      <c r="C44" s="238">
        <f ca="1">ROUND(IF('数据-取费表'!B22&lt;=1,C40*F22*'数据-取费表'!B20/2,C40*(POWER((1+F22),'数据-取费表'!B20/2)-1)),4)</f>
        <v>1.2999999999999999E-3</v>
      </c>
      <c r="D44" s="238"/>
      <c r="E44" s="238"/>
      <c r="F44" s="239"/>
      <c r="G44" s="3671"/>
    </row>
    <row r="45" spans="1:7" s="214" customFormat="1" ht="13.5" customHeight="1">
      <c r="A45" s="255" t="s">
        <v>1544</v>
      </c>
      <c r="B45" s="244" t="s">
        <v>1510</v>
      </c>
      <c r="C45" s="245">
        <f ca="1">C46</f>
        <v>56309645</v>
      </c>
      <c r="D45" s="235">
        <f ca="1">C47</f>
        <v>3.0000000000000001E-3</v>
      </c>
      <c r="E45" s="236" t="s">
        <v>1536</v>
      </c>
      <c r="F45" s="246">
        <f ca="1">F27</f>
        <v>0.15</v>
      </c>
      <c r="G45" s="247" t="s">
        <v>1545</v>
      </c>
    </row>
    <row r="46" spans="1:7" s="214" customFormat="1" ht="13.5" customHeight="1">
      <c r="A46" s="780" t="s">
        <v>346</v>
      </c>
      <c r="B46" s="248" t="s">
        <v>1546</v>
      </c>
      <c r="C46" s="249">
        <f ca="1">ROUND((C33+C39)*F27,0)</f>
        <v>56309645</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493621615</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493621615</v>
      </c>
      <c r="D51" s="232"/>
      <c r="E51" s="232"/>
      <c r="F51" s="264"/>
      <c r="G51" s="234" t="s">
        <v>1557</v>
      </c>
    </row>
    <row r="52" spans="1:7" s="208" customFormat="1" ht="16.5" thickBot="1">
      <c r="A52" s="265" t="s">
        <v>1558</v>
      </c>
      <c r="B52" s="266"/>
      <c r="C52" s="267">
        <f ca="1">C31+C51</f>
        <v>536886690</v>
      </c>
      <c r="D52" s="266"/>
      <c r="E52" s="266"/>
      <c r="F52" s="266"/>
      <c r="G52" s="268"/>
    </row>
    <row r="55" spans="1:7" ht="15">
      <c r="B55" s="270" t="s">
        <v>1559</v>
      </c>
      <c r="C55" s="271"/>
    </row>
    <row r="56" spans="1:7">
      <c r="B56" s="273" t="s">
        <v>799</v>
      </c>
      <c r="C56" s="275">
        <f ca="1">1-C57</f>
        <v>8.0999999999999961E-2</v>
      </c>
    </row>
    <row r="57" spans="1:7">
      <c r="B57" s="273" t="s">
        <v>800</v>
      </c>
      <c r="C57" s="274">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K51" sqref="K5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7</v>
      </c>
    </row>
    <row r="2" spans="1:33" ht="18" customHeight="1">
      <c r="A2" s="201" t="s">
        <v>1459</v>
      </c>
      <c r="B2" s="204">
        <f ca="1">C32</f>
        <v>40794</v>
      </c>
      <c r="C2" s="276" t="s">
        <v>1592</v>
      </c>
      <c r="D2" s="276"/>
      <c r="E2" s="2806"/>
      <c r="F2" s="2806"/>
      <c r="G2" s="2806"/>
      <c r="H2" s="2806"/>
      <c r="I2" s="2806"/>
      <c r="J2" s="2806"/>
      <c r="K2" s="2806"/>
    </row>
    <row r="3" spans="1:33" ht="18" customHeight="1" thickBot="1">
      <c r="A3" s="203" t="s">
        <v>1461</v>
      </c>
      <c r="B3" s="204">
        <f ca="1">ROUND(B2*10000/IF(C1="",'数据-汇总表'!E3,INDIRECT("'数据-取费表'!K"&amp;$K$1)),0)</f>
        <v>4665</v>
      </c>
      <c r="C3" s="276" t="s">
        <v>1593</v>
      </c>
      <c r="D3" s="276"/>
      <c r="E3" s="2806"/>
      <c r="F3" s="2806"/>
      <c r="G3" s="2806"/>
      <c r="H3" s="2806"/>
      <c r="I3" s="2806"/>
      <c r="J3" s="2806"/>
      <c r="K3" s="2806"/>
    </row>
    <row r="4" spans="1:33" s="785" customFormat="1" ht="16.5" customHeight="1">
      <c r="A4" s="782" t="s">
        <v>1594</v>
      </c>
      <c r="B4" s="783"/>
      <c r="C4" s="824">
        <f ca="1">SUM(C8:K8)</f>
        <v>62059</v>
      </c>
      <c r="D4" s="783"/>
      <c r="E4" s="783"/>
      <c r="F4" s="783"/>
      <c r="G4" s="783"/>
      <c r="H4" s="783"/>
      <c r="I4" s="783"/>
      <c r="J4" s="783"/>
      <c r="K4" s="784"/>
    </row>
    <row r="5" spans="1:33" s="789" customFormat="1" ht="15">
      <c r="A5" s="786" t="s">
        <v>1595</v>
      </c>
      <c r="B5" s="787" t="s">
        <v>1596</v>
      </c>
      <c r="C5" s="1860" t="s">
        <v>3453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f ca="1">收益法!B3</f>
        <v>18415</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33700.31</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f ca="1">收益法!B2</f>
        <v>62059</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8306</v>
      </c>
      <c r="D11" s="802"/>
      <c r="E11" s="329"/>
      <c r="F11" s="812">
        <f ca="1">1-IF('数据-取费表'!B24=0,1,IF(C1="",'数据-取费表'!N16,INDIRECT("'数据-取费表'!n"&amp;$K$1)))</f>
        <v>0.25</v>
      </c>
      <c r="G11" s="5"/>
      <c r="H11" s="797"/>
      <c r="I11" s="797"/>
      <c r="J11" s="797"/>
      <c r="K11" s="798"/>
    </row>
    <row r="12" spans="1:33" s="803" customFormat="1" ht="13.5" customHeight="1">
      <c r="A12" s="800" t="s">
        <v>636</v>
      </c>
      <c r="B12" s="801" t="s">
        <v>1610</v>
      </c>
      <c r="C12" s="21">
        <f ca="1">ROUND(C11*F12,0)</f>
        <v>332</v>
      </c>
      <c r="D12" s="802"/>
      <c r="E12" s="329"/>
      <c r="F12" s="812">
        <f>'数据-取费表'!B33</f>
        <v>0.04</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437</v>
      </c>
      <c r="D14" s="846">
        <f ca="1">IF(C1="",'数据-汇总表'!E3,INDIRECT("'数据-取费表'!K"&amp;$K$1)+INDIRECT("'数据-取费表'!S"&amp;$K$1))</f>
        <v>87440.459999999992</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125</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9200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437</v>
      </c>
      <c r="D17" s="846">
        <f ca="1">D14</f>
        <v>87440.459999999992</v>
      </c>
      <c r="E17" s="21">
        <f>'数据-取费表'!B32</f>
        <v>50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1749</v>
      </c>
      <c r="D18" s="846"/>
      <c r="E18" s="21"/>
      <c r="F18" s="804"/>
      <c r="G18" s="1862" t="s">
        <v>3569</v>
      </c>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1624</v>
      </c>
      <c r="C20" s="21">
        <f ca="1">ROUND(D20*E20/10000,0)</f>
        <v>1749</v>
      </c>
      <c r="D20" s="846">
        <f ca="1">IF(C1="",'数据-汇总表'!E6,IF(INDIRECT("'数据-取费表'!c"&amp;$K$1)="住宅",INDIRECT("'数据-取费表'!s"&amp;$K$1),INDIRECT("'数据-取费表'!k"&amp;$K$1)+INDIRECT("'数据-取费表'!s"&amp;$K$1)))</f>
        <v>87440.459999999992</v>
      </c>
      <c r="E20" s="21">
        <f>'数据-取费表'!B28</f>
        <v>200</v>
      </c>
      <c r="F20" s="804"/>
      <c r="G20" s="12"/>
      <c r="H20" s="809"/>
      <c r="I20" s="809"/>
      <c r="J20" s="809"/>
      <c r="K20" s="810"/>
    </row>
    <row r="21" spans="1:33" s="803" customFormat="1" ht="13.5" customHeight="1">
      <c r="A21" s="790" t="s">
        <v>357</v>
      </c>
      <c r="B21" s="813" t="s">
        <v>1625</v>
      </c>
      <c r="C21" s="814">
        <f ca="1">C16+C17+C18</f>
        <v>11386</v>
      </c>
      <c r="D21" s="815"/>
      <c r="E21" s="281"/>
      <c r="F21" s="281"/>
      <c r="G21" s="131" t="s">
        <v>1626</v>
      </c>
      <c r="H21" s="807"/>
      <c r="I21" s="807"/>
      <c r="J21" s="807"/>
      <c r="K21" s="808"/>
    </row>
    <row r="22" spans="1:33" s="803" customFormat="1" ht="13.5" customHeight="1">
      <c r="A22" s="790" t="s">
        <v>1598</v>
      </c>
      <c r="B22" s="813" t="s">
        <v>1627</v>
      </c>
      <c r="C22" s="814">
        <f ca="1">ROUND(C21*F22,0)</f>
        <v>228</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310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183</v>
      </c>
      <c r="D25" s="280">
        <f ca="1">C26</f>
        <v>3.1899999999999998E-2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3.1899999999999998E-2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183</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1789</v>
      </c>
      <c r="D28" s="280">
        <f ca="1">C29</f>
        <v>3.8600000000000002E-2</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3.8600000000000002E-2</v>
      </c>
      <c r="D29" s="284"/>
      <c r="E29" s="285"/>
      <c r="F29" s="290"/>
      <c r="G29" s="131" t="s">
        <v>1641</v>
      </c>
      <c r="H29" s="807"/>
      <c r="I29" s="807"/>
      <c r="J29" s="807"/>
      <c r="K29" s="808"/>
    </row>
    <row r="30" spans="1:33" s="291" customFormat="1" ht="13.5" customHeight="1">
      <c r="A30" s="800" t="s">
        <v>359</v>
      </c>
      <c r="B30" s="822" t="s">
        <v>1642</v>
      </c>
      <c r="C30" s="292">
        <f ca="1">ROUND((C21+C22+C23)*F28,0)</f>
        <v>1789</v>
      </c>
      <c r="D30" s="284"/>
      <c r="E30" s="285"/>
      <c r="F30" s="290"/>
      <c r="G30" s="131"/>
      <c r="H30" s="807"/>
      <c r="I30" s="807"/>
      <c r="J30" s="807"/>
      <c r="K30" s="808"/>
    </row>
    <row r="31" spans="1:33" s="803" customFormat="1" ht="13.5" customHeight="1" thickBot="1">
      <c r="A31" s="1866" t="s">
        <v>1643</v>
      </c>
      <c r="B31" s="833" t="s">
        <v>1644</v>
      </c>
      <c r="C31" s="834">
        <f ca="1">ROUND(C4*F31/(1+'数据-取费表'!C42),0)</f>
        <v>3310</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40794</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71" sqref="K70:K7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t="s">
        <v>3453</v>
      </c>
      <c r="D1" s="1362" t="s">
        <v>3460</v>
      </c>
      <c r="E1" s="1363" t="s">
        <v>675</v>
      </c>
      <c r="F1" s="1062">
        <f ca="1">J53</f>
        <v>44.96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801</v>
      </c>
      <c r="B2" s="1386">
        <f ca="1">C40+J29+L46</f>
        <v>62059</v>
      </c>
      <c r="C2" s="1387" t="s">
        <v>802</v>
      </c>
      <c r="D2" s="1387"/>
      <c r="E2" s="1388"/>
      <c r="F2" s="1389"/>
      <c r="G2" s="2706"/>
      <c r="H2" s="2695"/>
      <c r="I2" s="2695"/>
      <c r="J2" s="2695"/>
      <c r="K2" s="2696"/>
      <c r="L2" s="2695"/>
      <c r="M2" s="2695"/>
    </row>
    <row r="3" spans="1:37" ht="18" customHeight="1" thickBot="1">
      <c r="A3" s="1390" t="s">
        <v>803</v>
      </c>
      <c r="B3" s="1391">
        <f ca="1">IF(ISERROR(B2*10000/F43),0,ROUND(B2*10000/F43,0))</f>
        <v>18415</v>
      </c>
      <c r="C3" s="1387" t="s">
        <v>804</v>
      </c>
      <c r="D3" s="1387"/>
      <c r="E3" s="1388"/>
      <c r="F3" s="1389"/>
      <c r="G3" s="2706"/>
      <c r="H3" s="683" t="s">
        <v>873</v>
      </c>
      <c r="I3" s="1382"/>
      <c r="J3" s="1382"/>
      <c r="K3" s="1383"/>
      <c r="L3" s="1382"/>
      <c r="M3" s="1382"/>
    </row>
    <row r="4" spans="1:37" ht="18" customHeight="1">
      <c r="A4" s="295" t="s">
        <v>684</v>
      </c>
      <c r="B4" s="296" t="s">
        <v>685</v>
      </c>
      <c r="C4" s="296" t="s">
        <v>686</v>
      </c>
      <c r="D4" s="296" t="s">
        <v>687</v>
      </c>
      <c r="E4" s="297" t="s">
        <v>688</v>
      </c>
      <c r="F4" s="298"/>
      <c r="G4" s="1384"/>
      <c r="H4" s="295" t="s">
        <v>684</v>
      </c>
      <c r="I4" s="296" t="s">
        <v>685</v>
      </c>
      <c r="J4" s="296" t="s">
        <v>686</v>
      </c>
      <c r="K4" s="296" t="s">
        <v>687</v>
      </c>
      <c r="L4" s="297" t="s">
        <v>688</v>
      </c>
      <c r="M4" s="298"/>
    </row>
    <row r="5" spans="1:37" ht="18" customHeight="1">
      <c r="A5" s="299">
        <v>1</v>
      </c>
      <c r="B5" s="300" t="s">
        <v>689</v>
      </c>
      <c r="C5" s="1070">
        <f ca="1">C6+C10+C12</f>
        <v>5542</v>
      </c>
      <c r="D5" s="1364" t="s">
        <v>690</v>
      </c>
      <c r="E5" s="1071"/>
      <c r="F5" s="1072"/>
      <c r="G5" s="1384"/>
      <c r="H5" s="299">
        <v>1</v>
      </c>
      <c r="I5" s="300" t="s">
        <v>689</v>
      </c>
      <c r="J5" s="1070">
        <f ca="1">J6+J10+J12</f>
        <v>0</v>
      </c>
      <c r="K5" s="1364" t="s">
        <v>690</v>
      </c>
      <c r="L5" s="1071"/>
      <c r="M5" s="1072"/>
    </row>
    <row r="6" spans="1:37" ht="18" customHeight="1">
      <c r="A6" s="1069" t="s">
        <v>398</v>
      </c>
      <c r="B6" s="3674" t="s">
        <v>691</v>
      </c>
      <c r="C6" s="1074">
        <f ca="1">ROUND(F6*F8*F7*(1-F9)/10000,0)</f>
        <v>5535</v>
      </c>
      <c r="D6" s="155" t="s">
        <v>2105</v>
      </c>
      <c r="E6" s="302" t="s">
        <v>693</v>
      </c>
      <c r="F6" s="303">
        <f ca="1">INDIRECT("'数据-取费表'!u"&amp;$G$1)</f>
        <v>5</v>
      </c>
      <c r="G6" s="1384"/>
      <c r="H6" s="1069" t="s">
        <v>398</v>
      </c>
      <c r="I6" s="3674" t="s">
        <v>691</v>
      </c>
      <c r="J6" s="301">
        <f ca="1">ROUND(M6*M8*M7*(1-M9)/10000,0)</f>
        <v>0</v>
      </c>
      <c r="K6" s="155" t="s">
        <v>2104</v>
      </c>
      <c r="L6" s="302" t="s">
        <v>693</v>
      </c>
      <c r="M6" s="303">
        <f ca="1">INDIRECT("'数据-取费表'!z"&amp;$G$1)</f>
        <v>0</v>
      </c>
    </row>
    <row r="7" spans="1:37" ht="18" customHeight="1">
      <c r="A7" s="1073"/>
      <c r="B7" s="3675"/>
      <c r="C7" s="1075"/>
      <c r="D7" s="307"/>
      <c r="E7" s="1076" t="s">
        <v>694</v>
      </c>
      <c r="F7" s="303">
        <f ca="1">IF(INDIRECT("'数据-取费表'!ah"&amp;$G$1)="",INDIRECT("'数据-取费表'!k"&amp;$G$1),INDIRECT("'数据-取费表'!ah"&amp;$G$1))</f>
        <v>33700.31</v>
      </c>
      <c r="G7" s="1384"/>
      <c r="H7" s="304"/>
      <c r="I7" s="3675"/>
      <c r="J7" s="306"/>
      <c r="K7" s="307"/>
      <c r="L7" s="302" t="s">
        <v>694</v>
      </c>
      <c r="M7" s="303">
        <f ca="1">F7</f>
        <v>33700.31</v>
      </c>
    </row>
    <row r="8" spans="1:37" ht="18" customHeight="1">
      <c r="A8" s="304"/>
      <c r="B8" s="3675"/>
      <c r="C8" s="306"/>
      <c r="D8" s="307"/>
      <c r="E8" s="302" t="s">
        <v>695</v>
      </c>
      <c r="F8" s="303">
        <f ca="1">INDIRECT("'数据-取费表'!ai"&amp;$G$1)</f>
        <v>365</v>
      </c>
      <c r="G8" s="1384"/>
      <c r="H8" s="304"/>
      <c r="I8" s="3675"/>
      <c r="J8" s="306"/>
      <c r="K8" s="307"/>
      <c r="L8" s="302" t="s">
        <v>695</v>
      </c>
      <c r="M8" s="303">
        <f ca="1">INDIRECT("'数据-取费表'!ai"&amp;$G$1)</f>
        <v>365</v>
      </c>
    </row>
    <row r="9" spans="1:37" ht="18" customHeight="1">
      <c r="A9" s="304"/>
      <c r="B9" s="3676"/>
      <c r="C9" s="306"/>
      <c r="D9" s="307"/>
      <c r="E9" s="302" t="s">
        <v>696</v>
      </c>
      <c r="F9" s="312">
        <f ca="1">INDIRECT("'数据-取费表'!w"&amp;$G$1)</f>
        <v>0.1</v>
      </c>
      <c r="G9" s="1384"/>
      <c r="H9" s="304"/>
      <c r="I9" s="3676"/>
      <c r="J9" s="306"/>
      <c r="K9" s="307"/>
      <c r="L9" s="313" t="s">
        <v>696</v>
      </c>
      <c r="M9" s="314">
        <f ca="1">INDIRECT("'数据-取费表'!ab"&amp;$G$1)</f>
        <v>0</v>
      </c>
    </row>
    <row r="10" spans="1:37" ht="18" customHeight="1">
      <c r="A10" s="1069" t="s">
        <v>402</v>
      </c>
      <c r="B10" s="1365" t="s">
        <v>697</v>
      </c>
      <c r="C10" s="316">
        <f ca="1">ROUND(IF(F10="押一",C6/12*F11,IF(F10="押二",C6/12*2*F11,IF(F10="押三",C6/12*3*F11,C11*F11))),0)</f>
        <v>7</v>
      </c>
      <c r="D10" s="1366" t="s">
        <v>2113</v>
      </c>
      <c r="E10" s="313" t="s">
        <v>698</v>
      </c>
      <c r="F10" s="1116" t="s">
        <v>3461</v>
      </c>
      <c r="G10" s="1384"/>
      <c r="H10" s="1069" t="s">
        <v>402</v>
      </c>
      <c r="I10" s="1365" t="s">
        <v>697</v>
      </c>
      <c r="J10" s="301">
        <f ca="1">ROUND(IF(M10="押一",J6/12*M11,IF(M10="押二",J6/12*2*M11,IF(M10="押三",J6/12*3*M11,J11*M11))),0)</f>
        <v>0</v>
      </c>
      <c r="K10" s="1366" t="s">
        <v>2112</v>
      </c>
      <c r="L10" s="313" t="s">
        <v>698</v>
      </c>
      <c r="M10" s="1116"/>
    </row>
    <row r="11" spans="1:37" ht="18" customHeight="1">
      <c r="A11" s="308"/>
      <c r="B11" s="1367" t="s">
        <v>676</v>
      </c>
      <c r="C11" s="959"/>
      <c r="D11" s="1368"/>
      <c r="E11" s="313" t="s">
        <v>699</v>
      </c>
      <c r="F11" s="314">
        <f ca="1">'数据-取费表'!B39</f>
        <v>1.4999999999999999E-2</v>
      </c>
      <c r="G11" s="1384"/>
      <c r="H11" s="1077"/>
      <c r="I11" s="1367" t="s">
        <v>676</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49361</v>
      </c>
      <c r="D13" s="1081" t="s">
        <v>702</v>
      </c>
      <c r="E13" s="1081" t="s">
        <v>703</v>
      </c>
      <c r="F13" s="1082">
        <f ca="1">INDIRECT("'数据-取费表'!y"&amp;$G$1)</f>
        <v>1</v>
      </c>
      <c r="G13" s="1384"/>
      <c r="H13" s="1079">
        <v>2</v>
      </c>
      <c r="I13" s="1080" t="s">
        <v>701</v>
      </c>
      <c r="J13" s="1068">
        <f ca="1">ROUND(J14*J15,0)</f>
        <v>0</v>
      </c>
      <c r="K13" s="1087" t="s">
        <v>702</v>
      </c>
      <c r="L13" s="1392"/>
      <c r="M13" s="1393"/>
    </row>
    <row r="14" spans="1:37" ht="18" customHeight="1">
      <c r="A14" s="982" t="s">
        <v>397</v>
      </c>
      <c r="B14" s="302" t="s">
        <v>704</v>
      </c>
      <c r="C14" s="318">
        <f ca="1">INDIRECT("'数据-取费表'!m"&amp;$G$1)+INDIRECT("'数据-取费表'!t"&amp;$G$1)</f>
        <v>33227</v>
      </c>
      <c r="D14" s="1345" t="s">
        <v>705</v>
      </c>
      <c r="E14" s="1342"/>
      <c r="F14" s="319"/>
      <c r="G14" s="1384"/>
      <c r="H14" s="982" t="s">
        <v>398</v>
      </c>
      <c r="I14" s="302" t="s">
        <v>706</v>
      </c>
      <c r="J14" s="21">
        <f ca="1">C29</f>
        <v>49361</v>
      </c>
      <c r="K14" s="12"/>
      <c r="L14" s="807"/>
      <c r="M14" s="808"/>
    </row>
    <row r="15" spans="1:37" s="1397" customFormat="1" ht="18" customHeight="1" thickBot="1">
      <c r="A15" s="982" t="s">
        <v>399</v>
      </c>
      <c r="B15" s="302" t="s">
        <v>707</v>
      </c>
      <c r="C15" s="21">
        <f ca="1">ROUND(C14*F15,0)</f>
        <v>1329</v>
      </c>
      <c r="D15" s="320" t="s">
        <v>708</v>
      </c>
      <c r="E15" s="320" t="s">
        <v>709</v>
      </c>
      <c r="F15" s="321">
        <f>'数据-取费表'!B33</f>
        <v>0.04</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ROUND(INDIRECT("'数据-取费表'!m"&amp;$G$1)*F16,0)</f>
        <v>0</v>
      </c>
      <c r="D16" s="302" t="s">
        <v>708</v>
      </c>
      <c r="E16" s="302" t="s">
        <v>709</v>
      </c>
      <c r="F16" s="322">
        <f ca="1">IF(INDIRECT("'数据-取费表'!c"&amp;$G$1)="住宅",'数据-取费表'!B34,0)</f>
        <v>0</v>
      </c>
      <c r="G16" s="1384"/>
      <c r="H16" s="1079" t="s">
        <v>393</v>
      </c>
      <c r="I16" s="1080" t="s">
        <v>711</v>
      </c>
      <c r="J16" s="310">
        <f ca="1">ROUND(J17+J22+J23+J24,0)</f>
        <v>494</v>
      </c>
      <c r="K16" s="1087" t="s">
        <v>712</v>
      </c>
      <c r="L16" s="1088"/>
      <c r="M16" s="1072"/>
    </row>
    <row r="17" spans="1:37" s="1397" customFormat="1" ht="18" customHeight="1">
      <c r="A17" s="982" t="s">
        <v>678</v>
      </c>
      <c r="B17" s="302" t="s">
        <v>713</v>
      </c>
      <c r="C17" s="21">
        <f ca="1">ROUND(F17*(F43+INDIRECT("'数据-取费表'!S"&amp;$G$1))/10000,0)</f>
        <v>1749</v>
      </c>
      <c r="D17" s="302" t="s">
        <v>714</v>
      </c>
      <c r="E17" s="302" t="s">
        <v>715</v>
      </c>
      <c r="F17" s="23">
        <f>'数据-取费表'!B35</f>
        <v>200</v>
      </c>
      <c r="G17" s="1396"/>
      <c r="H17" s="982" t="s">
        <v>398</v>
      </c>
      <c r="I17" s="302" t="s">
        <v>716</v>
      </c>
      <c r="J17" s="2316">
        <f ca="1">ROUND(IF(AND(项目基本情况!B11="自然人",项目基本情况!B10="北京市"),J6*M17/(1+'数据-取费表'!C42),J18+J19+J20),2)</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498</v>
      </c>
      <c r="D18" s="302" t="s">
        <v>708</v>
      </c>
      <c r="E18" s="302" t="s">
        <v>709</v>
      </c>
      <c r="F18" s="322">
        <f>'数据-取费表'!B36</f>
        <v>1.4999999999999999E-2</v>
      </c>
      <c r="G18" s="1396"/>
      <c r="H18" s="982" t="s">
        <v>397</v>
      </c>
      <c r="I18" s="302" t="s">
        <v>720</v>
      </c>
      <c r="J18" s="21">
        <f ca="1">ROUND(J6*M18/(1+'数据-取费表'!C42),2)</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36803</v>
      </c>
      <c r="D19" s="131" t="s">
        <v>723</v>
      </c>
      <c r="E19" s="1360"/>
      <c r="F19" s="23"/>
      <c r="G19" s="1384"/>
      <c r="H19" s="982" t="s">
        <v>399</v>
      </c>
      <c r="I19" s="302" t="s">
        <v>724</v>
      </c>
      <c r="J19" s="21">
        <f ca="1">IF(K19="按租金收入计税",ROUND(J6*M19/(1+'数据-取费表'!C42),2),ROUND(C29*M19*0.7,2))</f>
        <v>0</v>
      </c>
      <c r="K19" s="1370" t="s">
        <v>3337</v>
      </c>
      <c r="L19" s="302" t="s">
        <v>709</v>
      </c>
      <c r="M19" s="322">
        <f>IF(K19="按租金收入计税",'数据-取费表'!B51,'数据-取费表'!B50)</f>
        <v>0.12</v>
      </c>
    </row>
    <row r="20" spans="1:37" s="1397" customFormat="1" ht="18" customHeight="1">
      <c r="A20" s="982" t="s">
        <v>402</v>
      </c>
      <c r="B20" s="302" t="s">
        <v>725</v>
      </c>
      <c r="C20" s="21">
        <f ca="1">ROUND(C19*F20,0)</f>
        <v>736</v>
      </c>
      <c r="D20" s="323" t="s">
        <v>726</v>
      </c>
      <c r="E20" s="302" t="s">
        <v>709</v>
      </c>
      <c r="F20" s="322">
        <f>'数据-取费表'!B37</f>
        <v>0.02</v>
      </c>
      <c r="G20" s="1396"/>
      <c r="H20" s="982" t="s">
        <v>677</v>
      </c>
      <c r="I20" s="155" t="s">
        <v>727</v>
      </c>
      <c r="J20" s="22">
        <f ca="1">ROUND(M20*M21/10000,2)</f>
        <v>0</v>
      </c>
      <c r="K20" s="324" t="s">
        <v>728</v>
      </c>
      <c r="L20" s="302" t="s">
        <v>729</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15</v>
      </c>
      <c r="D21" s="323" t="s">
        <v>731</v>
      </c>
      <c r="E21" s="302" t="s">
        <v>732</v>
      </c>
      <c r="F21" s="322">
        <f>'数据-取费表'!B38</f>
        <v>0.02</v>
      </c>
      <c r="G21" s="1396"/>
      <c r="H21" s="326"/>
      <c r="I21" s="311"/>
      <c r="J21" s="26"/>
      <c r="K21" s="327"/>
      <c r="L21" s="302" t="s">
        <v>733</v>
      </c>
      <c r="M21" s="303">
        <f ca="1">INDIRECT("'数据-取费表'!r"&amp;$G$1)</f>
        <v>30808.699999999997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ROUND(J14*M22,2)</f>
        <v>493.61</v>
      </c>
      <c r="K22" s="1344" t="s">
        <v>736</v>
      </c>
      <c r="L22" s="302" t="s">
        <v>709</v>
      </c>
      <c r="M22" s="328">
        <f ca="1">INDIRECT("'数据-取费表'!Ak"&amp;$G$1)</f>
        <v>0.01</v>
      </c>
    </row>
    <row r="23" spans="1:37" s="1397" customFormat="1" ht="18" customHeight="1">
      <c r="A23" s="982" t="s">
        <v>397</v>
      </c>
      <c r="B23" s="302" t="s">
        <v>737</v>
      </c>
      <c r="C23" s="21">
        <f ca="1">IF('数据-取费表'!B22&lt;=1,ROUND(C19*F24*F23/2,0)+ROUND(C20*F24*F23/2,0),ROUND(C19*(POWER((1+F24),F23/2)-1),0)+ROUND(C20*(POWER((1+F24),F23/2)-1),0))</f>
        <v>2361</v>
      </c>
      <c r="D23" s="329" t="str">
        <f>IF(F23&lt;=1,"(建造成本+管理费用)×利率×(建设周期÷2)","(建造成本+管理费用)×((1+利率)^(建设周期÷2)-1)")</f>
        <v>(建造成本+管理费用)×((1+利率)^(建设周期÷2)-1)</v>
      </c>
      <c r="E23" s="302" t="s">
        <v>738</v>
      </c>
      <c r="F23" s="325">
        <f>'数据-取费表'!B20</f>
        <v>3</v>
      </c>
      <c r="G23" s="1396"/>
      <c r="H23" s="982" t="s">
        <v>437</v>
      </c>
      <c r="I23" s="302" t="s">
        <v>739</v>
      </c>
      <c r="J23" s="21">
        <f ca="1">ROUND(J13*M23,2)</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1.2999999999999999E-3</v>
      </c>
      <c r="D24" s="329" t="str">
        <f>IF(F23&lt;=1,"销售费用×利率×(建设周期÷2)","销售费用×((1+利率)^(建设周期÷2)-1)")</f>
        <v>销售费用×((1+利率)^(建设周期÷2)-1)</v>
      </c>
      <c r="E24" s="302" t="s">
        <v>744</v>
      </c>
      <c r="F24" s="331">
        <f ca="1">'数据-取费表'!B40</f>
        <v>4.1499999999999995E-2</v>
      </c>
      <c r="G24" s="1396"/>
      <c r="H24" s="1089" t="s">
        <v>681</v>
      </c>
      <c r="I24" s="1090" t="s">
        <v>725</v>
      </c>
      <c r="J24" s="1091">
        <f ca="1">ROUND(J5*M24,2)</f>
        <v>0</v>
      </c>
      <c r="K24" s="1092" t="s">
        <v>745</v>
      </c>
      <c r="L24" s="1090" t="s">
        <v>741</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746</v>
      </c>
      <c r="B25" s="302" t="s">
        <v>747</v>
      </c>
      <c r="C25" s="21"/>
      <c r="D25" s="131" t="s">
        <v>748</v>
      </c>
      <c r="E25" s="1360"/>
      <c r="F25" s="23"/>
      <c r="G25" s="1384"/>
      <c r="H25" s="1079" t="s">
        <v>394</v>
      </c>
      <c r="I25" s="1094" t="s">
        <v>749</v>
      </c>
      <c r="J25" s="310">
        <f ca="1">J5-J16</f>
        <v>-494</v>
      </c>
      <c r="K25" s="1095" t="s">
        <v>750</v>
      </c>
      <c r="L25" s="1096"/>
      <c r="M25" s="1097"/>
    </row>
    <row r="26" spans="1:37">
      <c r="A26" s="982" t="s">
        <v>397</v>
      </c>
      <c r="B26" s="302" t="s">
        <v>751</v>
      </c>
      <c r="C26" s="21">
        <f ca="1">ROUND((C19+C20)*F26,0)</f>
        <v>5631</v>
      </c>
      <c r="D26" s="323" t="s">
        <v>752</v>
      </c>
      <c r="E26" s="313" t="s">
        <v>753</v>
      </c>
      <c r="F26" s="312">
        <f ca="1">INDIRECT("'数据-取费表'!q"&amp;$G$1)</f>
        <v>0.15</v>
      </c>
      <c r="G26" s="1384"/>
      <c r="H26" s="299" t="s">
        <v>395</v>
      </c>
      <c r="I26" s="300" t="s">
        <v>754</v>
      </c>
      <c r="J26" s="301">
        <f ca="1">IF(J5&lt;&gt;0,ROUND(J25*(1-((1+M28)/(1+M26))^M27)/(M26-M28),0),0)</f>
        <v>0</v>
      </c>
      <c r="K26" s="324" t="s">
        <v>755</v>
      </c>
      <c r="L26" s="302" t="s">
        <v>756</v>
      </c>
      <c r="M26" s="312">
        <f ca="1">INDIRECT("'数据-取费表'!I"&amp;$G$1)</f>
        <v>0.06</v>
      </c>
    </row>
    <row r="27" spans="1:37" ht="18" customHeight="1">
      <c r="A27" s="982" t="s">
        <v>399</v>
      </c>
      <c r="B27" s="302" t="s">
        <v>757</v>
      </c>
      <c r="C27" s="21">
        <f ca="1">ROUND(F21*F26,4)</f>
        <v>3.0000000000000001E-3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49361</v>
      </c>
      <c r="D29" s="1092"/>
      <c r="E29" s="1090"/>
      <c r="F29" s="1093"/>
      <c r="G29" s="1396"/>
      <c r="H29" s="334" t="s">
        <v>396</v>
      </c>
      <c r="I29" s="335" t="s">
        <v>765</v>
      </c>
      <c r="J29" s="336">
        <f ca="1">ROUND(J26/(1+F40)^F41,0)</f>
        <v>0</v>
      </c>
      <c r="K29" s="337" t="s">
        <v>766</v>
      </c>
      <c r="L29" s="338"/>
      <c r="M29" s="339">
        <f ca="1">INDIRECT("'数据-取费表'!k"&amp;$G$1)</f>
        <v>33700.31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1526</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ROUND(IF(AND(项目基本情况!B11="自然人",项目基本情况!B10="北京市"),C6*F31/(1+'数据-取费表'!C42),C32+C33+C34),2)</f>
        <v>927.77</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IF(项目基本情况!B11="自然人","——",ROUND(C6*F32/(1+'数据-取费表'!C42),2))</f>
        <v>295.2</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IF(项目基本情况!B11="自然人","——",IF(D33="按租金收入计税",ROUND(C6*F33/(1+'数据-取费表'!C42),2),IF(D33="按房产原值计税",ROUND(C29*F33*0.7,2),INDIRECT("'数据-取费表'!Aj"&amp;$G$1))))</f>
        <v>632.57000000000005</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IF(项目基本情况!B11="自然人","——",ROUND(F34*F35/10000,2))</f>
        <v>0</v>
      </c>
      <c r="D34" s="324" t="s">
        <v>728</v>
      </c>
      <c r="E34" s="302" t="s">
        <v>729</v>
      </c>
      <c r="F34" s="325">
        <f>'数据-取费表'!B52</f>
        <v>0</v>
      </c>
      <c r="G34" s="1384"/>
      <c r="H34" s="2697"/>
      <c r="I34" s="1398"/>
      <c r="J34" s="1399"/>
      <c r="K34" s="2702"/>
      <c r="L34" s="2703"/>
      <c r="M34" s="2703"/>
    </row>
    <row r="35" spans="1:18" ht="18" customHeight="1">
      <c r="A35" s="1103"/>
      <c r="B35" s="1101"/>
      <c r="C35" s="26"/>
      <c r="D35" s="327"/>
      <c r="E35" s="302" t="s">
        <v>733</v>
      </c>
      <c r="F35" s="303">
        <f ca="1">INDIRECT("'数据-取费表'!r"&amp;$G$1)</f>
        <v>30808.699999999997</v>
      </c>
      <c r="G35" s="1384"/>
      <c r="H35" s="2697"/>
      <c r="I35" s="1398"/>
      <c r="J35" s="1399"/>
      <c r="K35" s="2701"/>
      <c r="L35" s="2700"/>
      <c r="M35" s="2700"/>
    </row>
    <row r="36" spans="1:18" ht="18" customHeight="1">
      <c r="A36" s="1102" t="s">
        <v>402</v>
      </c>
      <c r="B36" s="302" t="s">
        <v>735</v>
      </c>
      <c r="C36" s="21">
        <f ca="1">ROUND(C29*F36,2)</f>
        <v>493.61</v>
      </c>
      <c r="D36" s="1344" t="s">
        <v>768</v>
      </c>
      <c r="E36" s="302" t="s">
        <v>709</v>
      </c>
      <c r="F36" s="328">
        <f ca="1">INDIRECT("'数据-取费表'!Ak"&amp;$G$1)</f>
        <v>0.01</v>
      </c>
      <c r="G36" s="1384"/>
      <c r="H36" s="2700"/>
      <c r="I36" s="1398"/>
      <c r="J36" s="1399"/>
      <c r="K36" s="2544"/>
      <c r="L36" s="2700"/>
      <c r="M36" s="2700"/>
    </row>
    <row r="37" spans="1:18" ht="18" customHeight="1">
      <c r="A37" s="982" t="s">
        <v>437</v>
      </c>
      <c r="B37" s="302" t="s">
        <v>739</v>
      </c>
      <c r="C37" s="21">
        <f ca="1">ROUND(C13*F37,2)</f>
        <v>49.36</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ROUND(C5*F38,2)</f>
        <v>55.42</v>
      </c>
      <c r="D38" s="1092" t="s">
        <v>745</v>
      </c>
      <c r="E38" s="1090" t="s">
        <v>741</v>
      </c>
      <c r="F38" s="1086">
        <f ca="1">INDIRECT("'数据-取费表'!Am"&amp;$G$1)</f>
        <v>0.01</v>
      </c>
      <c r="G38" s="1384"/>
      <c r="H38" s="2700"/>
      <c r="I38" s="1398"/>
      <c r="J38" s="1399"/>
      <c r="K38" s="2704"/>
      <c r="L38" s="2700"/>
      <c r="M38" s="2700"/>
    </row>
    <row r="39" spans="1:18" ht="24.6" customHeight="1" thickTop="1">
      <c r="A39" s="1079" t="s">
        <v>394</v>
      </c>
      <c r="B39" s="1094" t="s">
        <v>769</v>
      </c>
      <c r="C39" s="310">
        <f ca="1">C5-C30</f>
        <v>4016</v>
      </c>
      <c r="D39" s="1095" t="s">
        <v>770</v>
      </c>
      <c r="E39" s="1096"/>
      <c r="F39" s="1097"/>
      <c r="G39" s="1384"/>
      <c r="H39" s="2700"/>
      <c r="I39" s="1398"/>
      <c r="J39" s="1399"/>
      <c r="K39" s="2704"/>
      <c r="L39" s="2700"/>
      <c r="M39" s="2700"/>
    </row>
    <row r="40" spans="1:18" ht="18" customHeight="1">
      <c r="A40" s="299" t="s">
        <v>395</v>
      </c>
      <c r="B40" s="300" t="s">
        <v>771</v>
      </c>
      <c r="C40" s="301">
        <f ca="1">ROUND(C39*(1-((1+F42)/(1+F40))^F41)/(F40-F42),0)</f>
        <v>62059</v>
      </c>
      <c r="D40" s="324" t="s">
        <v>755</v>
      </c>
      <c r="E40" s="302" t="s">
        <v>756</v>
      </c>
      <c r="F40" s="312">
        <f ca="1">INDIRECT("'数据-取费表'!I"&amp;$G$1)</f>
        <v>0.06</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44.96</v>
      </c>
      <c r="G41" s="1384"/>
      <c r="H41" s="1191"/>
      <c r="I41" s="1398"/>
      <c r="J41" s="1399"/>
      <c r="K41" s="2544"/>
      <c r="L41" s="1191"/>
      <c r="M41" s="1191"/>
    </row>
    <row r="42" spans="1:18" ht="18" customHeight="1">
      <c r="A42" s="308"/>
      <c r="B42" s="309"/>
      <c r="C42" s="310"/>
      <c r="D42" s="327"/>
      <c r="E42" s="302" t="s">
        <v>763</v>
      </c>
      <c r="F42" s="312">
        <f ca="1">INDIRECT("'数据-取费表'!v"&amp;$G$1)</f>
        <v>0</v>
      </c>
      <c r="G42" s="1384"/>
      <c r="H42" s="1191"/>
      <c r="I42" s="1398"/>
      <c r="J42" s="1399"/>
      <c r="K42" s="2544"/>
      <c r="L42" s="1191"/>
      <c r="M42" s="1191"/>
    </row>
    <row r="43" spans="1:18" ht="18" customHeight="1" thickBot="1">
      <c r="A43" s="334" t="s">
        <v>396</v>
      </c>
      <c r="B43" s="335" t="s">
        <v>773</v>
      </c>
      <c r="C43" s="336">
        <f ca="1">ROUND(C40*10000/F43,0)</f>
        <v>18415</v>
      </c>
      <c r="D43" s="337" t="s">
        <v>774</v>
      </c>
      <c r="E43" s="338" t="s">
        <v>775</v>
      </c>
      <c r="F43" s="339">
        <f ca="1">INDIRECT("'数据-取费表'!k"&amp;$G$1)</f>
        <v>33700.31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805</v>
      </c>
      <c r="P45" s="1461"/>
      <c r="Q45" s="1461"/>
      <c r="R45" s="1461"/>
    </row>
    <row r="46" spans="1:18" s="1384" customFormat="1" ht="13.5" thickBot="1">
      <c r="A46" s="1404" t="s">
        <v>806</v>
      </c>
      <c r="C46" s="1405">
        <f ca="1">C68-C40</f>
        <v>-70450</v>
      </c>
      <c r="D46" s="1406" t="str">
        <f>C2</f>
        <v>万元</v>
      </c>
      <c r="E46" s="1400"/>
      <c r="F46" s="1400"/>
      <c r="I46" s="1407" t="s">
        <v>807</v>
      </c>
      <c r="J46" s="1408"/>
      <c r="K46" s="1409"/>
      <c r="L46" s="1410" t="str">
        <f ca="1">IF(M47="住宅",0,IF(L48&gt;J51,L60,J60))</f>
        <v>0</v>
      </c>
      <c r="O46" s="1411" t="s">
        <v>808</v>
      </c>
      <c r="P46" s="1412" t="s">
        <v>809</v>
      </c>
      <c r="Q46" s="1413" t="s">
        <v>810</v>
      </c>
      <c r="R46" s="1413" t="s">
        <v>811</v>
      </c>
    </row>
    <row r="47" spans="1:18" s="1384" customFormat="1" ht="13.5" thickBot="1">
      <c r="A47" s="946" t="s">
        <v>684</v>
      </c>
      <c r="B47" s="978" t="s">
        <v>685</v>
      </c>
      <c r="C47" s="1117" t="s">
        <v>686</v>
      </c>
      <c r="D47" s="978" t="s">
        <v>687</v>
      </c>
      <c r="E47" s="1058" t="s">
        <v>688</v>
      </c>
      <c r="F47" s="1059"/>
      <c r="G47" s="722"/>
      <c r="I47" s="1414" t="s">
        <v>812</v>
      </c>
      <c r="J47" s="1415" t="s">
        <v>3462</v>
      </c>
      <c r="K47" s="1416" t="s">
        <v>813</v>
      </c>
      <c r="L47" s="1417">
        <f ca="1">INDIRECT("'数据-取费表'!d"&amp;$G$1)</f>
        <v>50</v>
      </c>
      <c r="M47" s="1380" t="str">
        <f>IF(ISNUMBER(FIND("住宅",C1)),"住宅","非住宅")</f>
        <v>非住宅</v>
      </c>
      <c r="O47" s="1418" t="s">
        <v>403</v>
      </c>
      <c r="P47" s="1419" t="s">
        <v>814</v>
      </c>
      <c r="Q47" s="1420">
        <f ca="1">C40+J29</f>
        <v>62059</v>
      </c>
      <c r="R47" s="1420" t="s">
        <v>815</v>
      </c>
    </row>
    <row r="48" spans="1:18" s="1384" customFormat="1" ht="28.5" thickBot="1">
      <c r="A48" s="1110" t="s">
        <v>438</v>
      </c>
      <c r="B48" s="300" t="s">
        <v>689</v>
      </c>
      <c r="C48" s="1359">
        <f ca="1">C49+C53+C55</f>
        <v>0</v>
      </c>
      <c r="D48" s="1112"/>
      <c r="E48" s="1113"/>
      <c r="F48" s="962"/>
      <c r="G48" s="722"/>
      <c r="H48" s="723"/>
      <c r="I48" s="1421" t="s">
        <v>816</v>
      </c>
      <c r="J48" s="1422" t="s">
        <v>3463</v>
      </c>
      <c r="K48" s="1423" t="s">
        <v>817</v>
      </c>
      <c r="L48" s="1424">
        <f ca="1">INDIRECT("'数据-取费表'!f"&amp;$G$1)</f>
        <v>45.71</v>
      </c>
      <c r="O48" s="1418" t="s">
        <v>404</v>
      </c>
      <c r="P48" s="1419" t="s">
        <v>818</v>
      </c>
      <c r="Q48" s="1420" t="str">
        <f ca="1">J60</f>
        <v>0</v>
      </c>
      <c r="R48" s="1420" t="s">
        <v>819</v>
      </c>
    </row>
    <row r="49" spans="1:18" s="1384" customFormat="1" ht="13.5" thickBot="1">
      <c r="A49" s="975" t="s">
        <v>439</v>
      </c>
      <c r="B49" s="1371" t="s">
        <v>776</v>
      </c>
      <c r="C49" s="1114">
        <f ca="1">ROUND(F49*F51*F50*(1-F52)/10000,0)</f>
        <v>0</v>
      </c>
      <c r="D49" s="1055" t="s">
        <v>2106</v>
      </c>
      <c r="E49" s="1372" t="s">
        <v>777</v>
      </c>
      <c r="F49" s="1060"/>
      <c r="G49" s="1425"/>
      <c r="H49" s="723"/>
      <c r="I49" s="1421" t="s">
        <v>820</v>
      </c>
      <c r="J49" s="1426">
        <v>2024</v>
      </c>
      <c r="K49" s="1423" t="s">
        <v>821</v>
      </c>
      <c r="L49" s="1427"/>
      <c r="O49" s="1428" t="s">
        <v>405</v>
      </c>
      <c r="P49" s="1419" t="s">
        <v>822</v>
      </c>
      <c r="Q49" s="1420">
        <f ca="1">C29</f>
        <v>49361</v>
      </c>
      <c r="R49" s="1420" t="s">
        <v>815</v>
      </c>
    </row>
    <row r="50" spans="1:18" s="1384" customFormat="1" ht="13.5" thickBot="1">
      <c r="A50" s="976"/>
      <c r="B50" s="979"/>
      <c r="C50" s="1118"/>
      <c r="D50" s="953"/>
      <c r="E50" s="1056" t="s">
        <v>694</v>
      </c>
      <c r="F50" s="1057">
        <f ca="1">F7</f>
        <v>33700.31</v>
      </c>
      <c r="H50" s="723"/>
      <c r="I50" s="1421" t="s">
        <v>823</v>
      </c>
      <c r="J50" s="1429">
        <f>SUMPRODUCT((I63:I65=J47)*(J62:L62=J48)*(J63:L65))</f>
        <v>60</v>
      </c>
      <c r="K50" s="1423" t="s">
        <v>824</v>
      </c>
      <c r="L50" s="1427"/>
      <c r="M50" s="1430"/>
      <c r="O50" s="1428" t="s">
        <v>406</v>
      </c>
      <c r="P50" s="1419" t="s">
        <v>825</v>
      </c>
      <c r="Q50" s="1431" t="e">
        <f ca="1">J58</f>
        <v>#VALUE!</v>
      </c>
      <c r="R50" s="1420"/>
    </row>
    <row r="51" spans="1:18" s="1384" customFormat="1" ht="13.5" thickBot="1">
      <c r="A51" s="977"/>
      <c r="B51" s="979"/>
      <c r="C51" s="980"/>
      <c r="D51" s="953"/>
      <c r="E51" s="981" t="s">
        <v>695</v>
      </c>
      <c r="F51" s="303">
        <f ca="1">F8</f>
        <v>365</v>
      </c>
      <c r="I51" s="1432" t="s">
        <v>826</v>
      </c>
      <c r="J51" s="1433">
        <f>IF(J49="",J50,J49+J50-YEAR('数据-取费表'!B2))</f>
        <v>61</v>
      </c>
      <c r="K51" s="1434" t="s">
        <v>827</v>
      </c>
      <c r="L51" s="1435">
        <f ca="1">ROUND(-PV(INDIRECT("'数据-取费表'!h"&amp;$G$1),J51,(C39-C13*C76),0),0)</f>
        <v>9806</v>
      </c>
      <c r="M51" s="1436"/>
      <c r="O51" s="1428" t="s">
        <v>407</v>
      </c>
      <c r="P51" s="1419" t="s">
        <v>828</v>
      </c>
      <c r="Q51" s="1431">
        <f>J52</f>
        <v>7.4999999999999997E-2</v>
      </c>
      <c r="R51" s="1420"/>
    </row>
    <row r="52" spans="1:18" s="1384" customFormat="1" ht="13.5" thickBot="1">
      <c r="A52" s="977"/>
      <c r="B52" s="979"/>
      <c r="C52" s="980"/>
      <c r="D52" s="953"/>
      <c r="E52" s="981" t="s">
        <v>696</v>
      </c>
      <c r="F52" s="1054"/>
      <c r="I52" s="1437" t="s">
        <v>829</v>
      </c>
      <c r="J52" s="1438">
        <v>7.4999999999999997E-2</v>
      </c>
      <c r="K52" s="1437" t="s">
        <v>830</v>
      </c>
      <c r="L52" s="1438"/>
      <c r="O52" s="1428" t="s">
        <v>408</v>
      </c>
      <c r="P52" s="1419" t="s">
        <v>831</v>
      </c>
      <c r="Q52" s="1420">
        <f ca="1">J53</f>
        <v>44.96</v>
      </c>
      <c r="R52" s="1420" t="s">
        <v>832</v>
      </c>
    </row>
    <row r="53" spans="1:18" s="1384" customFormat="1" ht="24.75" thickBot="1">
      <c r="A53" s="1152" t="s">
        <v>440</v>
      </c>
      <c r="B53" s="1373" t="s">
        <v>697</v>
      </c>
      <c r="C53" s="316">
        <f ca="1">ROUND(IF(F53="押一",C49/12*F11,IF(F53="押二",C49/12*2*F11,IF(F53="押三",C49/12*3*F11,C54*F11))),0)</f>
        <v>0</v>
      </c>
      <c r="D53" s="1366" t="s">
        <v>2112</v>
      </c>
      <c r="E53" s="313" t="s">
        <v>698</v>
      </c>
      <c r="F53" s="1116"/>
      <c r="I53" s="1439" t="s">
        <v>833</v>
      </c>
      <c r="J53" s="2168">
        <f ca="1">IF(M47="住宅",IF(D1="——",MAX(J51,L48),MAX(J51,L48-'数据-取费表'!B24)),IF(D1="——",MIN(J51,L48),MIN(J51,L48-'数据-取费表'!B24)))</f>
        <v>44.96</v>
      </c>
      <c r="K53" s="3672" t="s">
        <v>834</v>
      </c>
      <c r="L53" s="3673"/>
      <c r="O53" s="1418" t="s">
        <v>409</v>
      </c>
      <c r="P53" s="1419" t="s">
        <v>835</v>
      </c>
      <c r="Q53" s="1420">
        <f ca="1">Q47+Q48</f>
        <v>62059</v>
      </c>
      <c r="R53" s="1420" t="s">
        <v>410</v>
      </c>
    </row>
    <row r="54" spans="1:18" s="1384" customFormat="1" ht="13.5" thickBot="1">
      <c r="A54" s="1153"/>
      <c r="B54" s="1367" t="s">
        <v>676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t="e">
        <f ca="1">ROUND(IF(J47="钢混",J57/J50,1-(1-2%)*(J50-J57)/J50),3)</f>
        <v>#VALUE!</v>
      </c>
      <c r="K55" s="1445" t="s">
        <v>838</v>
      </c>
      <c r="L55" s="1446"/>
      <c r="O55" s="1411" t="s">
        <v>808</v>
      </c>
      <c r="P55" s="1412" t="s">
        <v>809</v>
      </c>
      <c r="Q55" s="1413" t="s">
        <v>810</v>
      </c>
      <c r="R55" s="1413" t="s">
        <v>811</v>
      </c>
    </row>
    <row r="56" spans="1:18" s="1384" customFormat="1" ht="25.5" thickTop="1" thickBot="1">
      <c r="A56" s="957">
        <v>2</v>
      </c>
      <c r="B56" s="958" t="s">
        <v>701</v>
      </c>
      <c r="C56" s="232">
        <f ca="1">C13</f>
        <v>49361</v>
      </c>
      <c r="D56" s="1447"/>
      <c r="E56" s="1448"/>
      <c r="F56" s="1440"/>
      <c r="I56" s="1449" t="s">
        <v>839</v>
      </c>
      <c r="J56" s="1450" t="s">
        <v>3451</v>
      </c>
      <c r="K56" s="1421" t="s">
        <v>840</v>
      </c>
      <c r="L56" s="1424" t="str">
        <f ca="1">IF(L48&lt;J51,"——",L48-J53)</f>
        <v>——</v>
      </c>
      <c r="O56" s="1418" t="s">
        <v>403</v>
      </c>
      <c r="P56" s="1419" t="s">
        <v>814</v>
      </c>
      <c r="Q56" s="1420">
        <f ca="1">C40+J29</f>
        <v>62059</v>
      </c>
      <c r="R56" s="1420" t="s">
        <v>815</v>
      </c>
    </row>
    <row r="57" spans="1:18" s="1384" customFormat="1" ht="24.75" thickBot="1">
      <c r="A57" s="1451"/>
      <c r="B57" s="950" t="s">
        <v>764</v>
      </c>
      <c r="C57" s="238">
        <f ca="1">C29</f>
        <v>49361</v>
      </c>
      <c r="D57" s="1452"/>
      <c r="E57" s="1453"/>
      <c r="F57" s="1454"/>
      <c r="I57" s="1455" t="s">
        <v>841</v>
      </c>
      <c r="J57" s="1456" t="str">
        <f ca="1">IF(OR(M47="住宅",J51&lt;L48,J56="是"),"——",J51-L48)</f>
        <v>——</v>
      </c>
      <c r="K57" s="1421" t="s">
        <v>842</v>
      </c>
      <c r="L57" s="1424" t="str">
        <f ca="1">IF(L48&lt;J51,"——",IF(L55="比较法",L49,IF(L55="基准地价",L50,L51)))</f>
        <v>——</v>
      </c>
      <c r="O57" s="1418" t="s">
        <v>404</v>
      </c>
      <c r="P57" s="1419" t="s">
        <v>843</v>
      </c>
      <c r="Q57" s="1420">
        <f ca="1">L60</f>
        <v>0</v>
      </c>
      <c r="R57" s="1420" t="s">
        <v>844</v>
      </c>
    </row>
    <row r="58" spans="1:18" s="1384" customFormat="1" ht="24.75" thickBot="1">
      <c r="A58" s="315" t="s">
        <v>393</v>
      </c>
      <c r="B58" s="958" t="s">
        <v>711</v>
      </c>
      <c r="C58" s="316">
        <f ca="1">ROUND(C59+C64+C65+C66,0)</f>
        <v>543</v>
      </c>
      <c r="D58" s="960" t="s">
        <v>712</v>
      </c>
      <c r="E58" s="961"/>
      <c r="F58" s="962"/>
      <c r="I58" s="1455" t="s">
        <v>845</v>
      </c>
      <c r="J58" s="1457" t="e">
        <f ca="1">IF(J55&lt;0.4,0.4,J55)</f>
        <v>#VALUE!</v>
      </c>
      <c r="K58" s="1434" t="s">
        <v>846</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IF(项目基本情况!B11="自然人","——",ROUND(C48*F60/(1+'数据-取费表'!C42),2))</f>
        <v>0</v>
      </c>
      <c r="D60" s="964" t="s">
        <v>721</v>
      </c>
      <c r="E60" s="950" t="s">
        <v>709</v>
      </c>
      <c r="F60" s="331">
        <f t="shared" ref="F60:F66" si="0">F32</f>
        <v>5.6000000000000001E-2</v>
      </c>
      <c r="I60" s="1458" t="s">
        <v>850</v>
      </c>
      <c r="J60" s="1459" t="str">
        <f ca="1">IF(OR(M47="住宅",J51&lt;L48,J56="是"),"0",ROUND(J59/(1+J52)^J53,0))</f>
        <v>0</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IF(项目基本情况!B11="自然人","——",IF(D61="按租金收入计税",ROUND(C49*F61/(1+'数据-取费表'!C42),2),IF(D61="按房产原值计税",ROUND(C57*F61*0.7,2),INDIRECT("'数据-取费表'!Aj"&amp;$G$1))))</f>
        <v>0</v>
      </c>
      <c r="D61" s="1370" t="s">
        <v>3337</v>
      </c>
      <c r="E61" s="950" t="s">
        <v>780</v>
      </c>
      <c r="F61" s="322">
        <f t="shared" si="0"/>
        <v>0.12</v>
      </c>
      <c r="I61" s="1461"/>
      <c r="J61" s="1461"/>
      <c r="K61" s="1461"/>
      <c r="L61" s="1461"/>
      <c r="O61" s="1428" t="s">
        <v>408</v>
      </c>
      <c r="P61" s="1419" t="str">
        <f>K59</f>
        <v>续建工期及建筑物耐用年限下的土地年期修正系数Kn</v>
      </c>
      <c r="Q61" s="1420" t="e">
        <f ca="1">L59</f>
        <v>#DIV/0!</v>
      </c>
      <c r="R61" s="1420" t="s">
        <v>854</v>
      </c>
    </row>
    <row r="62" spans="1:18" s="1384" customFormat="1" ht="13.5" thickBot="1">
      <c r="A62" s="982" t="s">
        <v>781</v>
      </c>
      <c r="B62" s="949" t="s">
        <v>782</v>
      </c>
      <c r="C62" s="22">
        <f ca="1">IF(项目基本情况!B11="自然人","——",ROUND(F62*F63/10000,2))</f>
        <v>0</v>
      </c>
      <c r="D62" s="965" t="s">
        <v>783</v>
      </c>
      <c r="E62" s="950" t="s">
        <v>784</v>
      </c>
      <c r="F62" s="325">
        <f t="shared" si="0"/>
        <v>0</v>
      </c>
      <c r="I62" s="1462" t="s">
        <v>855</v>
      </c>
      <c r="J62" s="1463" t="s">
        <v>856</v>
      </c>
      <c r="K62" s="1463" t="s">
        <v>857</v>
      </c>
      <c r="L62" s="1463" t="s">
        <v>858</v>
      </c>
      <c r="M62" s="1464" t="s">
        <v>859</v>
      </c>
      <c r="O62" s="1418" t="s">
        <v>409</v>
      </c>
      <c r="P62" s="1419" t="s">
        <v>860</v>
      </c>
      <c r="Q62" s="1420">
        <f ca="1">Q56+Q57</f>
        <v>62059</v>
      </c>
      <c r="R62" s="1420" t="s">
        <v>410</v>
      </c>
    </row>
    <row r="63" spans="1:18" s="1384" customFormat="1" ht="13.5" thickBot="1">
      <c r="A63" s="326"/>
      <c r="B63" s="956"/>
      <c r="C63" s="26"/>
      <c r="D63" s="966"/>
      <c r="E63" s="950" t="s">
        <v>785</v>
      </c>
      <c r="F63" s="303">
        <f t="shared" ca="1" si="0"/>
        <v>30808.699999999997</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ROUND(C57*F64,2)</f>
        <v>493.61</v>
      </c>
      <c r="D64" s="964" t="s">
        <v>788</v>
      </c>
      <c r="E64" s="950" t="s">
        <v>780</v>
      </c>
      <c r="F64" s="328">
        <f t="shared" ca="1" si="0"/>
        <v>0.01</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ROUND(C56*F65,2)</f>
        <v>49.36</v>
      </c>
      <c r="D65" s="964" t="s">
        <v>740</v>
      </c>
      <c r="E65" s="950" t="s">
        <v>741</v>
      </c>
      <c r="F65" s="330">
        <f t="shared" ca="1" si="0"/>
        <v>1E-3</v>
      </c>
      <c r="I65" s="1462" t="s">
        <v>864</v>
      </c>
      <c r="J65" s="1463">
        <v>40</v>
      </c>
      <c r="K65" s="1463">
        <v>30</v>
      </c>
      <c r="L65" s="1463">
        <v>50</v>
      </c>
      <c r="M65" s="1465">
        <v>0.02</v>
      </c>
      <c r="O65" s="1418" t="s">
        <v>403</v>
      </c>
      <c r="P65" s="1419" t="s">
        <v>865</v>
      </c>
      <c r="Q65" s="1420">
        <f ca="1">C40+J29</f>
        <v>62059</v>
      </c>
      <c r="R65" s="1420" t="s">
        <v>815</v>
      </c>
    </row>
    <row r="66" spans="1:18" s="1384" customFormat="1" ht="16.5" thickBot="1">
      <c r="A66" s="982" t="s">
        <v>790</v>
      </c>
      <c r="B66" s="950" t="s">
        <v>725</v>
      </c>
      <c r="C66" s="21">
        <f ca="1">ROUND(C48*F66,2)</f>
        <v>0</v>
      </c>
      <c r="D66" s="964" t="s">
        <v>791</v>
      </c>
      <c r="E66" s="950" t="s">
        <v>709</v>
      </c>
      <c r="F66" s="312">
        <f t="shared" ca="1" si="0"/>
        <v>0.01</v>
      </c>
      <c r="O66" s="1418" t="s">
        <v>404</v>
      </c>
      <c r="P66" s="1419" t="s">
        <v>843</v>
      </c>
      <c r="Q66" s="1420">
        <f ca="1">L60</f>
        <v>0</v>
      </c>
      <c r="R66" s="1420" t="s">
        <v>866</v>
      </c>
    </row>
    <row r="67" spans="1:18" s="1384" customFormat="1" ht="16.5" thickBot="1">
      <c r="A67" s="957" t="s">
        <v>394</v>
      </c>
      <c r="B67" s="967" t="s">
        <v>749</v>
      </c>
      <c r="C67" s="316">
        <f ca="1">C48-C58</f>
        <v>-543</v>
      </c>
      <c r="D67" s="963" t="s">
        <v>750</v>
      </c>
      <c r="E67" s="968"/>
      <c r="F67" s="969"/>
      <c r="O67" s="1428" t="s">
        <v>405</v>
      </c>
      <c r="P67" s="1419" t="s">
        <v>847</v>
      </c>
      <c r="Q67" s="1466">
        <f ca="1">L51</f>
        <v>9806</v>
      </c>
      <c r="R67" s="1420" t="s">
        <v>867</v>
      </c>
    </row>
    <row r="68" spans="1:18" s="1384" customFormat="1" ht="16.5" thickBot="1">
      <c r="A68" s="947" t="s">
        <v>395</v>
      </c>
      <c r="B68" s="948" t="s">
        <v>771</v>
      </c>
      <c r="C68" s="301">
        <f ca="1">ROUND(C67*(1-((1+F70)/(1+F68))^F69)/(F68-F70),0)</f>
        <v>-8391</v>
      </c>
      <c r="D68" s="965" t="s">
        <v>755</v>
      </c>
      <c r="E68" s="950" t="s">
        <v>756</v>
      </c>
      <c r="F68" s="312">
        <f ca="1">F40</f>
        <v>0.06</v>
      </c>
      <c r="O68" s="1428" t="s">
        <v>406</v>
      </c>
      <c r="P68" s="1467" t="s">
        <v>868</v>
      </c>
      <c r="Q68" s="1420">
        <f ca="1">ROUND(Q69-Q70*Q71,0)</f>
        <v>561</v>
      </c>
      <c r="R68" s="1420" t="s">
        <v>414</v>
      </c>
    </row>
    <row r="69" spans="1:18" s="1384" customFormat="1" ht="13.5" thickBot="1">
      <c r="A69" s="951"/>
      <c r="B69" s="952"/>
      <c r="C69" s="306"/>
      <c r="D69" s="970" t="s">
        <v>759</v>
      </c>
      <c r="E69" s="950" t="s">
        <v>760</v>
      </c>
      <c r="F69" s="333">
        <f ca="1">F41</f>
        <v>44.96</v>
      </c>
      <c r="O69" s="1428" t="s">
        <v>411</v>
      </c>
      <c r="P69" s="1467" t="s">
        <v>869</v>
      </c>
      <c r="Q69" s="1420">
        <f ca="1">C39</f>
        <v>4016</v>
      </c>
      <c r="R69" s="1420" t="s">
        <v>815</v>
      </c>
    </row>
    <row r="70" spans="1:18" s="1384" customFormat="1" ht="13.5" thickBot="1">
      <c r="A70" s="954"/>
      <c r="B70" s="955"/>
      <c r="C70" s="310"/>
      <c r="D70" s="966"/>
      <c r="E70" s="950" t="s">
        <v>763</v>
      </c>
      <c r="F70" s="1054"/>
      <c r="O70" s="1428" t="s">
        <v>412</v>
      </c>
      <c r="P70" s="1467" t="s">
        <v>870</v>
      </c>
      <c r="Q70" s="1420">
        <f ca="1">C13</f>
        <v>49361</v>
      </c>
      <c r="R70" s="1420" t="s">
        <v>815</v>
      </c>
    </row>
    <row r="71" spans="1:18" s="1384" customFormat="1" ht="13.5" thickBot="1">
      <c r="A71" s="971" t="s">
        <v>396</v>
      </c>
      <c r="B71" s="972" t="s">
        <v>773</v>
      </c>
      <c r="C71" s="336">
        <f ca="1">ROUND(C68*10000/F71,0)</f>
        <v>-2490</v>
      </c>
      <c r="D71" s="973" t="s">
        <v>774</v>
      </c>
      <c r="E71" s="974" t="s">
        <v>775</v>
      </c>
      <c r="F71" s="339">
        <f ca="1">F43</f>
        <v>33700.31</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续建工期及建筑物耐用年限下的土地年期修正系数Kn</v>
      </c>
      <c r="Q74" s="1420" t="e">
        <f ca="1">L59</f>
        <v>#DIV/0!</v>
      </c>
      <c r="R74" s="1420" t="s">
        <v>854</v>
      </c>
    </row>
    <row r="75" spans="1:18" ht="13.5" thickBot="1">
      <c r="A75" s="1384"/>
      <c r="B75" s="340" t="s">
        <v>792</v>
      </c>
      <c r="C75" s="341">
        <f ca="1">ROUND(C13*C76,0)</f>
        <v>3455</v>
      </c>
      <c r="D75" s="1384"/>
      <c r="E75" s="1384"/>
      <c r="F75" s="1384"/>
      <c r="K75" s="1402"/>
      <c r="L75" s="1384"/>
      <c r="O75" s="1418" t="s">
        <v>409</v>
      </c>
      <c r="P75" s="1419" t="s">
        <v>835</v>
      </c>
      <c r="Q75" s="1420">
        <f ca="1">Q65+Q66</f>
        <v>62059</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0.14000000000000001</v>
      </c>
    </row>
    <row r="80" spans="1:18">
      <c r="B80" s="340" t="s">
        <v>797</v>
      </c>
      <c r="C80" s="274">
        <f ca="1">ROUND(C75/C39,3)</f>
        <v>0.86</v>
      </c>
    </row>
    <row r="81" spans="2:3">
      <c r="B81" s="270" t="s">
        <v>798</v>
      </c>
      <c r="C81" s="238"/>
    </row>
    <row r="82" spans="2:3">
      <c r="B82" s="273" t="s">
        <v>799</v>
      </c>
      <c r="C82" s="275">
        <f ca="1">1-C83</f>
        <v>0.20499999999999996</v>
      </c>
    </row>
    <row r="83" spans="2:3">
      <c r="B83" s="273" t="s">
        <v>800</v>
      </c>
      <c r="C83" s="274">
        <f ca="1">ROUND(C13/C40,3)</f>
        <v>0.79500000000000004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c r="D1" s="1362" t="s">
        <v>43</v>
      </c>
      <c r="E1" s="1363" t="s">
        <v>675</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875</v>
      </c>
      <c r="B2" s="3425" t="e">
        <f ca="1">ROUND(D2/10000,4)</f>
        <v>#DIV/0!</v>
      </c>
      <c r="C2" s="1387" t="s">
        <v>876</v>
      </c>
      <c r="D2" s="1471" t="e">
        <f ca="1">C40+J29+L46</f>
        <v>#DIV/0!</v>
      </c>
      <c r="E2" s="1388" t="s">
        <v>877</v>
      </c>
      <c r="F2" s="1389"/>
      <c r="G2" s="2706"/>
      <c r="H2" s="2695"/>
      <c r="I2" s="2695"/>
      <c r="J2" s="2695"/>
      <c r="K2" s="2696"/>
      <c r="L2" s="2695"/>
      <c r="M2" s="2695"/>
    </row>
    <row r="3" spans="1:37" ht="18" customHeight="1" thickBot="1">
      <c r="A3" s="1390" t="s">
        <v>878</v>
      </c>
      <c r="B3" s="1391">
        <f ca="1">IF(ISERROR(D2/F43),0,ROUND(D2/F43,0))</f>
        <v>0</v>
      </c>
      <c r="C3" s="1387" t="s">
        <v>879</v>
      </c>
      <c r="D3" s="1387"/>
      <c r="E3" s="1388"/>
      <c r="F3" s="1389"/>
      <c r="G3" s="2706"/>
      <c r="H3" s="683" t="s">
        <v>873</v>
      </c>
      <c r="I3" s="1382"/>
      <c r="J3" s="1382"/>
      <c r="K3" s="1383"/>
      <c r="L3" s="1382"/>
      <c r="M3" s="1382"/>
    </row>
    <row r="4" spans="1:37" ht="18" customHeight="1">
      <c r="A4" s="295" t="s">
        <v>880</v>
      </c>
      <c r="B4" s="296" t="s">
        <v>881</v>
      </c>
      <c r="C4" s="296" t="s">
        <v>882</v>
      </c>
      <c r="D4" s="296" t="s">
        <v>883</v>
      </c>
      <c r="E4" s="297" t="s">
        <v>884</v>
      </c>
      <c r="F4" s="298"/>
      <c r="G4" s="1384"/>
      <c r="H4" s="295" t="s">
        <v>880</v>
      </c>
      <c r="I4" s="296" t="s">
        <v>881</v>
      </c>
      <c r="J4" s="296" t="s">
        <v>882</v>
      </c>
      <c r="K4" s="296" t="s">
        <v>883</v>
      </c>
      <c r="L4" s="297" t="s">
        <v>884</v>
      </c>
      <c r="M4" s="298"/>
    </row>
    <row r="5" spans="1:37" ht="18" customHeight="1">
      <c r="A5" s="299">
        <v>1</v>
      </c>
      <c r="B5" s="300" t="s">
        <v>885</v>
      </c>
      <c r="C5" s="1070">
        <f ca="1">C6+C10+C12</f>
        <v>0</v>
      </c>
      <c r="D5" s="1364" t="s">
        <v>886</v>
      </c>
      <c r="E5" s="1071"/>
      <c r="F5" s="1072"/>
      <c r="G5" s="1384"/>
      <c r="H5" s="299">
        <v>1</v>
      </c>
      <c r="I5" s="300" t="s">
        <v>885</v>
      </c>
      <c r="J5" s="1070">
        <f ca="1">J6+J10+J12</f>
        <v>0</v>
      </c>
      <c r="K5" s="1364" t="s">
        <v>886</v>
      </c>
      <c r="L5" s="1071"/>
      <c r="M5" s="1072"/>
    </row>
    <row r="6" spans="1:37" ht="18" customHeight="1">
      <c r="A6" s="1069" t="s">
        <v>398</v>
      </c>
      <c r="B6" s="3674" t="s">
        <v>691</v>
      </c>
      <c r="C6" s="1074">
        <f ca="1">ROUND(F6*F8*F7*(1-F9),0)</f>
        <v>0</v>
      </c>
      <c r="D6" s="155" t="s">
        <v>2102</v>
      </c>
      <c r="E6" s="302" t="s">
        <v>693</v>
      </c>
      <c r="F6" s="303">
        <f ca="1">INDIRECT("'数据-取费表'!u"&amp;$G$1)</f>
        <v>0</v>
      </c>
      <c r="G6" s="1384"/>
      <c r="H6" s="1069" t="s">
        <v>398</v>
      </c>
      <c r="I6" s="3674" t="s">
        <v>691</v>
      </c>
      <c r="J6" s="301">
        <f ca="1">ROUND(M6*M8*M7*(1-M9),0)</f>
        <v>0</v>
      </c>
      <c r="K6" s="1376" t="s">
        <v>2103</v>
      </c>
      <c r="L6" s="302" t="s">
        <v>693</v>
      </c>
      <c r="M6" s="303">
        <f ca="1">INDIRECT("'数据-取费表'!z"&amp;$G$1)</f>
        <v>0</v>
      </c>
    </row>
    <row r="7" spans="1:37" ht="18" customHeight="1">
      <c r="A7" s="1073"/>
      <c r="B7" s="3675"/>
      <c r="C7" s="1075"/>
      <c r="D7" s="307"/>
      <c r="E7" s="1076" t="s">
        <v>694</v>
      </c>
      <c r="F7" s="303">
        <f ca="1">IF(INDIRECT("'数据-取费表'!ah"&amp;$G$1)="",INDIRECT("'数据-取费表'!k"&amp;$G$1),INDIRECT("'数据-取费表'!ah"&amp;$G$1))</f>
        <v>0</v>
      </c>
      <c r="G7" s="1384"/>
      <c r="H7" s="304"/>
      <c r="I7" s="3675"/>
      <c r="J7" s="306"/>
      <c r="K7" s="307"/>
      <c r="L7" s="302" t="s">
        <v>694</v>
      </c>
      <c r="M7" s="303">
        <f ca="1">F7</f>
        <v>0</v>
      </c>
    </row>
    <row r="8" spans="1:37" ht="18" customHeight="1">
      <c r="A8" s="304"/>
      <c r="B8" s="3675"/>
      <c r="C8" s="306"/>
      <c r="D8" s="307"/>
      <c r="E8" s="302" t="s">
        <v>695</v>
      </c>
      <c r="F8" s="303">
        <f ca="1">INDIRECT("'数据-取费表'!ai"&amp;$G$1)</f>
        <v>0</v>
      </c>
      <c r="G8" s="1384"/>
      <c r="H8" s="304"/>
      <c r="I8" s="3675"/>
      <c r="J8" s="306"/>
      <c r="K8" s="307"/>
      <c r="L8" s="302" t="s">
        <v>695</v>
      </c>
      <c r="M8" s="303">
        <f ca="1">INDIRECT("'数据-取费表'!ai"&amp;$G$1)</f>
        <v>0</v>
      </c>
    </row>
    <row r="9" spans="1:37" ht="18" customHeight="1">
      <c r="A9" s="304"/>
      <c r="B9" s="3676"/>
      <c r="C9" s="306"/>
      <c r="D9" s="307"/>
      <c r="E9" s="302" t="s">
        <v>696</v>
      </c>
      <c r="F9" s="312">
        <f ca="1">INDIRECT("'数据-取费表'!w"&amp;$G$1)</f>
        <v>0</v>
      </c>
      <c r="G9" s="1384"/>
      <c r="H9" s="304"/>
      <c r="I9" s="3676"/>
      <c r="J9" s="306"/>
      <c r="K9" s="307"/>
      <c r="L9" s="313" t="s">
        <v>696</v>
      </c>
      <c r="M9" s="314">
        <f ca="1">INDIRECT("'数据-取费表'!ab"&amp;$G$1)</f>
        <v>0</v>
      </c>
    </row>
    <row r="10" spans="1:37" ht="18" customHeight="1">
      <c r="A10" s="1069" t="s">
        <v>402</v>
      </c>
      <c r="B10" s="1365" t="s">
        <v>697</v>
      </c>
      <c r="C10" s="316">
        <f ca="1">ROUND(IF(F10="押一",C6/12*F11,IF(F10="押二",C6/12*2*F11,IF(F10="押三",C6/12*3*F11,C11*F11))),0)</f>
        <v>0</v>
      </c>
      <c r="D10" s="1366" t="s">
        <v>2112</v>
      </c>
      <c r="E10" s="313" t="s">
        <v>698</v>
      </c>
      <c r="F10" s="1116"/>
      <c r="G10" s="1384"/>
      <c r="H10" s="1069" t="s">
        <v>402</v>
      </c>
      <c r="I10" s="1365" t="s">
        <v>697</v>
      </c>
      <c r="J10" s="301">
        <f ca="1">ROUND(IF(M10="押一",J6/12*M11,IF(M10="押二",J6/12*2*M11,IF(M10="押三",J6/12*3*M11,J11*M11))),0)</f>
        <v>0</v>
      </c>
      <c r="K10" s="1377" t="s">
        <v>2114</v>
      </c>
      <c r="L10" s="313" t="s">
        <v>698</v>
      </c>
      <c r="M10" s="1116"/>
    </row>
    <row r="11" spans="1:37" ht="18" customHeight="1">
      <c r="A11" s="308"/>
      <c r="B11" s="1367" t="s">
        <v>887</v>
      </c>
      <c r="C11" s="959"/>
      <c r="D11" s="307"/>
      <c r="E11" s="313" t="s">
        <v>699</v>
      </c>
      <c r="F11" s="314">
        <f ca="1">'数据-取费表'!B39</f>
        <v>1.4999999999999999E-2</v>
      </c>
      <c r="G11" s="1384"/>
      <c r="H11" s="1077"/>
      <c r="I11" s="1367" t="s">
        <v>888</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0</v>
      </c>
      <c r="D13" s="1081" t="s">
        <v>702</v>
      </c>
      <c r="E13" s="1081" t="s">
        <v>703</v>
      </c>
      <c r="F13" s="1082">
        <f ca="1">INDIRECT("'数据-取费表'!y"&amp;$G$1)</f>
        <v>0</v>
      </c>
      <c r="G13" s="1384"/>
      <c r="H13" s="1079">
        <v>2</v>
      </c>
      <c r="I13" s="1080" t="s">
        <v>701</v>
      </c>
      <c r="J13" s="1068">
        <f ca="1">ROUND(J14*J15,0)</f>
        <v>0</v>
      </c>
      <c r="K13" s="1087" t="s">
        <v>702</v>
      </c>
      <c r="L13" s="1392"/>
      <c r="M13" s="1393"/>
    </row>
    <row r="14" spans="1:37" ht="18" customHeight="1">
      <c r="A14" s="982" t="s">
        <v>397</v>
      </c>
      <c r="B14" s="302" t="s">
        <v>704</v>
      </c>
      <c r="C14" s="318">
        <f ca="1">ROUND(INDIRECT("'数据-取费表'!l"&amp;$G$1)*F43+'数据-取费表'!L14*INDIRECT("'数据-取费表'!S"&amp;$G$1),0)</f>
        <v>0</v>
      </c>
      <c r="D14" s="1345" t="s">
        <v>705</v>
      </c>
      <c r="E14" s="1342"/>
      <c r="F14" s="319"/>
      <c r="G14" s="1384"/>
      <c r="H14" s="982" t="s">
        <v>398</v>
      </c>
      <c r="I14" s="302" t="s">
        <v>706</v>
      </c>
      <c r="J14" s="21">
        <f ca="1">C29</f>
        <v>0</v>
      </c>
      <c r="K14" s="12"/>
      <c r="L14" s="807"/>
      <c r="M14" s="808"/>
    </row>
    <row r="15" spans="1:37" s="1397" customFormat="1" ht="18" customHeight="1" thickBot="1">
      <c r="A15" s="982" t="s">
        <v>399</v>
      </c>
      <c r="B15" s="302" t="s">
        <v>707</v>
      </c>
      <c r="C15" s="21">
        <f ca="1">ROUND(C14*F15,0)</f>
        <v>0</v>
      </c>
      <c r="D15" s="320" t="s">
        <v>708</v>
      </c>
      <c r="E15" s="320" t="s">
        <v>709</v>
      </c>
      <c r="F15" s="321">
        <f>'数据-取费表'!B33</f>
        <v>0.04</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ROUND(INDIRECT("'数据-取费表'!l"&amp;$G$1)*F43*F16,0)</f>
        <v>0</v>
      </c>
      <c r="D16" s="302" t="s">
        <v>708</v>
      </c>
      <c r="E16" s="302" t="s">
        <v>709</v>
      </c>
      <c r="F16" s="322">
        <f ca="1">IF(INDIRECT("'数据-取费表'!c"&amp;$G$1)="住宅",'数据-取费表'!B34,0)</f>
        <v>0</v>
      </c>
      <c r="G16" s="1384"/>
      <c r="H16" s="1079" t="s">
        <v>393</v>
      </c>
      <c r="I16" s="1080" t="s">
        <v>711</v>
      </c>
      <c r="J16" s="310">
        <f ca="1">ROUND(J17+J22+J23+J24,0)</f>
        <v>0</v>
      </c>
      <c r="K16" s="1087" t="s">
        <v>712</v>
      </c>
      <c r="L16" s="1088"/>
      <c r="M16" s="1072"/>
    </row>
    <row r="17" spans="1:37" s="1397" customFormat="1" ht="18" customHeight="1">
      <c r="A17" s="982" t="s">
        <v>678</v>
      </c>
      <c r="B17" s="302" t="s">
        <v>713</v>
      </c>
      <c r="C17" s="21">
        <f ca="1">ROUND(F17*(F43+INDIRECT("'数据-取费表'!S"&amp;$G$1)),0)</f>
        <v>0</v>
      </c>
      <c r="D17" s="302" t="s">
        <v>714</v>
      </c>
      <c r="E17" s="302" t="s">
        <v>715</v>
      </c>
      <c r="F17" s="23">
        <f>'数据-取费表'!B35</f>
        <v>200</v>
      </c>
      <c r="G17" s="1396"/>
      <c r="H17" s="982" t="s">
        <v>398</v>
      </c>
      <c r="I17" s="302" t="s">
        <v>716</v>
      </c>
      <c r="J17" s="2316">
        <f ca="1">ROUND(IF(AND(项目基本情况!B11="自然人",项目基本情况!B10="北京市"),J6*M17/(1+'数据-取费表'!C42),J18+J19+J20),0)</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0</v>
      </c>
      <c r="D18" s="302" t="s">
        <v>708</v>
      </c>
      <c r="E18" s="302" t="s">
        <v>709</v>
      </c>
      <c r="F18" s="322">
        <f>'数据-取费表'!B36</f>
        <v>1.4999999999999999E-2</v>
      </c>
      <c r="G18" s="1396"/>
      <c r="H18" s="982" t="s">
        <v>397</v>
      </c>
      <c r="I18" s="302" t="s">
        <v>720</v>
      </c>
      <c r="J18" s="21">
        <f ca="1">ROUND(J6*M18/(1+'数据-取费表'!C42),0)</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0</v>
      </c>
      <c r="D19" s="131" t="s">
        <v>723</v>
      </c>
      <c r="E19" s="1360"/>
      <c r="F19" s="23"/>
      <c r="G19" s="1384"/>
      <c r="H19" s="982" t="s">
        <v>399</v>
      </c>
      <c r="I19" s="302" t="s">
        <v>724</v>
      </c>
      <c r="J19" s="21">
        <f ca="1">IF(K19="按租金收入计税",ROUND(J6*M19/(1+'数据-取费表'!C42),0),ROUND(C29*M19*0.7,0))</f>
        <v>0</v>
      </c>
      <c r="K19" s="1370" t="s">
        <v>3337</v>
      </c>
      <c r="L19" s="302" t="s">
        <v>709</v>
      </c>
      <c r="M19" s="322">
        <f>IF(K19="按租金收入计税",'数据-取费表'!B51,'数据-取费表'!B50)</f>
        <v>0.12</v>
      </c>
    </row>
    <row r="20" spans="1:37" s="1397" customFormat="1" ht="18" customHeight="1">
      <c r="A20" s="982" t="s">
        <v>402</v>
      </c>
      <c r="B20" s="302" t="s">
        <v>725</v>
      </c>
      <c r="C20" s="21">
        <f ca="1">ROUND(C19*F20,0)</f>
        <v>0</v>
      </c>
      <c r="D20" s="323" t="s">
        <v>726</v>
      </c>
      <c r="E20" s="302" t="s">
        <v>709</v>
      </c>
      <c r="F20" s="322">
        <f>'数据-取费表'!B37</f>
        <v>0.02</v>
      </c>
      <c r="G20" s="1396"/>
      <c r="H20" s="982" t="s">
        <v>677</v>
      </c>
      <c r="I20" s="155" t="s">
        <v>727</v>
      </c>
      <c r="J20" s="22">
        <f ca="1">ROUND(M20*M21,0)</f>
        <v>0</v>
      </c>
      <c r="K20" s="324" t="s">
        <v>728</v>
      </c>
      <c r="L20" s="302" t="s">
        <v>729</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0</v>
      </c>
      <c r="D21" s="323" t="s">
        <v>731</v>
      </c>
      <c r="E21" s="302" t="s">
        <v>732</v>
      </c>
      <c r="F21" s="322">
        <f>'数据-取费表'!B38</f>
        <v>0.02</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ROUND(J14*M22,0)</f>
        <v>0</v>
      </c>
      <c r="K22" s="1344" t="s">
        <v>736</v>
      </c>
      <c r="L22" s="302" t="s">
        <v>709</v>
      </c>
      <c r="M22" s="328">
        <f ca="1">INDIRECT("'数据-取费表'!Ak"&amp;$G$1)</f>
        <v>0</v>
      </c>
    </row>
    <row r="23" spans="1:37" s="1397" customFormat="1" ht="18" customHeight="1">
      <c r="A23" s="982"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3</v>
      </c>
      <c r="G23" s="1396"/>
      <c r="H23" s="982" t="s">
        <v>437</v>
      </c>
      <c r="I23" s="302" t="s">
        <v>739</v>
      </c>
      <c r="J23" s="21">
        <f ca="1">ROUND(J13*M23,0)</f>
        <v>0</v>
      </c>
      <c r="K23" s="1344" t="s">
        <v>740</v>
      </c>
      <c r="L23" s="302" t="s">
        <v>741</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1.2999999999999999E-3</v>
      </c>
      <c r="D24" s="329" t="str">
        <f>IF(F23&lt;=1,"销售费用×利率×(建设周期÷2)","销售费用×((1+利率)^(建设周期÷2)-1)")</f>
        <v>销售费用×((1+利率)^(建设周期÷2)-1)</v>
      </c>
      <c r="E24" s="302" t="s">
        <v>744</v>
      </c>
      <c r="F24" s="331">
        <f ca="1">'数据-取费表'!B40</f>
        <v>4.1499999999999995E-2</v>
      </c>
      <c r="G24" s="1396"/>
      <c r="H24" s="1089" t="s">
        <v>681</v>
      </c>
      <c r="I24" s="1090" t="s">
        <v>725</v>
      </c>
      <c r="J24" s="1091">
        <f ca="1">ROUND(J5*M24,0)</f>
        <v>0</v>
      </c>
      <c r="K24" s="1092" t="s">
        <v>745</v>
      </c>
      <c r="L24" s="1090" t="s">
        <v>741</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746</v>
      </c>
      <c r="B25" s="302" t="s">
        <v>747</v>
      </c>
      <c r="C25" s="21"/>
      <c r="D25" s="131" t="s">
        <v>748</v>
      </c>
      <c r="E25" s="1360"/>
      <c r="F25" s="23"/>
      <c r="G25" s="1384"/>
      <c r="H25" s="1079" t="s">
        <v>394</v>
      </c>
      <c r="I25" s="1094" t="s">
        <v>749</v>
      </c>
      <c r="J25" s="310">
        <f ca="1">J5-J16</f>
        <v>0</v>
      </c>
      <c r="K25" s="1095" t="s">
        <v>750</v>
      </c>
      <c r="L25" s="1096"/>
      <c r="M25" s="1097"/>
    </row>
    <row r="26" spans="1:37" ht="18" customHeight="1">
      <c r="A26" s="982" t="s">
        <v>397</v>
      </c>
      <c r="B26" s="302" t="s">
        <v>751</v>
      </c>
      <c r="C26" s="21">
        <f ca="1">ROUND((C19+C20)*F26,0)</f>
        <v>0</v>
      </c>
      <c r="D26" s="323" t="s">
        <v>752</v>
      </c>
      <c r="E26" s="313" t="s">
        <v>753</v>
      </c>
      <c r="F26" s="312">
        <f ca="1">INDIRECT("'数据-取费表'!q"&amp;$G$1)</f>
        <v>0</v>
      </c>
      <c r="G26" s="1384"/>
      <c r="H26" s="299" t="s">
        <v>395</v>
      </c>
      <c r="I26" s="300" t="s">
        <v>754</v>
      </c>
      <c r="J26" s="301">
        <f ca="1">IF(J5&lt;&gt;0,ROUND(J25*(1-((1+M28)/(1+M26))^M27)/(M26-M28),0),0)</f>
        <v>0</v>
      </c>
      <c r="K26" s="324" t="s">
        <v>755</v>
      </c>
      <c r="L26" s="302" t="s">
        <v>756</v>
      </c>
      <c r="M26" s="312">
        <f ca="1">INDIRECT("'数据-取费表'!I"&amp;$G$1)</f>
        <v>0</v>
      </c>
    </row>
    <row r="27" spans="1:37" ht="18" customHeight="1">
      <c r="A27" s="982" t="s">
        <v>399</v>
      </c>
      <c r="B27" s="302" t="s">
        <v>757</v>
      </c>
      <c r="C27" s="21">
        <f ca="1">ROUND(F21*F26,4)</f>
        <v>0</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0</v>
      </c>
      <c r="D29" s="1092"/>
      <c r="E29" s="1090"/>
      <c r="F29" s="1093"/>
      <c r="G29" s="1396"/>
      <c r="H29" s="334" t="s">
        <v>396</v>
      </c>
      <c r="I29" s="335" t="s">
        <v>765</v>
      </c>
      <c r="J29" s="336">
        <f ca="1">ROUND(J26/(1+F40)^F41,0)</f>
        <v>0</v>
      </c>
      <c r="K29" s="337" t="s">
        <v>766</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0</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ROUND(IF(AND(项目基本情况!B11="自然人",项目基本情况!B10="北京市"),C6*F31/(1+'数据-取费表'!C42),C32+C33+C34),0)</f>
        <v>0</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IF(项目基本情况!B11="自然人","——",ROUND(C6*F32/(1+'数据-取费表'!C42),0))</f>
        <v>0</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IF(项目基本情况!B11="自然人","——",IF(D33="按租金收入计税",ROUND(C6*F33/(1+'数据-取费表'!C42),0),IF(D33="按房产原值计税",ROUND(C29*F33*0.7,0),INDIRECT("'数据-取费表'!Aj"&amp;$G$1))))</f>
        <v>0</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IF(项目基本情况!B11="自然人","——",ROUND(F34*F35,0))</f>
        <v>0</v>
      </c>
      <c r="D34" s="324" t="s">
        <v>728</v>
      </c>
      <c r="E34" s="302" t="s">
        <v>729</v>
      </c>
      <c r="F34" s="325">
        <f>'数据-取费表'!B52</f>
        <v>0</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ROUND(C29*F36,0)</f>
        <v>0</v>
      </c>
      <c r="D36" s="1344" t="s">
        <v>768</v>
      </c>
      <c r="E36" s="302" t="s">
        <v>709</v>
      </c>
      <c r="F36" s="328">
        <f ca="1">INDIRECT("'数据-取费表'!Ak"&amp;$G$1)</f>
        <v>0</v>
      </c>
      <c r="G36" s="1384"/>
      <c r="H36" s="2700"/>
      <c r="I36" s="1398"/>
      <c r="J36" s="1399"/>
      <c r="K36" s="2544"/>
      <c r="L36" s="2700"/>
      <c r="M36" s="2700"/>
    </row>
    <row r="37" spans="1:18" ht="18" customHeight="1">
      <c r="A37" s="982" t="s">
        <v>437</v>
      </c>
      <c r="B37" s="302" t="s">
        <v>739</v>
      </c>
      <c r="C37" s="21">
        <f ca="1">ROUND(C13*F37,0)</f>
        <v>0</v>
      </c>
      <c r="D37" s="1344" t="s">
        <v>740</v>
      </c>
      <c r="E37" s="302" t="s">
        <v>741</v>
      </c>
      <c r="F37" s="330">
        <f ca="1">INDIRECT("'数据-取费表'!Al"&amp;$G$1)</f>
        <v>0</v>
      </c>
      <c r="G37" s="1384"/>
      <c r="H37" s="2700"/>
      <c r="I37" s="1398"/>
      <c r="J37" s="1399"/>
      <c r="K37" s="2544"/>
      <c r="L37" s="2700"/>
      <c r="M37" s="2700"/>
    </row>
    <row r="38" spans="1:18" ht="18" customHeight="1" thickBot="1">
      <c r="A38" s="1089" t="s">
        <v>681</v>
      </c>
      <c r="B38" s="1090" t="s">
        <v>725</v>
      </c>
      <c r="C38" s="1091">
        <f ca="1">ROUND(C5*F38,0)</f>
        <v>0</v>
      </c>
      <c r="D38" s="1092" t="s">
        <v>745</v>
      </c>
      <c r="E38" s="1090" t="s">
        <v>741</v>
      </c>
      <c r="F38" s="1086">
        <f ca="1">INDIRECT("'数据-取费表'!Am"&amp;$G$1)</f>
        <v>0</v>
      </c>
      <c r="G38" s="1384"/>
      <c r="H38" s="2700"/>
      <c r="I38" s="1398"/>
      <c r="J38" s="1399"/>
      <c r="K38" s="2704"/>
      <c r="L38" s="2700"/>
      <c r="M38" s="2700"/>
    </row>
    <row r="39" spans="1:18" ht="24.6" customHeight="1" thickTop="1">
      <c r="A39" s="1079" t="s">
        <v>394</v>
      </c>
      <c r="B39" s="1094" t="s">
        <v>769</v>
      </c>
      <c r="C39" s="310">
        <f ca="1">C5-C30</f>
        <v>0</v>
      </c>
      <c r="D39" s="1095" t="s">
        <v>770</v>
      </c>
      <c r="E39" s="1096"/>
      <c r="F39" s="1097"/>
      <c r="G39" s="1384"/>
      <c r="H39" s="2700"/>
      <c r="I39" s="1398"/>
      <c r="J39" s="1399"/>
      <c r="K39" s="2704"/>
      <c r="L39" s="2700"/>
      <c r="M39" s="2700"/>
    </row>
    <row r="40" spans="1:18" ht="18" customHeight="1">
      <c r="A40" s="299" t="s">
        <v>395</v>
      </c>
      <c r="B40" s="300" t="s">
        <v>771</v>
      </c>
      <c r="C40" s="301" t="e">
        <f ca="1">ROUND(C39*(1-((1+F42)/(1+F40))^F41)/(F40-F42),0)</f>
        <v>#DIV/0!</v>
      </c>
      <c r="D40" s="324" t="s">
        <v>755</v>
      </c>
      <c r="E40" s="302" t="s">
        <v>756</v>
      </c>
      <c r="F40" s="312">
        <f ca="1">INDIRECT("'数据-取费表'!I"&amp;$G$1)</f>
        <v>0</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763</v>
      </c>
      <c r="F42" s="312">
        <f ca="1">INDIRECT("'数据-取费表'!v"&amp;$G$1)</f>
        <v>0</v>
      </c>
      <c r="G42" s="1384"/>
      <c r="H42" s="1191"/>
      <c r="I42" s="1398"/>
      <c r="J42" s="1399"/>
      <c r="K42" s="2544"/>
      <c r="L42" s="1191"/>
      <c r="M42" s="1191"/>
    </row>
    <row r="43" spans="1:18" ht="18" customHeight="1" thickBot="1">
      <c r="A43" s="334" t="s">
        <v>396</v>
      </c>
      <c r="B43" s="335" t="s">
        <v>773</v>
      </c>
      <c r="C43" s="336" t="e">
        <f ca="1">ROUND(C40/F43,0)</f>
        <v>#DIV/0!</v>
      </c>
      <c r="D43" s="337" t="s">
        <v>774</v>
      </c>
      <c r="E43" s="338" t="s">
        <v>775</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805</v>
      </c>
      <c r="P45" s="1461"/>
      <c r="Q45" s="1461"/>
      <c r="R45" s="1461"/>
    </row>
    <row r="46" spans="1:18" s="1384" customFormat="1" ht="13.5" thickBot="1">
      <c r="A46" s="1404" t="s">
        <v>806</v>
      </c>
      <c r="C46" s="1405" t="e">
        <f ca="1">ROUND(C45,0)</f>
        <v>#DIV/0!</v>
      </c>
      <c r="D46" s="1406" t="str">
        <f>C2</f>
        <v>万元</v>
      </c>
      <c r="I46" s="1407" t="s">
        <v>807</v>
      </c>
      <c r="J46" s="1408"/>
      <c r="K46" s="1409"/>
      <c r="L46" s="1410" t="e">
        <f ca="1">IF(M47="住宅",0,IF(L48&gt;J51,L60,J60))</f>
        <v>#DIV/0!</v>
      </c>
      <c r="O46" s="1411" t="s">
        <v>808</v>
      </c>
      <c r="P46" s="1412" t="s">
        <v>809</v>
      </c>
      <c r="Q46" s="1413" t="s">
        <v>810</v>
      </c>
      <c r="R46" s="1413" t="s">
        <v>811</v>
      </c>
    </row>
    <row r="47" spans="1:18" s="1384" customFormat="1" ht="13.5" thickBot="1">
      <c r="A47" s="946" t="s">
        <v>684</v>
      </c>
      <c r="B47" s="978" t="s">
        <v>685</v>
      </c>
      <c r="C47" s="978" t="s">
        <v>686</v>
      </c>
      <c r="D47" s="978" t="s">
        <v>687</v>
      </c>
      <c r="E47" s="1058" t="s">
        <v>688</v>
      </c>
      <c r="F47" s="1059"/>
      <c r="G47" s="722"/>
      <c r="I47" s="1414" t="s">
        <v>812</v>
      </c>
      <c r="J47" s="1415"/>
      <c r="K47" s="1416" t="s">
        <v>813</v>
      </c>
      <c r="L47" s="1417">
        <f ca="1">INDIRECT("'数据-取费表'!d"&amp;$G$1)</f>
        <v>0</v>
      </c>
      <c r="M47" s="1380" t="str">
        <f>IF(ISNUMBER(FIND("住宅",C1)),"住宅","非住宅")</f>
        <v>非住宅</v>
      </c>
      <c r="O47" s="1418" t="s">
        <v>403</v>
      </c>
      <c r="P47" s="1419" t="s">
        <v>814</v>
      </c>
      <c r="Q47" s="1420" t="e">
        <f ca="1">C40+J29</f>
        <v>#DIV/0!</v>
      </c>
      <c r="R47" s="1420" t="s">
        <v>815</v>
      </c>
    </row>
    <row r="48" spans="1:18" s="1384" customFormat="1" ht="28.5" thickBot="1">
      <c r="A48" s="1110" t="s">
        <v>438</v>
      </c>
      <c r="B48" s="300" t="s">
        <v>689</v>
      </c>
      <c r="C48" s="1359">
        <f ca="1">C49+C53+C55</f>
        <v>0</v>
      </c>
      <c r="D48" s="1112"/>
      <c r="E48" s="1113"/>
      <c r="F48" s="962"/>
      <c r="G48" s="722"/>
      <c r="H48" s="723"/>
      <c r="I48" s="1421" t="s">
        <v>816</v>
      </c>
      <c r="J48" s="1422"/>
      <c r="K48" s="1423" t="s">
        <v>817</v>
      </c>
      <c r="L48" s="1424">
        <f ca="1">INDIRECT("'数据-取费表'!f"&amp;$G$1)</f>
        <v>0</v>
      </c>
      <c r="O48" s="1418" t="s">
        <v>404</v>
      </c>
      <c r="P48" s="1419" t="s">
        <v>818</v>
      </c>
      <c r="Q48" s="1420" t="e">
        <f ca="1">J60</f>
        <v>#DIV/0!</v>
      </c>
      <c r="R48" s="1420" t="s">
        <v>819</v>
      </c>
    </row>
    <row r="49" spans="1:18" s="1384" customFormat="1" ht="13.5" thickBot="1">
      <c r="A49" s="975" t="s">
        <v>439</v>
      </c>
      <c r="B49" s="1371" t="s">
        <v>776</v>
      </c>
      <c r="C49" s="1114">
        <f ca="1">ROUND(F49*F51*F50*(1-F52),0)</f>
        <v>0</v>
      </c>
      <c r="D49" s="1055" t="s">
        <v>692</v>
      </c>
      <c r="E49" s="1372" t="s">
        <v>777</v>
      </c>
      <c r="F49" s="1060"/>
      <c r="G49" s="1425"/>
      <c r="H49" s="723"/>
      <c r="I49" s="1421" t="s">
        <v>820</v>
      </c>
      <c r="J49" s="1426"/>
      <c r="K49" s="1423" t="s">
        <v>821</v>
      </c>
      <c r="L49" s="1427"/>
      <c r="O49" s="1428" t="s">
        <v>405</v>
      </c>
      <c r="P49" s="1419" t="s">
        <v>822</v>
      </c>
      <c r="Q49" s="1420">
        <f ca="1">C29</f>
        <v>0</v>
      </c>
      <c r="R49" s="1420" t="s">
        <v>815</v>
      </c>
    </row>
    <row r="50" spans="1:18" s="1384" customFormat="1" ht="13.5" thickBot="1">
      <c r="A50" s="976"/>
      <c r="B50" s="979"/>
      <c r="C50" s="980"/>
      <c r="D50" s="953"/>
      <c r="E50" s="1056" t="s">
        <v>694</v>
      </c>
      <c r="F50" s="1057">
        <f ca="1">F7</f>
        <v>0</v>
      </c>
      <c r="H50" s="723"/>
      <c r="I50" s="1421" t="s">
        <v>823</v>
      </c>
      <c r="J50" s="1429">
        <f>SUMPRODUCT((I63:I65=J47)*(J62:L62=J48)*(J63:L65))</f>
        <v>0</v>
      </c>
      <c r="K50" s="1423" t="s">
        <v>824</v>
      </c>
      <c r="L50" s="1427"/>
      <c r="M50" s="1430"/>
      <c r="O50" s="1428" t="s">
        <v>406</v>
      </c>
      <c r="P50" s="1419" t="s">
        <v>825</v>
      </c>
      <c r="Q50" s="1431" t="e">
        <f ca="1">J58</f>
        <v>#DIV/0!</v>
      </c>
      <c r="R50" s="1420"/>
    </row>
    <row r="51" spans="1:18" s="1384" customFormat="1" ht="13.5" thickBot="1">
      <c r="A51" s="977"/>
      <c r="B51" s="979"/>
      <c r="C51" s="980"/>
      <c r="D51" s="953"/>
      <c r="E51" s="981" t="s">
        <v>695</v>
      </c>
      <c r="F51" s="303">
        <f ca="1">F8</f>
        <v>0</v>
      </c>
      <c r="I51" s="1432" t="s">
        <v>826</v>
      </c>
      <c r="J51" s="1433">
        <f>IF(J49="",J50,J49+J50-YEAR('数据-取费表'!B2))</f>
        <v>0</v>
      </c>
      <c r="K51" s="1434" t="s">
        <v>827</v>
      </c>
      <c r="L51" s="1435">
        <f ca="1">ROUND(-PV(INDIRECT("'数据-取费表'!h"&amp;$G$1),J51,(C39-C13*C76),0),0)</f>
        <v>0</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0</v>
      </c>
      <c r="R52" s="1420" t="s">
        <v>832</v>
      </c>
    </row>
    <row r="53" spans="1:18" s="1384" customFormat="1" ht="30.75" customHeight="1" thickBot="1">
      <c r="A53" s="1111" t="s">
        <v>440</v>
      </c>
      <c r="B53" s="323" t="s">
        <v>697</v>
      </c>
      <c r="C53" s="316">
        <f ca="1">ROUND(IF(F53="押一",C49/12*F11,IF(F53="押二",C49/12*2*F11,IF(F53="押三",C49/12*3*F11,C54*F11))),0)</f>
        <v>0</v>
      </c>
      <c r="D53" s="1366" t="s">
        <v>2115</v>
      </c>
      <c r="E53" s="313" t="s">
        <v>698</v>
      </c>
      <c r="F53" s="1116"/>
      <c r="I53" s="1439" t="s">
        <v>833</v>
      </c>
      <c r="J53" s="2168">
        <f ca="1">IF(M47="住宅",IF(D1="——",MAX(J51,L48),MAX(J51,L48-'数据-取费表'!B24)),IF(D1="——",MIN(J51,L48),MIN(J51,L48-'数据-取费表'!B24)))</f>
        <v>0</v>
      </c>
      <c r="K53" s="3672" t="s">
        <v>834</v>
      </c>
      <c r="L53" s="3673"/>
      <c r="O53" s="1418" t="s">
        <v>409</v>
      </c>
      <c r="P53" s="1419" t="s">
        <v>835</v>
      </c>
      <c r="Q53" s="1420" t="e">
        <f ca="1">Q47+Q48</f>
        <v>#DIV/0!</v>
      </c>
      <c r="R53" s="1420" t="s">
        <v>410</v>
      </c>
    </row>
    <row r="54" spans="1:18" s="1384" customFormat="1" ht="13.5" thickBot="1">
      <c r="A54" s="975"/>
      <c r="B54" s="1473" t="s">
        <v>888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t="e">
        <f ca="1">ROUND(IF(J47="钢混",J57/J50,1-(1-2%)*(J50-J57)/J50),3)</f>
        <v>#DIV/0!</v>
      </c>
      <c r="K55" s="1445" t="s">
        <v>838</v>
      </c>
      <c r="L55" s="1446"/>
      <c r="O55" s="1411" t="s">
        <v>808</v>
      </c>
      <c r="P55" s="1412" t="s">
        <v>809</v>
      </c>
      <c r="Q55" s="1413" t="s">
        <v>810</v>
      </c>
      <c r="R55" s="1413" t="s">
        <v>811</v>
      </c>
    </row>
    <row r="56" spans="1:18" s="1384" customFormat="1" ht="36" customHeight="1" thickTop="1" thickBot="1">
      <c r="A56" s="957">
        <v>2</v>
      </c>
      <c r="B56" s="958" t="s">
        <v>701</v>
      </c>
      <c r="C56" s="232">
        <f ca="1">C13</f>
        <v>0</v>
      </c>
      <c r="D56" s="1447"/>
      <c r="E56" s="1448"/>
      <c r="F56" s="1440"/>
      <c r="I56" s="1449" t="s">
        <v>839</v>
      </c>
      <c r="J56" s="1450"/>
      <c r="K56" s="1421" t="s">
        <v>840</v>
      </c>
      <c r="L56" s="1424">
        <f ca="1">IF(L48&lt;J51,"——",L48-J51)</f>
        <v>0</v>
      </c>
      <c r="O56" s="1418" t="s">
        <v>403</v>
      </c>
      <c r="P56" s="1419" t="s">
        <v>814</v>
      </c>
      <c r="Q56" s="1420" t="e">
        <f ca="1">C40+J29</f>
        <v>#DIV/0!</v>
      </c>
      <c r="R56" s="1420" t="s">
        <v>815</v>
      </c>
    </row>
    <row r="57" spans="1:18" s="1384" customFormat="1" ht="24.75" thickBot="1">
      <c r="A57" s="1451"/>
      <c r="B57" s="950" t="s">
        <v>764</v>
      </c>
      <c r="C57" s="238">
        <f ca="1">C29</f>
        <v>0</v>
      </c>
      <c r="D57" s="1452"/>
      <c r="E57" s="1453"/>
      <c r="F57" s="1454"/>
      <c r="I57" s="1455" t="s">
        <v>841</v>
      </c>
      <c r="J57" s="1456">
        <f ca="1">IF(OR(M47="住宅",J51&lt;L48,J56="是"),"——",J51-L48)</f>
        <v>0</v>
      </c>
      <c r="K57" s="1421" t="s">
        <v>889</v>
      </c>
      <c r="L57" s="1424">
        <f ca="1">IF(L48&lt;J51,"——",IF(L55="比较法",L49,IF(L55="基准地价",L50,L51)))</f>
        <v>0</v>
      </c>
      <c r="O57" s="1418" t="s">
        <v>404</v>
      </c>
      <c r="P57" s="1419" t="s">
        <v>890</v>
      </c>
      <c r="Q57" s="1420" t="e">
        <f ca="1">L60</f>
        <v>#DIV/0!</v>
      </c>
      <c r="R57" s="1420" t="s">
        <v>891</v>
      </c>
    </row>
    <row r="58" spans="1:18" s="1384" customFormat="1" ht="24.75" thickBot="1">
      <c r="A58" s="315" t="s">
        <v>393</v>
      </c>
      <c r="B58" s="958" t="s">
        <v>711</v>
      </c>
      <c r="C58" s="316">
        <f ca="1">ROUND(C59+C64+C65+C66,0)</f>
        <v>0</v>
      </c>
      <c r="D58" s="960" t="s">
        <v>712</v>
      </c>
      <c r="E58" s="961"/>
      <c r="F58" s="962"/>
      <c r="I58" s="1455" t="s">
        <v>845</v>
      </c>
      <c r="J58" s="1457" t="e">
        <f ca="1">IF(J55&lt;0.4,0.4,J55)</f>
        <v>#DIV/0!</v>
      </c>
      <c r="K58" s="1434" t="s">
        <v>892</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IF(项目基本情况!B11="自然人","——",ROUND(C48*F60/(1+'数据-取费表'!C42),0))</f>
        <v>0</v>
      </c>
      <c r="D60" s="964" t="s">
        <v>721</v>
      </c>
      <c r="E60" s="950" t="s">
        <v>709</v>
      </c>
      <c r="F60" s="331">
        <f t="shared" ref="F60:F66" si="0">F32</f>
        <v>5.6000000000000001E-2</v>
      </c>
      <c r="I60" s="1458" t="s">
        <v>850</v>
      </c>
      <c r="J60" s="1459" t="e">
        <f ca="1">IF(OR(M47="住宅",J51&lt;L48,J56="是"),"0",ROUND(J59/(1+J52)^J53,0))</f>
        <v>#DIV/0!</v>
      </c>
      <c r="K60" s="1460" t="s">
        <v>851</v>
      </c>
      <c r="L60" s="1459" t="e">
        <f ca="1">IF(OR(M47="住宅",L48&lt;J51),0,ROUND(L57*(L58/L59-1),0))</f>
        <v>#DIV/0!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IF(项目基本情况!B11="自然人","——",IF(D61="按租金收入计税",ROUND(C49*F61/(1+'数据-取费表'!C42),0),IF(D61="按房产原值计税",ROUND(C57*F61*0.7,0),INDIRECT("'数据-取费表'!Aj"&amp;$G$1))))</f>
        <v>0</v>
      </c>
      <c r="D61" s="1370" t="s">
        <v>3337</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IF(项目基本情况!B11="自然人","——",ROUND(F62*F63,0))</f>
        <v>0</v>
      </c>
      <c r="D62" s="965" t="s">
        <v>783</v>
      </c>
      <c r="E62" s="950" t="s">
        <v>784</v>
      </c>
      <c r="F62" s="325">
        <f t="shared" si="0"/>
        <v>0</v>
      </c>
      <c r="I62" s="1462" t="s">
        <v>855</v>
      </c>
      <c r="J62" s="1463" t="s">
        <v>856</v>
      </c>
      <c r="K62" s="1463" t="s">
        <v>857</v>
      </c>
      <c r="L62" s="1463" t="s">
        <v>858</v>
      </c>
      <c r="M62" s="1464" t="s">
        <v>859</v>
      </c>
      <c r="O62" s="1418" t="s">
        <v>409</v>
      </c>
      <c r="P62" s="1419" t="s">
        <v>860</v>
      </c>
      <c r="Q62" s="1420" t="e">
        <f ca="1">Q56+Q57</f>
        <v>#DIV/0!</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ROUND(C57*F64,0)</f>
        <v>0</v>
      </c>
      <c r="D64" s="964" t="s">
        <v>788</v>
      </c>
      <c r="E64" s="950" t="s">
        <v>780</v>
      </c>
      <c r="F64" s="328">
        <f t="shared" ca="1" si="0"/>
        <v>0</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ROUND(C56*F65,0)</f>
        <v>0</v>
      </c>
      <c r="D65" s="964" t="s">
        <v>740</v>
      </c>
      <c r="E65" s="950" t="s">
        <v>741</v>
      </c>
      <c r="F65" s="330">
        <f t="shared" ca="1" si="0"/>
        <v>0</v>
      </c>
      <c r="I65" s="1462" t="s">
        <v>864</v>
      </c>
      <c r="J65" s="1463">
        <v>40</v>
      </c>
      <c r="K65" s="1463">
        <v>30</v>
      </c>
      <c r="L65" s="1463">
        <v>50</v>
      </c>
      <c r="M65" s="1465">
        <v>0.02</v>
      </c>
      <c r="O65" s="1418" t="s">
        <v>403</v>
      </c>
      <c r="P65" s="1419" t="s">
        <v>865</v>
      </c>
      <c r="Q65" s="1420" t="e">
        <f ca="1">C40+J29</f>
        <v>#DIV/0!</v>
      </c>
      <c r="R65" s="1420" t="s">
        <v>815</v>
      </c>
    </row>
    <row r="66" spans="1:18" s="1384" customFormat="1" ht="16.5" thickBot="1">
      <c r="A66" s="982" t="s">
        <v>790</v>
      </c>
      <c r="B66" s="950" t="s">
        <v>725</v>
      </c>
      <c r="C66" s="21">
        <f ca="1">ROUND(C48*F66,0)</f>
        <v>0</v>
      </c>
      <c r="D66" s="964" t="s">
        <v>791</v>
      </c>
      <c r="E66" s="950" t="s">
        <v>709</v>
      </c>
      <c r="F66" s="312">
        <f t="shared" ca="1" si="0"/>
        <v>0</v>
      </c>
      <c r="O66" s="1418" t="s">
        <v>404</v>
      </c>
      <c r="P66" s="1419" t="s">
        <v>843</v>
      </c>
      <c r="Q66" s="1420" t="e">
        <f ca="1">L60</f>
        <v>#DIV/0!</v>
      </c>
      <c r="R66" s="1420" t="s">
        <v>866</v>
      </c>
    </row>
    <row r="67" spans="1:18" s="1384" customFormat="1" ht="16.5" thickBot="1">
      <c r="A67" s="957" t="s">
        <v>394</v>
      </c>
      <c r="B67" s="967" t="s">
        <v>749</v>
      </c>
      <c r="C67" s="316">
        <f ca="1">C48-C58</f>
        <v>0</v>
      </c>
      <c r="D67" s="963" t="s">
        <v>750</v>
      </c>
      <c r="E67" s="968"/>
      <c r="F67" s="969"/>
      <c r="O67" s="1428" t="s">
        <v>405</v>
      </c>
      <c r="P67" s="1419" t="s">
        <v>847</v>
      </c>
      <c r="Q67" s="1466">
        <f ca="1">L51</f>
        <v>0</v>
      </c>
      <c r="R67" s="1420" t="s">
        <v>867</v>
      </c>
    </row>
    <row r="68" spans="1:18" s="1384" customFormat="1" ht="16.5" thickBot="1">
      <c r="A68" s="947" t="s">
        <v>395</v>
      </c>
      <c r="B68" s="948" t="s">
        <v>771</v>
      </c>
      <c r="C68" s="301" t="e">
        <f ca="1">ROUND(C67*(1-((1+F70)/(1+F68))^F69)/(F68-F70),0)</f>
        <v>#DIV/0!</v>
      </c>
      <c r="D68" s="965" t="s">
        <v>755</v>
      </c>
      <c r="E68" s="950" t="s">
        <v>756</v>
      </c>
      <c r="F68" s="312">
        <f ca="1">F40</f>
        <v>0</v>
      </c>
      <c r="O68" s="1428" t="s">
        <v>406</v>
      </c>
      <c r="P68" s="1467" t="s">
        <v>868</v>
      </c>
      <c r="Q68" s="1420">
        <f ca="1">ROUND(Q69-Q70*Q71,0)</f>
        <v>0</v>
      </c>
      <c r="R68" s="1420" t="s">
        <v>414</v>
      </c>
    </row>
    <row r="69" spans="1:18" s="1384" customFormat="1" ht="13.5" thickBot="1">
      <c r="A69" s="951"/>
      <c r="B69" s="952"/>
      <c r="C69" s="306"/>
      <c r="D69" s="970" t="s">
        <v>759</v>
      </c>
      <c r="E69" s="950" t="s">
        <v>760</v>
      </c>
      <c r="F69" s="333">
        <f ca="1">F41</f>
        <v>0</v>
      </c>
      <c r="O69" s="1428" t="s">
        <v>411</v>
      </c>
      <c r="P69" s="1467" t="s">
        <v>869</v>
      </c>
      <c r="Q69" s="1420">
        <f ca="1">C39</f>
        <v>0</v>
      </c>
      <c r="R69" s="1420" t="s">
        <v>815</v>
      </c>
    </row>
    <row r="70" spans="1:18" s="1384" customFormat="1" ht="13.5" thickBot="1">
      <c r="A70" s="954"/>
      <c r="B70" s="955"/>
      <c r="C70" s="310"/>
      <c r="D70" s="966"/>
      <c r="E70" s="950" t="s">
        <v>763</v>
      </c>
      <c r="F70" s="1054"/>
      <c r="O70" s="1428" t="s">
        <v>412</v>
      </c>
      <c r="P70" s="1467" t="s">
        <v>870</v>
      </c>
      <c r="Q70" s="1420">
        <f ca="1">C13</f>
        <v>0</v>
      </c>
      <c r="R70" s="1420" t="s">
        <v>815</v>
      </c>
    </row>
    <row r="71" spans="1:18" s="1384" customFormat="1" ht="13.5" thickBot="1">
      <c r="A71" s="971" t="s">
        <v>396</v>
      </c>
      <c r="B71" s="972" t="s">
        <v>773</v>
      </c>
      <c r="C71" s="336" t="e">
        <f ca="1">ROUND(C68/F71,0)</f>
        <v>#DIV/0!</v>
      </c>
      <c r="D71" s="973" t="s">
        <v>774</v>
      </c>
      <c r="E71" s="974" t="s">
        <v>775</v>
      </c>
      <c r="F71" s="339">
        <f ca="1">F43</f>
        <v>0</v>
      </c>
      <c r="O71" s="1428" t="s">
        <v>413</v>
      </c>
      <c r="P71" s="1467" t="s">
        <v>871</v>
      </c>
      <c r="Q71" s="1431">
        <f ca="1">C76</f>
        <v>0</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0</v>
      </c>
      <c r="D75" s="1384"/>
      <c r="E75" s="1384"/>
      <c r="F75" s="1384"/>
      <c r="K75" s="1402"/>
      <c r="L75" s="1384"/>
      <c r="O75" s="1418" t="s">
        <v>409</v>
      </c>
      <c r="P75" s="1419" t="s">
        <v>835</v>
      </c>
      <c r="Q75" s="1420" t="e">
        <f ca="1">Q65+Q66</f>
        <v>#DIV/0!</v>
      </c>
      <c r="R75" s="1420" t="s">
        <v>410</v>
      </c>
    </row>
    <row r="76" spans="1:18">
      <c r="B76" s="342" t="s">
        <v>793</v>
      </c>
      <c r="C76" s="343">
        <f ca="1">INDIRECT("'数据-取费表'!j"&amp;$G$1)</f>
        <v>0</v>
      </c>
      <c r="I76" s="1384"/>
      <c r="J76" s="1384"/>
      <c r="K76" s="1402"/>
      <c r="L76" s="1384"/>
    </row>
    <row r="77" spans="1:18">
      <c r="B77" s="344" t="s">
        <v>794</v>
      </c>
      <c r="C77" s="345"/>
      <c r="I77" s="1384"/>
      <c r="J77" s="1384"/>
      <c r="K77" s="1402"/>
      <c r="L77" s="1384"/>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3360</v>
      </c>
      <c r="E2" s="3444"/>
      <c r="F2" s="2846"/>
      <c r="G2" s="2847"/>
      <c r="H2" s="2848"/>
      <c r="I2" s="2849"/>
      <c r="J2" s="3683" t="s">
        <v>2316</v>
      </c>
      <c r="K2" s="3684"/>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685" t="s">
        <v>2326</v>
      </c>
      <c r="K3" s="3686"/>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685" t="s">
        <v>2328</v>
      </c>
      <c r="K4" s="3686"/>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691" t="s">
        <v>2332</v>
      </c>
      <c r="B6" s="3692"/>
      <c r="C6" s="3693"/>
      <c r="D6" s="2870"/>
      <c r="E6" s="2871"/>
      <c r="F6" s="2872"/>
      <c r="G6" s="2873"/>
      <c r="H6" s="2848"/>
      <c r="I6" s="2849"/>
      <c r="J6" s="3677">
        <v>1</v>
      </c>
      <c r="K6" s="3678"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677"/>
      <c r="K7" s="3679"/>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694" t="s">
        <v>2346</v>
      </c>
      <c r="C8" s="3695"/>
      <c r="D8" s="2889" t="s">
        <v>2347</v>
      </c>
      <c r="E8" s="2890" t="s">
        <v>2348</v>
      </c>
      <c r="F8" s="2891" t="s">
        <v>2349</v>
      </c>
      <c r="G8" s="2892"/>
      <c r="H8" s="2848"/>
      <c r="I8" s="2849"/>
      <c r="J8" s="3677"/>
      <c r="K8" s="3679"/>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694" t="s">
        <v>2352</v>
      </c>
      <c r="C9" s="3695"/>
      <c r="D9" s="2889">
        <f>ROUND(D6*E9,0)</f>
        <v>0</v>
      </c>
      <c r="E9" s="2893"/>
      <c r="F9" s="2894" t="s">
        <v>2353</v>
      </c>
      <c r="G9" s="2873"/>
      <c r="H9" s="2848"/>
      <c r="I9" s="2849"/>
      <c r="J9" s="3677"/>
      <c r="K9" s="3679"/>
      <c r="L9" s="2883" t="s">
        <v>2354</v>
      </c>
      <c r="M9" s="2884"/>
      <c r="N9" s="2860"/>
      <c r="O9" s="2885"/>
      <c r="P9" s="2885"/>
      <c r="Q9" s="2886">
        <v>365</v>
      </c>
      <c r="R9" s="2887">
        <f t="shared" si="0"/>
        <v>0</v>
      </c>
      <c r="S9" s="2841"/>
      <c r="T9" s="2841"/>
      <c r="U9" s="2841"/>
      <c r="V9" s="2849"/>
    </row>
    <row r="10" spans="1:22" s="2853" customFormat="1" ht="13.15" customHeight="1">
      <c r="A10" s="2888">
        <v>2</v>
      </c>
      <c r="B10" s="3694" t="s">
        <v>2355</v>
      </c>
      <c r="C10" s="3695"/>
      <c r="D10" s="2889">
        <f>ROUND(D6*E10,0)</f>
        <v>0</v>
      </c>
      <c r="E10" s="2893"/>
      <c r="F10" s="2894" t="s">
        <v>2356</v>
      </c>
      <c r="G10" s="2873"/>
      <c r="H10" s="2848"/>
      <c r="I10" s="2849"/>
      <c r="J10" s="3677"/>
      <c r="K10" s="3679"/>
      <c r="L10" s="2883" t="s">
        <v>2357</v>
      </c>
      <c r="M10" s="2884"/>
      <c r="N10" s="2860"/>
      <c r="O10" s="2885"/>
      <c r="P10" s="2885"/>
      <c r="Q10" s="2886">
        <v>365</v>
      </c>
      <c r="R10" s="2887">
        <f t="shared" si="0"/>
        <v>0</v>
      </c>
      <c r="S10" s="2841"/>
      <c r="T10" s="2841"/>
      <c r="U10" s="2841"/>
      <c r="V10" s="2849"/>
    </row>
    <row r="11" spans="1:22" s="2853" customFormat="1" ht="13.15" customHeight="1">
      <c r="A11" s="2888">
        <v>3</v>
      </c>
      <c r="B11" s="3694" t="s">
        <v>2358</v>
      </c>
      <c r="C11" s="3695"/>
      <c r="D11" s="2889">
        <f>D12+D14+D15+D16</f>
        <v>0</v>
      </c>
      <c r="E11" s="2895" t="e">
        <f>D11/D6</f>
        <v>#DIV/0!</v>
      </c>
      <c r="F11" s="2891"/>
      <c r="G11" s="2892"/>
      <c r="H11" s="2848"/>
      <c r="I11" s="2849"/>
      <c r="J11" s="3677"/>
      <c r="K11" s="3679"/>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687" t="s">
        <v>2361</v>
      </c>
      <c r="C12" s="3688"/>
      <c r="D12" s="2897">
        <f>ROUND(D13*1.2%*(1-30%),0)</f>
        <v>0</v>
      </c>
      <c r="E12" s="2898">
        <v>1.2E-2</v>
      </c>
      <c r="F12" s="2891" t="s">
        <v>2362</v>
      </c>
      <c r="G12" s="2892"/>
      <c r="H12" s="2848"/>
      <c r="I12" s="2849"/>
      <c r="J12" s="3677"/>
      <c r="K12" s="3679"/>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677"/>
      <c r="K13" s="3679"/>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687" t="s">
        <v>2367</v>
      </c>
      <c r="C14" s="3688"/>
      <c r="D14" s="2897">
        <f>ROUND(E14*B5/10000,0)</f>
        <v>0</v>
      </c>
      <c r="E14" s="2886"/>
      <c r="F14" s="2891" t="s">
        <v>2368</v>
      </c>
      <c r="G14" s="2892"/>
      <c r="H14" s="2848"/>
      <c r="I14" s="2849"/>
      <c r="J14" s="3677"/>
      <c r="K14" s="3680"/>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687" t="s">
        <v>2371</v>
      </c>
      <c r="C15" s="3688"/>
      <c r="D15" s="2897">
        <f>ROUND(D6*E15,0)</f>
        <v>0</v>
      </c>
      <c r="E15" s="2898">
        <v>5.5E-2</v>
      </c>
      <c r="F15" s="2891" t="s">
        <v>2372</v>
      </c>
      <c r="G15" s="2873"/>
      <c r="H15" s="2848"/>
      <c r="I15" s="2849"/>
      <c r="J15" s="3677">
        <v>2</v>
      </c>
      <c r="K15" s="3678"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687" t="s">
        <v>2380</v>
      </c>
      <c r="C16" s="3688"/>
      <c r="D16" s="2908">
        <f>D6*E16</f>
        <v>0</v>
      </c>
      <c r="E16" s="2909"/>
      <c r="F16" s="2894" t="s">
        <v>2381</v>
      </c>
      <c r="G16" s="2873"/>
      <c r="H16" s="2848"/>
      <c r="I16" s="2849"/>
      <c r="J16" s="3677"/>
      <c r="K16" s="3679"/>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689" t="s">
        <v>2383</v>
      </c>
      <c r="C17" s="3690"/>
      <c r="D17" s="2911">
        <f>ROUND(D6*E17,0)</f>
        <v>0</v>
      </c>
      <c r="E17" s="2912"/>
      <c r="F17" s="2913" t="s">
        <v>2384</v>
      </c>
      <c r="G17" s="2873"/>
      <c r="H17" s="2848"/>
      <c r="I17" s="2849"/>
      <c r="J17" s="3677"/>
      <c r="K17" s="3679"/>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677"/>
      <c r="K18" s="3679"/>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677"/>
      <c r="K19" s="3680"/>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7">
        <v>3</v>
      </c>
      <c r="K20" s="3678"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677"/>
      <c r="K21" s="3679"/>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677"/>
      <c r="K22" s="3679"/>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677"/>
      <c r="K23" s="3679"/>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677"/>
      <c r="K24" s="3680"/>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681">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68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683" t="s">
        <v>2316</v>
      </c>
      <c r="K32" s="3684"/>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685" t="s">
        <v>2326</v>
      </c>
      <c r="K33" s="3686"/>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685" t="s">
        <v>2328</v>
      </c>
      <c r="K34" s="368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677">
        <v>1</v>
      </c>
      <c r="K36" s="3678"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677"/>
      <c r="K37" s="3679"/>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7"/>
      <c r="K38" s="3679"/>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677"/>
      <c r="K39" s="3679"/>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677"/>
      <c r="K40" s="3680"/>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1">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68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62059</v>
      </c>
      <c r="C2" s="1872" t="s">
        <v>1648</v>
      </c>
      <c r="D2" s="1873" t="s">
        <v>1649</v>
      </c>
      <c r="E2" s="2607">
        <f>SUM(E6:E13)</f>
        <v>87440.459999999992</v>
      </c>
      <c r="F2" s="2707"/>
      <c r="G2" s="1489"/>
      <c r="H2" s="1489"/>
      <c r="I2" s="1489"/>
      <c r="J2" s="1489"/>
      <c r="K2" s="1489"/>
      <c r="L2" s="1489"/>
      <c r="M2" s="1489"/>
      <c r="N2" s="1489"/>
      <c r="O2" s="1489"/>
      <c r="P2" s="1489"/>
      <c r="Q2" s="1489"/>
      <c r="R2" s="1489"/>
      <c r="S2" s="1489"/>
    </row>
    <row r="3" spans="1:22" ht="15.75">
      <c r="A3" s="1870" t="s">
        <v>683</v>
      </c>
      <c r="B3" s="2601">
        <f ca="1">ROUND(B2*10000/E2,0)</f>
        <v>7097</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696" t="s">
        <v>1651</v>
      </c>
      <c r="C5" s="3697"/>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v>
      </c>
      <c r="B6" s="2602">
        <f ca="1">IF(F6="是",'数据-取费表'!AO6,0)</f>
        <v>62059</v>
      </c>
      <c r="C6" s="1872" t="s">
        <v>1648</v>
      </c>
      <c r="D6" s="2709"/>
      <c r="E6" s="2606">
        <f>IF(OR(A6=0,F6="否"),0,'数据-取费表'!K6+'数据-取费表'!S6)</f>
        <v>87440.459999999992</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682</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683</v>
      </c>
      <c r="B3" s="353">
        <f>IF(C2="——",C49,ROUND(B2*10000/D3,0))</f>
        <v>0</v>
      </c>
      <c r="C3" s="354" t="s">
        <v>1662</v>
      </c>
      <c r="D3" s="353">
        <f>IF(D1="",'数据-汇总表'!E3,SUMIF('数据-汇总表'!$C19:$C33,D1,'数据-汇总表'!$E19:$E33))</f>
        <v>87440.459999999992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716" t="s">
        <v>1664</v>
      </c>
      <c r="D4" s="3717"/>
      <c r="E4" s="3718" t="s">
        <v>1665</v>
      </c>
      <c r="F4" s="3719"/>
      <c r="G4" s="3716" t="s">
        <v>1666</v>
      </c>
      <c r="H4" s="3717"/>
      <c r="I4" s="3716" t="s">
        <v>1667</v>
      </c>
      <c r="J4" s="3717"/>
      <c r="K4" s="1889" t="s">
        <v>1668</v>
      </c>
      <c r="L4" s="2715"/>
      <c r="M4" s="2716"/>
      <c r="N4" s="2716"/>
      <c r="O4" s="2716"/>
      <c r="P4" s="3720" t="s">
        <v>1669</v>
      </c>
      <c r="Q4" s="3721"/>
      <c r="R4" s="3726" t="s">
        <v>1665</v>
      </c>
      <c r="S4" s="3727"/>
      <c r="T4" s="3726" t="s">
        <v>1666</v>
      </c>
      <c r="U4" s="3727"/>
      <c r="V4" s="3732" t="s">
        <v>1667</v>
      </c>
      <c r="W4" s="3732"/>
      <c r="X4" s="1355"/>
      <c r="Y4" s="3726" t="s">
        <v>1669</v>
      </c>
      <c r="Z4" s="3727"/>
      <c r="AA4" s="3713" t="s">
        <v>1665</v>
      </c>
      <c r="AB4" s="3713" t="s">
        <v>1666</v>
      </c>
      <c r="AC4" s="3713" t="s">
        <v>1667</v>
      </c>
    </row>
    <row r="5" spans="1:29" ht="15">
      <c r="A5" s="358"/>
      <c r="B5" s="359"/>
      <c r="C5" s="3735" t="s">
        <v>1670</v>
      </c>
      <c r="D5" s="3736"/>
      <c r="E5" s="3742" t="s">
        <v>1671</v>
      </c>
      <c r="F5" s="3743"/>
      <c r="G5" s="3735" t="s">
        <v>1672</v>
      </c>
      <c r="H5" s="3736"/>
      <c r="I5" s="3735" t="s">
        <v>1673</v>
      </c>
      <c r="J5" s="3736"/>
      <c r="K5" s="1890"/>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1674</v>
      </c>
      <c r="D6" s="3734"/>
      <c r="E6" s="3740" t="s">
        <v>1674</v>
      </c>
      <c r="F6" s="3741"/>
      <c r="G6" s="3733" t="s">
        <v>1674</v>
      </c>
      <c r="H6" s="3734"/>
      <c r="I6" s="3733" t="s">
        <v>1674</v>
      </c>
      <c r="J6" s="3734"/>
      <c r="K6" s="1890" t="s">
        <v>1675</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1676</v>
      </c>
      <c r="B7" s="363"/>
      <c r="C7" s="364">
        <f>'数据-取费表'!B2</f>
        <v>45064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7" t="s">
        <v>1677</v>
      </c>
      <c r="Q7" s="3739"/>
      <c r="R7" s="701" t="s">
        <v>20</v>
      </c>
      <c r="S7" s="702">
        <f t="shared" ref="S7:S15" si="0">F7</f>
        <v>0</v>
      </c>
      <c r="T7" s="701" t="s">
        <v>20</v>
      </c>
      <c r="U7" s="702">
        <f t="shared" ref="U7:U15" si="1">H7</f>
        <v>0</v>
      </c>
      <c r="V7" s="701" t="s">
        <v>20</v>
      </c>
      <c r="W7" s="702">
        <f t="shared" ref="W7:W15" si="2">J7</f>
        <v>0</v>
      </c>
      <c r="X7" s="703"/>
      <c r="Y7" s="3737" t="s">
        <v>1677</v>
      </c>
      <c r="Z7" s="3738"/>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7" t="s">
        <v>1680</v>
      </c>
      <c r="Q8" s="3738"/>
      <c r="R8" s="701" t="s">
        <v>20</v>
      </c>
      <c r="S8" s="702">
        <f t="shared" si="0"/>
        <v>100</v>
      </c>
      <c r="T8" s="701" t="s">
        <v>20</v>
      </c>
      <c r="U8" s="702">
        <f t="shared" si="1"/>
        <v>100</v>
      </c>
      <c r="V8" s="701" t="s">
        <v>20</v>
      </c>
      <c r="W8" s="702">
        <f t="shared" si="2"/>
        <v>100</v>
      </c>
      <c r="X8" s="703"/>
      <c r="Y8" s="3737" t="s">
        <v>1680</v>
      </c>
      <c r="Z8" s="3738"/>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2"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2"/>
      <c r="Q11" s="1343" t="str">
        <f t="shared" si="6"/>
        <v>容积率</v>
      </c>
      <c r="R11" s="701" t="s">
        <v>18</v>
      </c>
      <c r="S11" s="702" t="e">
        <f t="shared" si="0"/>
        <v>#N/A</v>
      </c>
      <c r="T11" s="701" t="s">
        <v>18</v>
      </c>
      <c r="U11" s="702" t="e">
        <f t="shared" si="1"/>
        <v>#N/A</v>
      </c>
      <c r="V11" s="701" t="s">
        <v>18</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576"/>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0" t="s">
        <v>1688</v>
      </c>
      <c r="Q15" s="1352" t="str">
        <f t="shared" si="6"/>
        <v>居住社区成熟度</v>
      </c>
      <c r="R15" s="705" t="s">
        <v>18</v>
      </c>
      <c r="S15" s="706">
        <f t="shared" si="0"/>
        <v>100</v>
      </c>
      <c r="T15" s="705" t="s">
        <v>18</v>
      </c>
      <c r="U15" s="706">
        <f t="shared" si="1"/>
        <v>100</v>
      </c>
      <c r="V15" s="705" t="s">
        <v>18</v>
      </c>
      <c r="W15" s="706">
        <f t="shared" si="2"/>
        <v>100</v>
      </c>
      <c r="X15" s="1355"/>
      <c r="Y15" s="3703"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1"/>
      <c r="Q16" s="1352"/>
      <c r="R16" s="705"/>
      <c r="S16" s="706"/>
      <c r="T16" s="705"/>
      <c r="U16" s="706"/>
      <c r="V16" s="705"/>
      <c r="W16" s="706"/>
      <c r="X16" s="1355"/>
      <c r="Y16" s="3704"/>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1"/>
      <c r="Q22" s="1352"/>
      <c r="R22" s="705"/>
      <c r="S22" s="706"/>
      <c r="T22" s="705"/>
      <c r="U22" s="706"/>
      <c r="V22" s="705"/>
      <c r="W22" s="706"/>
      <c r="X22" s="1355"/>
      <c r="Y22" s="3704"/>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1693</v>
      </c>
      <c r="Q32" s="1352" t="str">
        <f t="shared" si="11"/>
        <v>建筑类型</v>
      </c>
      <c r="R32" s="705" t="s">
        <v>18</v>
      </c>
      <c r="S32" s="706">
        <f t="shared" si="12"/>
        <v>100</v>
      </c>
      <c r="T32" s="705" t="s">
        <v>18</v>
      </c>
      <c r="U32" s="706">
        <f t="shared" si="13"/>
        <v>100</v>
      </c>
      <c r="V32" s="705" t="s">
        <v>18</v>
      </c>
      <c r="W32" s="706">
        <f t="shared" si="14"/>
        <v>100</v>
      </c>
      <c r="X32" s="1355"/>
      <c r="Y32" s="3708"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1693</v>
      </c>
      <c r="Q38" s="1352" t="str">
        <f t="shared" si="11"/>
        <v>物业管理</v>
      </c>
      <c r="R38" s="705" t="s">
        <v>18</v>
      </c>
      <c r="S38" s="706">
        <f t="shared" si="12"/>
        <v>100</v>
      </c>
      <c r="T38" s="705" t="s">
        <v>18</v>
      </c>
      <c r="U38" s="706">
        <f t="shared" si="13"/>
        <v>100</v>
      </c>
      <c r="V38" s="705" t="s">
        <v>18</v>
      </c>
      <c r="W38" s="706">
        <f t="shared" si="14"/>
        <v>100</v>
      </c>
      <c r="X38" s="1355"/>
      <c r="Y38" s="3708"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1706</v>
      </c>
      <c r="B48" s="438"/>
      <c r="C48" s="1160" t="e">
        <f>R49</f>
        <v>#DIV/0!</v>
      </c>
      <c r="D48" s="2317" t="s">
        <v>2134</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87440.459999999992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26" t="s">
        <v>1768</v>
      </c>
      <c r="S4" s="3727"/>
      <c r="T4" s="3726" t="s">
        <v>1769</v>
      </c>
      <c r="U4" s="3727"/>
      <c r="V4" s="3732" t="s">
        <v>1770</v>
      </c>
      <c r="W4" s="3732"/>
      <c r="X4" s="1355"/>
      <c r="Y4" s="3726" t="s">
        <v>1772</v>
      </c>
      <c r="Z4" s="3727"/>
      <c r="AA4" s="3713" t="s">
        <v>1768</v>
      </c>
      <c r="AB4" s="3732" t="s">
        <v>1769</v>
      </c>
      <c r="AC4" s="3713" t="s">
        <v>1770</v>
      </c>
    </row>
    <row r="5" spans="1:29" ht="15">
      <c r="A5" s="358"/>
      <c r="B5" s="359"/>
      <c r="C5" s="3735" t="s">
        <v>1670</v>
      </c>
      <c r="D5" s="3736"/>
      <c r="E5" s="3742" t="s">
        <v>1671</v>
      </c>
      <c r="F5" s="3743"/>
      <c r="G5" s="3735" t="s">
        <v>1672</v>
      </c>
      <c r="H5" s="3736"/>
      <c r="I5" s="3735" t="s">
        <v>1673</v>
      </c>
      <c r="J5" s="3736"/>
      <c r="K5" s="559"/>
      <c r="L5" s="2715"/>
      <c r="M5" s="2716"/>
      <c r="N5" s="2716"/>
      <c r="O5" s="2716"/>
      <c r="P5" s="3722"/>
      <c r="Q5" s="3723"/>
      <c r="R5" s="3728"/>
      <c r="S5" s="3729"/>
      <c r="T5" s="3728"/>
      <c r="U5" s="3729"/>
      <c r="V5" s="3732"/>
      <c r="W5" s="3732"/>
      <c r="X5" s="1355"/>
      <c r="Y5" s="3728"/>
      <c r="Z5" s="3729"/>
      <c r="AA5" s="3714"/>
      <c r="AB5" s="3732"/>
      <c r="AC5" s="3714"/>
    </row>
    <row r="6" spans="1:29" ht="15.75" thickBot="1">
      <c r="A6" s="360"/>
      <c r="B6" s="361"/>
      <c r="C6" s="3733" t="s">
        <v>1674</v>
      </c>
      <c r="D6" s="3734"/>
      <c r="E6" s="3740" t="s">
        <v>1674</v>
      </c>
      <c r="F6" s="3741"/>
      <c r="G6" s="3733" t="s">
        <v>1674</v>
      </c>
      <c r="H6" s="3734"/>
      <c r="I6" s="3733" t="s">
        <v>1674</v>
      </c>
      <c r="J6" s="3734"/>
      <c r="K6" s="559" t="s">
        <v>1675</v>
      </c>
      <c r="L6" s="2715"/>
      <c r="M6" s="2716"/>
      <c r="N6" s="2716"/>
      <c r="O6" s="2716"/>
      <c r="P6" s="3724"/>
      <c r="Q6" s="3725"/>
      <c r="R6" s="3728"/>
      <c r="S6" s="3729"/>
      <c r="T6" s="3730"/>
      <c r="U6" s="3731"/>
      <c r="V6" s="3732"/>
      <c r="W6" s="3732"/>
      <c r="X6" s="1355"/>
      <c r="Y6" s="3730"/>
      <c r="Z6" s="3731"/>
      <c r="AA6" s="3715"/>
      <c r="AB6" s="3732"/>
      <c r="AC6" s="3715"/>
    </row>
    <row r="7" spans="1:29" s="108" customFormat="1" ht="15.75" thickBot="1">
      <c r="A7" s="362" t="s">
        <v>1676</v>
      </c>
      <c r="B7" s="363"/>
      <c r="C7" s="364">
        <f>'数据-取费表'!B2</f>
        <v>45064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7" t="s">
        <v>1677</v>
      </c>
      <c r="Q7" s="3739"/>
      <c r="R7" s="701" t="s">
        <v>14</v>
      </c>
      <c r="S7" s="702">
        <f t="shared" ref="S7:S15" si="0">F7</f>
        <v>0</v>
      </c>
      <c r="T7" s="701" t="s">
        <v>14</v>
      </c>
      <c r="U7" s="702">
        <f t="shared" ref="U7:U15" si="1">H7</f>
        <v>0</v>
      </c>
      <c r="V7" s="701" t="s">
        <v>14</v>
      </c>
      <c r="W7" s="702">
        <f t="shared" ref="W7:W15" si="2">J7</f>
        <v>0</v>
      </c>
      <c r="X7" s="703"/>
      <c r="Y7" s="3737" t="s">
        <v>1677</v>
      </c>
      <c r="Z7" s="3738"/>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7" t="s">
        <v>1680</v>
      </c>
      <c r="Q8" s="3738"/>
      <c r="R8" s="701" t="s">
        <v>14</v>
      </c>
      <c r="S8" s="702">
        <f t="shared" si="0"/>
        <v>100</v>
      </c>
      <c r="T8" s="701" t="s">
        <v>14</v>
      </c>
      <c r="U8" s="702">
        <f t="shared" si="1"/>
        <v>100</v>
      </c>
      <c r="V8" s="701" t="s">
        <v>14</v>
      </c>
      <c r="W8" s="702">
        <f t="shared" si="2"/>
        <v>100</v>
      </c>
      <c r="X8" s="703"/>
      <c r="Y8" s="3737" t="s">
        <v>1680</v>
      </c>
      <c r="Z8" s="3738"/>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0" t="s">
        <v>1688</v>
      </c>
      <c r="Q15" s="1352" t="str">
        <f t="shared" si="6"/>
        <v>商业繁华度</v>
      </c>
      <c r="R15" s="705" t="s">
        <v>14</v>
      </c>
      <c r="S15" s="706">
        <f t="shared" si="0"/>
        <v>100</v>
      </c>
      <c r="T15" s="705" t="s">
        <v>14</v>
      </c>
      <c r="U15" s="706">
        <f t="shared" si="1"/>
        <v>100</v>
      </c>
      <c r="V15" s="705" t="s">
        <v>14</v>
      </c>
      <c r="W15" s="706">
        <f t="shared" si="2"/>
        <v>100</v>
      </c>
      <c r="X15" s="1355"/>
      <c r="Y15" s="3703"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1"/>
      <c r="Q22" s="1352"/>
      <c r="R22" s="705"/>
      <c r="S22" s="706"/>
      <c r="T22" s="705"/>
      <c r="U22" s="706"/>
      <c r="V22" s="705"/>
      <c r="W22" s="706"/>
      <c r="X22" s="1355"/>
      <c r="Y22" s="3704"/>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1693</v>
      </c>
      <c r="Q32" s="1352" t="str">
        <f t="shared" si="11"/>
        <v>商业类型</v>
      </c>
      <c r="R32" s="705" t="s">
        <v>14</v>
      </c>
      <c r="S32" s="706">
        <f t="shared" si="12"/>
        <v>100</v>
      </c>
      <c r="T32" s="705" t="s">
        <v>14</v>
      </c>
      <c r="U32" s="706">
        <f t="shared" si="13"/>
        <v>100</v>
      </c>
      <c r="V32" s="705" t="s">
        <v>14</v>
      </c>
      <c r="W32" s="706">
        <f t="shared" si="14"/>
        <v>100</v>
      </c>
      <c r="X32" s="1355"/>
      <c r="Y32" s="3708"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1693</v>
      </c>
      <c r="Q38" s="1352" t="str">
        <f t="shared" si="11"/>
        <v>业态</v>
      </c>
      <c r="R38" s="705" t="s">
        <v>14</v>
      </c>
      <c r="S38" s="706">
        <f t="shared" si="12"/>
        <v>100</v>
      </c>
      <c r="T38" s="705" t="s">
        <v>14</v>
      </c>
      <c r="U38" s="706">
        <f t="shared" si="13"/>
        <v>100</v>
      </c>
      <c r="V38" s="705" t="s">
        <v>14</v>
      </c>
      <c r="W38" s="706">
        <f t="shared" si="14"/>
        <v>100</v>
      </c>
      <c r="X38" s="1355"/>
      <c r="Y38" s="3708"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701" t="str">
        <f>A47</f>
        <v>成交单价（元/平方米）</v>
      </c>
      <c r="Q47" s="3701"/>
      <c r="R47" s="3732">
        <f>E47</f>
        <v>0</v>
      </c>
      <c r="S47" s="3732"/>
      <c r="T47" s="3732">
        <f>G47</f>
        <v>0</v>
      </c>
      <c r="U47" s="3732"/>
      <c r="V47" s="3732">
        <f>I47</f>
        <v>0</v>
      </c>
      <c r="W47" s="3732"/>
      <c r="X47" s="690"/>
      <c r="Y47" s="712"/>
      <c r="Z47" s="690"/>
      <c r="AA47" s="690"/>
      <c r="AB47" s="690"/>
      <c r="AC47" s="690"/>
    </row>
    <row r="48" spans="1:29" ht="15.75" thickBot="1">
      <c r="A48" s="437" t="s">
        <v>1790</v>
      </c>
      <c r="B48" s="438"/>
      <c r="C48" s="1160" t="e">
        <f>R49</f>
        <v>#DIV/0!</v>
      </c>
      <c r="D48" s="2317" t="s">
        <v>2134</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87440.459999999992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50" t="s">
        <v>1772</v>
      </c>
      <c r="Q4" s="3751"/>
      <c r="R4" s="3754" t="s">
        <v>1768</v>
      </c>
      <c r="S4" s="3755"/>
      <c r="T4" s="3754" t="s">
        <v>1769</v>
      </c>
      <c r="U4" s="3755"/>
      <c r="V4" s="3756" t="s">
        <v>1770</v>
      </c>
      <c r="W4" s="3756"/>
      <c r="X4" s="1958"/>
      <c r="Y4" s="3754" t="s">
        <v>1772</v>
      </c>
      <c r="Z4" s="3755"/>
      <c r="AA4" s="3758" t="s">
        <v>1768</v>
      </c>
      <c r="AB4" s="3758" t="s">
        <v>1769</v>
      </c>
      <c r="AC4" s="3747" t="s">
        <v>1770</v>
      </c>
    </row>
    <row r="5" spans="1:29" ht="15">
      <c r="A5" s="358"/>
      <c r="B5" s="359"/>
      <c r="C5" s="3735" t="s">
        <v>1670</v>
      </c>
      <c r="D5" s="3736"/>
      <c r="E5" s="3742" t="s">
        <v>1671</v>
      </c>
      <c r="F5" s="3743"/>
      <c r="G5" s="3735" t="s">
        <v>1672</v>
      </c>
      <c r="H5" s="3736"/>
      <c r="I5" s="3735" t="s">
        <v>1673</v>
      </c>
      <c r="J5" s="3736"/>
      <c r="K5" s="559"/>
      <c r="L5" s="2715"/>
      <c r="M5" s="2716"/>
      <c r="N5" s="2716"/>
      <c r="O5" s="2716"/>
      <c r="P5" s="3752"/>
      <c r="Q5" s="3723"/>
      <c r="R5" s="3728"/>
      <c r="S5" s="3729"/>
      <c r="T5" s="3728"/>
      <c r="U5" s="3729"/>
      <c r="V5" s="3732"/>
      <c r="W5" s="3732"/>
      <c r="X5" s="1355"/>
      <c r="Y5" s="3728"/>
      <c r="Z5" s="3729"/>
      <c r="AA5" s="3714"/>
      <c r="AB5" s="3714"/>
      <c r="AC5" s="3748"/>
    </row>
    <row r="6" spans="1:29" ht="15.75" thickBot="1">
      <c r="A6" s="360"/>
      <c r="B6" s="361"/>
      <c r="C6" s="3733" t="s">
        <v>1674</v>
      </c>
      <c r="D6" s="3734"/>
      <c r="E6" s="3740" t="s">
        <v>1674</v>
      </c>
      <c r="F6" s="3741"/>
      <c r="G6" s="3733" t="s">
        <v>1674</v>
      </c>
      <c r="H6" s="3734"/>
      <c r="I6" s="3733" t="s">
        <v>1674</v>
      </c>
      <c r="J6" s="3734"/>
      <c r="K6" s="559" t="s">
        <v>1675</v>
      </c>
      <c r="L6" s="2715"/>
      <c r="M6" s="2716"/>
      <c r="N6" s="2716"/>
      <c r="O6" s="2716"/>
      <c r="P6" s="3753"/>
      <c r="Q6" s="3725"/>
      <c r="R6" s="3728"/>
      <c r="S6" s="3729"/>
      <c r="T6" s="3730"/>
      <c r="U6" s="3731"/>
      <c r="V6" s="3732"/>
      <c r="W6" s="3732"/>
      <c r="X6" s="1355"/>
      <c r="Y6" s="3730"/>
      <c r="Z6" s="3731"/>
      <c r="AA6" s="3715"/>
      <c r="AB6" s="3715"/>
      <c r="AC6" s="3749"/>
    </row>
    <row r="7" spans="1:29" s="108" customFormat="1" ht="15.75" thickBot="1">
      <c r="A7" s="362" t="s">
        <v>1676</v>
      </c>
      <c r="B7" s="363"/>
      <c r="C7" s="364">
        <f>'数据-取费表'!B2</f>
        <v>45064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7" t="s">
        <v>1677</v>
      </c>
      <c r="Q7" s="3739"/>
      <c r="R7" s="701" t="s">
        <v>14</v>
      </c>
      <c r="S7" s="702">
        <f t="shared" ref="S7:S15" si="0">F7</f>
        <v>0</v>
      </c>
      <c r="T7" s="701" t="s">
        <v>14</v>
      </c>
      <c r="U7" s="702">
        <f t="shared" ref="U7:U15" si="1">H7</f>
        <v>0</v>
      </c>
      <c r="V7" s="701" t="s">
        <v>14</v>
      </c>
      <c r="W7" s="702">
        <f t="shared" ref="W7:W15" si="2">J7</f>
        <v>0</v>
      </c>
      <c r="X7" s="703"/>
      <c r="Y7" s="3737" t="s">
        <v>1677</v>
      </c>
      <c r="Z7" s="3738"/>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7" t="s">
        <v>1680</v>
      </c>
      <c r="Q8" s="3738"/>
      <c r="R8" s="701" t="s">
        <v>14</v>
      </c>
      <c r="S8" s="702">
        <f t="shared" si="0"/>
        <v>100</v>
      </c>
      <c r="T8" s="701" t="s">
        <v>14</v>
      </c>
      <c r="U8" s="702">
        <f t="shared" si="1"/>
        <v>100</v>
      </c>
      <c r="V8" s="701" t="s">
        <v>14</v>
      </c>
      <c r="W8" s="702">
        <f t="shared" si="2"/>
        <v>100</v>
      </c>
      <c r="X8" s="703"/>
      <c r="Y8" s="3737" t="s">
        <v>1680</v>
      </c>
      <c r="Z8" s="3738"/>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57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0" t="s">
        <v>1688</v>
      </c>
      <c r="Q15" s="1352" t="str">
        <f t="shared" si="6"/>
        <v>办公集聚程度</v>
      </c>
      <c r="R15" s="705" t="s">
        <v>14</v>
      </c>
      <c r="S15" s="706">
        <f t="shared" si="0"/>
        <v>100</v>
      </c>
      <c r="T15" s="705" t="s">
        <v>14</v>
      </c>
      <c r="U15" s="706">
        <f t="shared" si="1"/>
        <v>100</v>
      </c>
      <c r="V15" s="705" t="s">
        <v>14</v>
      </c>
      <c r="W15" s="706">
        <f t="shared" si="2"/>
        <v>100</v>
      </c>
      <c r="X15" s="1355"/>
      <c r="Y15" s="3703"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1"/>
      <c r="Q22" s="1352"/>
      <c r="R22" s="705"/>
      <c r="S22" s="706"/>
      <c r="T22" s="705"/>
      <c r="U22" s="706"/>
      <c r="V22" s="705"/>
      <c r="W22" s="706"/>
      <c r="X22" s="1355"/>
      <c r="Y22" s="3704"/>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1"/>
      <c r="Q26" s="1352"/>
      <c r="R26" s="705"/>
      <c r="S26" s="706"/>
      <c r="T26" s="705"/>
      <c r="U26" s="706"/>
      <c r="V26" s="705"/>
      <c r="W26" s="706"/>
      <c r="X26" s="1355"/>
      <c r="Y26" s="3704"/>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5" t="s">
        <v>1693</v>
      </c>
      <c r="Q33" s="1352" t="str">
        <f t="shared" si="11"/>
        <v>建筑类型</v>
      </c>
      <c r="R33" s="705" t="s">
        <v>14</v>
      </c>
      <c r="S33" s="706">
        <f t="shared" si="12"/>
        <v>100</v>
      </c>
      <c r="T33" s="705" t="s">
        <v>14</v>
      </c>
      <c r="U33" s="706">
        <f t="shared" si="13"/>
        <v>100</v>
      </c>
      <c r="V33" s="705" t="s">
        <v>14</v>
      </c>
      <c r="W33" s="706">
        <f t="shared" si="14"/>
        <v>100</v>
      </c>
      <c r="X33" s="1355"/>
      <c r="Y33" s="3708"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6" t="s">
        <v>1693</v>
      </c>
      <c r="Q39" s="1352" t="str">
        <f t="shared" si="11"/>
        <v>物业管理</v>
      </c>
      <c r="R39" s="705" t="s">
        <v>14</v>
      </c>
      <c r="S39" s="706">
        <f t="shared" si="12"/>
        <v>100</v>
      </c>
      <c r="T39" s="705" t="s">
        <v>14</v>
      </c>
      <c r="U39" s="706">
        <f t="shared" si="13"/>
        <v>100</v>
      </c>
      <c r="V39" s="705" t="s">
        <v>14</v>
      </c>
      <c r="W39" s="706">
        <f t="shared" si="14"/>
        <v>100</v>
      </c>
      <c r="X39" s="1355"/>
      <c r="Y39" s="3708"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712"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1790</v>
      </c>
      <c r="B49" s="438"/>
      <c r="C49" s="1160" t="e">
        <f>R50</f>
        <v>#DIV/0!</v>
      </c>
      <c r="D49" s="2317" t="s">
        <v>2134</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895</v>
      </c>
    </row>
    <row r="2" spans="1:1">
      <c r="A2" s="1478"/>
    </row>
    <row r="3" spans="1:1" ht="18">
      <c r="A3" s="1479" t="str">
        <f>项目基本情况!B5&amp;"："</f>
        <v>：</v>
      </c>
    </row>
    <row r="4" spans="1:1" ht="18">
      <c r="A4" s="1480" t="str">
        <f>"受贵公司委托，我公司对"&amp;项目基本情况!S1&amp;"进行了预评估。"</f>
        <v>受贵公司委托，我公司对北京市337房地产抵押价值进行了预评估。</v>
      </c>
    </row>
    <row r="5" spans="1:1" ht="18.75">
      <c r="A5" s="1481" t="s">
        <v>896</v>
      </c>
    </row>
    <row r="6" spans="1:1" ht="18.75">
      <c r="A6" s="1482" t="s">
        <v>897</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估价对象为北京市337房地产，为所有。根据《国有土地使用证》[]，估价对象（分摊）出让国有建设用地使用权面积为30808.7平方米，建筑面积为87440.46平方米。</v>
      </c>
    </row>
    <row r="8" spans="1:1" ht="57.75">
      <c r="A8" s="1483" t="s">
        <v>898</v>
      </c>
    </row>
    <row r="9" spans="1:1" ht="18.75">
      <c r="A9" s="1482" t="s">
        <v>899</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估价对象为北京市337房地产,属开发建设的，该项目尚在开发建设中。根据《国有土地使用证》[]，估价对象（分摊）出让国有建设用地使用权面积为30808.7平方米，规划建筑面积为87440.46平方米。</v>
      </c>
    </row>
    <row r="11" spans="1:1" ht="76.5">
      <c r="A11" s="1483" t="s">
        <v>900</v>
      </c>
    </row>
    <row r="12" spans="1:1" ht="18.75">
      <c r="A12" s="1481" t="s">
        <v>901</v>
      </c>
    </row>
    <row r="13" spans="1:1" ht="38.25" customHeight="1">
      <c r="A13" s="1484" t="str">
        <f>IF(项目基本情况!B8="抵押",IF(项目基本情况!B5=项目基本情况!B6,定义!C51,定义!B51),定义!D51)</f>
        <v>拟使用北京市337房地产作为抵押担保物，向办理贷款手续。特委托北京康正宏基房地产评估有限公司对上述抵押物进行评估。本次评估为确定房地产抵押贷款额度提供参考依据而评估房地产抵押价值。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902</v>
      </c>
    </row>
    <row r="15" spans="1:1" ht="18">
      <c r="A15" s="1486" t="str">
        <f>TEXT(项目基本情况!D3,"yyyy年m月d日;;")&amp;IF(项目基本情况!D3=项目基本情况!B3,"（评估专业人员实地查勘之日）","")</f>
        <v>2023年5月18日（评估专业人员实地查勘之日）</v>
      </c>
    </row>
    <row r="16" spans="1:1" ht="18.75">
      <c r="A16" s="1485" t="s">
        <v>903</v>
      </c>
    </row>
    <row r="17" spans="1:1" ht="75">
      <c r="A17" s="1480" t="s">
        <v>904</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893</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894</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87440.459999999992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913"/>
      <c r="M4" s="914"/>
      <c r="N4" s="914"/>
      <c r="O4" s="914"/>
      <c r="P4" s="3720" t="s">
        <v>1772</v>
      </c>
      <c r="Q4" s="3721"/>
      <c r="R4" s="3726" t="s">
        <v>1768</v>
      </c>
      <c r="S4" s="3727"/>
      <c r="T4" s="3726" t="s">
        <v>1769</v>
      </c>
      <c r="U4" s="3727"/>
      <c r="V4" s="3732" t="s">
        <v>1770</v>
      </c>
      <c r="W4" s="3732"/>
      <c r="X4" s="1355"/>
      <c r="Y4" s="3726" t="s">
        <v>1772</v>
      </c>
      <c r="Z4" s="3727"/>
      <c r="AA4" s="3713" t="s">
        <v>1768</v>
      </c>
      <c r="AB4" s="3714" t="s">
        <v>1769</v>
      </c>
      <c r="AC4" s="3713" t="s">
        <v>1770</v>
      </c>
    </row>
    <row r="5" spans="1:29" ht="15">
      <c r="A5" s="358"/>
      <c r="B5" s="359"/>
      <c r="C5" s="3735" t="s">
        <v>1670</v>
      </c>
      <c r="D5" s="3736"/>
      <c r="E5" s="3742" t="s">
        <v>1671</v>
      </c>
      <c r="F5" s="3743"/>
      <c r="G5" s="3735" t="s">
        <v>1672</v>
      </c>
      <c r="H5" s="3736"/>
      <c r="I5" s="3735" t="s">
        <v>1673</v>
      </c>
      <c r="J5" s="3736"/>
      <c r="K5" s="559"/>
      <c r="L5" s="913"/>
      <c r="M5" s="914"/>
      <c r="N5" s="914"/>
      <c r="O5" s="914"/>
      <c r="P5" s="3722"/>
      <c r="Q5" s="3723"/>
      <c r="R5" s="3728"/>
      <c r="S5" s="3729"/>
      <c r="T5" s="3728"/>
      <c r="U5" s="3729"/>
      <c r="V5" s="3732"/>
      <c r="W5" s="3732"/>
      <c r="X5" s="1355"/>
      <c r="Y5" s="3728"/>
      <c r="Z5" s="3729"/>
      <c r="AA5" s="3714"/>
      <c r="AB5" s="3714"/>
      <c r="AC5" s="3714"/>
    </row>
    <row r="6" spans="1:29" ht="15.75" thickBot="1">
      <c r="A6" s="360"/>
      <c r="B6" s="361"/>
      <c r="C6" s="3733" t="s">
        <v>1674</v>
      </c>
      <c r="D6" s="3734"/>
      <c r="E6" s="3740" t="s">
        <v>1674</v>
      </c>
      <c r="F6" s="3741"/>
      <c r="G6" s="3733" t="s">
        <v>1674</v>
      </c>
      <c r="H6" s="3734"/>
      <c r="I6" s="3733" t="s">
        <v>1674</v>
      </c>
      <c r="J6" s="3734"/>
      <c r="K6" s="559" t="s">
        <v>1675</v>
      </c>
      <c r="L6" s="913"/>
      <c r="M6" s="914"/>
      <c r="N6" s="914"/>
      <c r="O6" s="914"/>
      <c r="P6" s="3724"/>
      <c r="Q6" s="3725"/>
      <c r="R6" s="3728"/>
      <c r="S6" s="3729"/>
      <c r="T6" s="3730"/>
      <c r="U6" s="3731"/>
      <c r="V6" s="3732"/>
      <c r="W6" s="3732"/>
      <c r="X6" s="1355"/>
      <c r="Y6" s="3730"/>
      <c r="Z6" s="3731"/>
      <c r="AA6" s="3715"/>
      <c r="AB6" s="3715"/>
      <c r="AC6" s="3715"/>
    </row>
    <row r="7" spans="1:29" s="108" customFormat="1" ht="15.75" thickBot="1">
      <c r="A7" s="362" t="s">
        <v>1676</v>
      </c>
      <c r="B7" s="363"/>
      <c r="C7" s="364">
        <f>'数据-取费表'!B2</f>
        <v>45064</v>
      </c>
      <c r="D7" s="365">
        <v>100</v>
      </c>
      <c r="E7" s="366"/>
      <c r="F7" s="367">
        <f>SUMIF(52:52,YEAR(E7)&amp;"-"&amp;MONTH(E7),53:53)</f>
        <v>0</v>
      </c>
      <c r="G7" s="366"/>
      <c r="H7" s="365">
        <f>SUMIF(52:52,YEAR(G7)&amp;"-"&amp;MONTH(G7),53:53)</f>
        <v>0</v>
      </c>
      <c r="I7" s="366"/>
      <c r="J7" s="365">
        <f>SUMIF(52:52,YEAR(I7)&amp;"-"&amp;MONTH(I7),53:53)</f>
        <v>0</v>
      </c>
      <c r="K7" s="560"/>
      <c r="L7" s="915"/>
      <c r="M7" s="916"/>
      <c r="N7" s="916"/>
      <c r="O7" s="916"/>
      <c r="P7" s="3737" t="s">
        <v>1677</v>
      </c>
      <c r="Q7" s="3739"/>
      <c r="R7" s="701" t="s">
        <v>14</v>
      </c>
      <c r="S7" s="702">
        <f t="shared" ref="S7:S15" si="0">F7</f>
        <v>0</v>
      </c>
      <c r="T7" s="701" t="s">
        <v>14</v>
      </c>
      <c r="U7" s="702">
        <f t="shared" ref="U7:U15" si="1">H7</f>
        <v>0</v>
      </c>
      <c r="V7" s="701" t="s">
        <v>14</v>
      </c>
      <c r="W7" s="702">
        <f t="shared" ref="W7:W15" si="2">J7</f>
        <v>0</v>
      </c>
      <c r="X7" s="703"/>
      <c r="Y7" s="3737" t="s">
        <v>1677</v>
      </c>
      <c r="Z7" s="3738"/>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7" t="s">
        <v>1680</v>
      </c>
      <c r="Q8" s="3738"/>
      <c r="R8" s="701" t="s">
        <v>14</v>
      </c>
      <c r="S8" s="702">
        <f t="shared" si="0"/>
        <v>100</v>
      </c>
      <c r="T8" s="701" t="s">
        <v>14</v>
      </c>
      <c r="U8" s="702">
        <f t="shared" si="1"/>
        <v>100</v>
      </c>
      <c r="V8" s="701" t="s">
        <v>14</v>
      </c>
      <c r="W8" s="702">
        <f t="shared" si="2"/>
        <v>100</v>
      </c>
      <c r="X8" s="703"/>
      <c r="Y8" s="3737" t="s">
        <v>1680</v>
      </c>
      <c r="Z8" s="3738"/>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57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1688</v>
      </c>
      <c r="Q15" s="1352" t="str">
        <f t="shared" si="6"/>
        <v>产业集聚程度</v>
      </c>
      <c r="R15" s="705" t="s">
        <v>14</v>
      </c>
      <c r="S15" s="706">
        <f t="shared" si="0"/>
        <v>100</v>
      </c>
      <c r="T15" s="705" t="s">
        <v>14</v>
      </c>
      <c r="U15" s="706">
        <f t="shared" si="1"/>
        <v>100</v>
      </c>
      <c r="V15" s="705" t="s">
        <v>14</v>
      </c>
      <c r="W15" s="706">
        <f t="shared" si="2"/>
        <v>100</v>
      </c>
      <c r="X15" s="1355"/>
      <c r="Y15" s="3703"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1693</v>
      </c>
      <c r="Q29" s="1352" t="str">
        <f t="shared" si="11"/>
        <v>建筑类型</v>
      </c>
      <c r="R29" s="705" t="s">
        <v>14</v>
      </c>
      <c r="S29" s="706">
        <f t="shared" si="12"/>
        <v>100</v>
      </c>
      <c r="T29" s="705" t="s">
        <v>14</v>
      </c>
      <c r="U29" s="706">
        <f t="shared" si="13"/>
        <v>100</v>
      </c>
      <c r="V29" s="705" t="s">
        <v>14</v>
      </c>
      <c r="W29" s="706">
        <f t="shared" si="14"/>
        <v>100</v>
      </c>
      <c r="X29" s="1355"/>
      <c r="Y29" s="3708"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1693</v>
      </c>
      <c r="Q35" s="1352" t="str">
        <f t="shared" si="11"/>
        <v>市政基础设施</v>
      </c>
      <c r="R35" s="705" t="s">
        <v>14</v>
      </c>
      <c r="S35" s="706">
        <f t="shared" si="12"/>
        <v>100</v>
      </c>
      <c r="T35" s="705" t="s">
        <v>14</v>
      </c>
      <c r="U35" s="706">
        <f t="shared" si="13"/>
        <v>100</v>
      </c>
      <c r="V35" s="705" t="s">
        <v>14</v>
      </c>
      <c r="W35" s="706">
        <f t="shared" si="14"/>
        <v>100</v>
      </c>
      <c r="X35" s="1355"/>
      <c r="Y35" s="3708"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3334</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26" t="s">
        <v>1768</v>
      </c>
      <c r="S4" s="3727"/>
      <c r="T4" s="3726" t="s">
        <v>1769</v>
      </c>
      <c r="U4" s="3727"/>
      <c r="V4" s="3732" t="s">
        <v>1770</v>
      </c>
      <c r="W4" s="3732"/>
      <c r="X4" s="1355"/>
      <c r="Y4" s="3726" t="s">
        <v>1772</v>
      </c>
      <c r="Z4" s="3727"/>
      <c r="AA4" s="3713" t="s">
        <v>1768</v>
      </c>
      <c r="AB4" s="3714" t="s">
        <v>1769</v>
      </c>
      <c r="AC4" s="3713" t="s">
        <v>1770</v>
      </c>
    </row>
    <row r="5" spans="1:29" ht="15">
      <c r="A5" s="358"/>
      <c r="B5" s="359"/>
      <c r="C5" s="3735" t="s">
        <v>1670</v>
      </c>
      <c r="D5" s="3736"/>
      <c r="E5" s="3742" t="s">
        <v>1671</v>
      </c>
      <c r="F5" s="3743"/>
      <c r="G5" s="3735" t="s">
        <v>1672</v>
      </c>
      <c r="H5" s="3736"/>
      <c r="I5" s="3735" t="s">
        <v>1673</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1674</v>
      </c>
      <c r="D6" s="3734"/>
      <c r="E6" s="3740" t="s">
        <v>1674</v>
      </c>
      <c r="F6" s="3741"/>
      <c r="G6" s="3733" t="s">
        <v>1674</v>
      </c>
      <c r="H6" s="3734"/>
      <c r="I6" s="3733" t="s">
        <v>1674</v>
      </c>
      <c r="J6" s="3734"/>
      <c r="K6" s="559" t="s">
        <v>1675</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1676</v>
      </c>
      <c r="B7" s="363"/>
      <c r="C7" s="364">
        <f>'数据-取费表'!B2</f>
        <v>45064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7" t="s">
        <v>1677</v>
      </c>
      <c r="Q7" s="3739"/>
      <c r="R7" s="701" t="s">
        <v>14</v>
      </c>
      <c r="S7" s="702">
        <f t="shared" ref="S7:S14" si="0">F7</f>
        <v>0</v>
      </c>
      <c r="T7" s="701" t="s">
        <v>14</v>
      </c>
      <c r="U7" s="702">
        <f t="shared" ref="U7:U14" si="1">H7</f>
        <v>0</v>
      </c>
      <c r="V7" s="701" t="s">
        <v>14</v>
      </c>
      <c r="W7" s="702">
        <f t="shared" ref="W7:W14" si="2">J7</f>
        <v>0</v>
      </c>
      <c r="X7" s="703"/>
      <c r="Y7" s="3737" t="s">
        <v>1677</v>
      </c>
      <c r="Z7" s="3738"/>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7" t="s">
        <v>1680</v>
      </c>
      <c r="Q8" s="3738"/>
      <c r="R8" s="701" t="s">
        <v>14</v>
      </c>
      <c r="S8" s="702">
        <f t="shared" si="0"/>
        <v>100</v>
      </c>
      <c r="T8" s="701" t="s">
        <v>14</v>
      </c>
      <c r="U8" s="702">
        <f t="shared" si="1"/>
        <v>100</v>
      </c>
      <c r="V8" s="701" t="s">
        <v>14</v>
      </c>
      <c r="W8" s="702">
        <f t="shared" si="2"/>
        <v>100</v>
      </c>
      <c r="X8" s="703"/>
      <c r="Y8" s="3737" t="s">
        <v>1680</v>
      </c>
      <c r="Z8" s="3738"/>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1683</v>
      </c>
      <c r="Q9" s="1343" t="str">
        <f t="shared" ref="Q9:Q14" si="6">B9</f>
        <v>用途</v>
      </c>
      <c r="R9" s="701" t="s">
        <v>14</v>
      </c>
      <c r="S9" s="702">
        <f t="shared" si="0"/>
        <v>100</v>
      </c>
      <c r="T9" s="701" t="s">
        <v>14</v>
      </c>
      <c r="U9" s="702">
        <f t="shared" si="1"/>
        <v>100</v>
      </c>
      <c r="V9" s="701" t="s">
        <v>14</v>
      </c>
      <c r="W9" s="702">
        <f t="shared" si="2"/>
        <v>100</v>
      </c>
      <c r="X9" s="703"/>
      <c r="Y9" s="3576"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57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1688</v>
      </c>
      <c r="Q14" s="1352" t="str">
        <f t="shared" si="6"/>
        <v>交通便捷度</v>
      </c>
      <c r="R14" s="705" t="s">
        <v>14</v>
      </c>
      <c r="S14" s="706">
        <f t="shared" si="0"/>
        <v>100</v>
      </c>
      <c r="T14" s="705" t="s">
        <v>14</v>
      </c>
      <c r="U14" s="706">
        <f t="shared" si="1"/>
        <v>100</v>
      </c>
      <c r="V14" s="705" t="s">
        <v>14</v>
      </c>
      <c r="W14" s="706">
        <f t="shared" si="2"/>
        <v>100</v>
      </c>
      <c r="X14" s="1355"/>
      <c r="Y14" s="3703"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9"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1693</v>
      </c>
      <c r="Q32" s="1352" t="str">
        <f t="shared" si="11"/>
        <v>车位类型</v>
      </c>
      <c r="R32" s="705" t="s">
        <v>14</v>
      </c>
      <c r="S32" s="706">
        <f t="shared" si="12"/>
        <v>100</v>
      </c>
      <c r="T32" s="705" t="s">
        <v>14</v>
      </c>
      <c r="U32" s="706">
        <f t="shared" si="13"/>
        <v>100</v>
      </c>
      <c r="V32" s="705" t="s">
        <v>14</v>
      </c>
      <c r="W32" s="706">
        <f t="shared" si="14"/>
        <v>100</v>
      </c>
      <c r="X32" s="1355"/>
      <c r="Y32" s="3708"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1841</v>
      </c>
      <c r="B37" s="1973" t="s">
        <v>3355</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698" t="str">
        <f>A39</f>
        <v>估价对象XX用房的比较价值（楼面单价，元/平方米）</v>
      </c>
      <c r="Q39" s="3699"/>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3335</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26" t="s">
        <v>1768</v>
      </c>
      <c r="S4" s="3727"/>
      <c r="T4" s="3726" t="s">
        <v>1769</v>
      </c>
      <c r="U4" s="3727"/>
      <c r="V4" s="3732" t="s">
        <v>1770</v>
      </c>
      <c r="W4" s="3732"/>
      <c r="X4" s="1355"/>
      <c r="Y4" s="3726" t="s">
        <v>1772</v>
      </c>
      <c r="Z4" s="3727"/>
      <c r="AA4" s="3713" t="s">
        <v>1768</v>
      </c>
      <c r="AB4" s="3714" t="s">
        <v>1769</v>
      </c>
      <c r="AC4" s="3713" t="s">
        <v>1770</v>
      </c>
    </row>
    <row r="5" spans="1:29" ht="15">
      <c r="A5" s="358"/>
      <c r="B5" s="359"/>
      <c r="C5" s="3735" t="s">
        <v>1670</v>
      </c>
      <c r="D5" s="3736"/>
      <c r="E5" s="3742" t="s">
        <v>1671</v>
      </c>
      <c r="F5" s="3743"/>
      <c r="G5" s="3735" t="s">
        <v>1672</v>
      </c>
      <c r="H5" s="3736"/>
      <c r="I5" s="3735" t="s">
        <v>1673</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1674</v>
      </c>
      <c r="D6" s="3734"/>
      <c r="E6" s="3740" t="s">
        <v>1674</v>
      </c>
      <c r="F6" s="3741"/>
      <c r="G6" s="3733" t="s">
        <v>1674</v>
      </c>
      <c r="H6" s="3734"/>
      <c r="I6" s="3733" t="s">
        <v>1674</v>
      </c>
      <c r="J6" s="3734"/>
      <c r="K6" s="559" t="s">
        <v>1675</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1676</v>
      </c>
      <c r="B7" s="363"/>
      <c r="C7" s="364">
        <f>'数据-取费表'!B2</f>
        <v>45064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7" t="s">
        <v>1677</v>
      </c>
      <c r="Q7" s="3739"/>
      <c r="R7" s="701" t="s">
        <v>14</v>
      </c>
      <c r="S7" s="702">
        <f t="shared" ref="S7:S14" si="0">F7</f>
        <v>0</v>
      </c>
      <c r="T7" s="701" t="s">
        <v>14</v>
      </c>
      <c r="U7" s="702">
        <f t="shared" ref="U7:U14" si="1">H7</f>
        <v>0</v>
      </c>
      <c r="V7" s="701" t="s">
        <v>14</v>
      </c>
      <c r="W7" s="702">
        <f t="shared" ref="W7:W14" si="2">J7</f>
        <v>0</v>
      </c>
      <c r="X7" s="703"/>
      <c r="Y7" s="3737" t="s">
        <v>1677</v>
      </c>
      <c r="Z7" s="3738"/>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7" t="s">
        <v>1680</v>
      </c>
      <c r="Q8" s="3738"/>
      <c r="R8" s="701" t="s">
        <v>14</v>
      </c>
      <c r="S8" s="702">
        <f t="shared" si="0"/>
        <v>100</v>
      </c>
      <c r="T8" s="701" t="s">
        <v>14</v>
      </c>
      <c r="U8" s="702">
        <f t="shared" si="1"/>
        <v>100</v>
      </c>
      <c r="V8" s="701" t="s">
        <v>14</v>
      </c>
      <c r="W8" s="702">
        <f t="shared" si="2"/>
        <v>100</v>
      </c>
      <c r="X8" s="703"/>
      <c r="Y8" s="3737" t="s">
        <v>1680</v>
      </c>
      <c r="Z8" s="3738"/>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1683</v>
      </c>
      <c r="Q9" s="1343" t="str">
        <f t="shared" ref="Q9:Q14" si="6">B9</f>
        <v>用途</v>
      </c>
      <c r="R9" s="701" t="s">
        <v>14</v>
      </c>
      <c r="S9" s="702">
        <f t="shared" si="0"/>
        <v>100</v>
      </c>
      <c r="T9" s="701" t="s">
        <v>14</v>
      </c>
      <c r="U9" s="702">
        <f t="shared" si="1"/>
        <v>100</v>
      </c>
      <c r="V9" s="701" t="s">
        <v>14</v>
      </c>
      <c r="W9" s="702">
        <f t="shared" si="2"/>
        <v>100</v>
      </c>
      <c r="X9" s="703"/>
      <c r="Y9" s="3576"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57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1688</v>
      </c>
      <c r="Q14" s="1352" t="str">
        <f t="shared" si="6"/>
        <v>交通便捷度</v>
      </c>
      <c r="R14" s="705" t="s">
        <v>14</v>
      </c>
      <c r="S14" s="706">
        <f t="shared" si="0"/>
        <v>100</v>
      </c>
      <c r="T14" s="705" t="s">
        <v>14</v>
      </c>
      <c r="U14" s="706">
        <f t="shared" si="1"/>
        <v>100</v>
      </c>
      <c r="V14" s="705" t="s">
        <v>14</v>
      </c>
      <c r="W14" s="706">
        <f t="shared" si="2"/>
        <v>100</v>
      </c>
      <c r="X14" s="1355"/>
      <c r="Y14" s="3703"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9"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1693</v>
      </c>
      <c r="Q32" s="1352">
        <f t="shared" si="11"/>
        <v>111</v>
      </c>
      <c r="R32" s="705" t="s">
        <v>14</v>
      </c>
      <c r="S32" s="706">
        <f t="shared" si="12"/>
        <v>100</v>
      </c>
      <c r="T32" s="705" t="s">
        <v>14</v>
      </c>
      <c r="U32" s="706">
        <f t="shared" si="13"/>
        <v>100</v>
      </c>
      <c r="V32" s="705" t="s">
        <v>14</v>
      </c>
      <c r="W32" s="706">
        <f t="shared" si="14"/>
        <v>100</v>
      </c>
      <c r="X32" s="1355"/>
      <c r="Y32" s="3708"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1790</v>
      </c>
      <c r="B36" s="438"/>
      <c r="C36" s="1160" t="e">
        <f>R37</f>
        <v>#DIV/0!</v>
      </c>
      <c r="D36" s="2317" t="s">
        <v>2134</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698" t="str">
        <f>A37</f>
        <v>估价对象XX用房的比较价值（楼面单价，元/平方米）</v>
      </c>
      <c r="Q37" s="3699"/>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8" sqref="G6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7.125" style="357" customWidth="1"/>
    <col min="6" max="6" width="12.25" style="357" customWidth="1"/>
    <col min="7" max="7" width="18"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f>F65</f>
        <v>29505</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f>ROUND(IF(D3="",B2*10000/'数据-汇总表'!E3,B2*10000/D3),0)</f>
        <v>3374</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26" t="s">
        <v>1768</v>
      </c>
      <c r="S4" s="3727"/>
      <c r="T4" s="3726" t="s">
        <v>1769</v>
      </c>
      <c r="U4" s="3727"/>
      <c r="V4" s="3732" t="s">
        <v>1770</v>
      </c>
      <c r="W4" s="3732"/>
      <c r="X4" s="1355"/>
      <c r="Y4" s="3726" t="s">
        <v>1772</v>
      </c>
      <c r="Z4" s="3727"/>
      <c r="AA4" s="3713" t="s">
        <v>1768</v>
      </c>
      <c r="AB4" s="3714" t="s">
        <v>1769</v>
      </c>
      <c r="AC4" s="3713" t="s">
        <v>1770</v>
      </c>
    </row>
    <row r="5" spans="1:30" ht="43.5" customHeight="1">
      <c r="A5" s="358"/>
      <c r="B5" s="359"/>
      <c r="C5" s="3764" t="str">
        <f>项目基本情况!F10</f>
        <v>337</v>
      </c>
      <c r="D5" s="3736"/>
      <c r="E5" s="3742" t="str">
        <f>土地案例!A3</f>
        <v>北京市大兴区瀛海镇集体经营性建设用地入市试点(一期) YZ00-0803-0012 地块</v>
      </c>
      <c r="F5" s="3743"/>
      <c r="G5" s="3735" t="str">
        <f>土地案例!A4</f>
        <v>北京市大兴区魏善庄镇集体经营性建设用地(北部组团)项目DX07-0303-0009地块</v>
      </c>
      <c r="H5" s="3736"/>
      <c r="I5" s="3735" t="str">
        <f>土地案例!A6</f>
        <v>北京市大兴区黄村镇狼垡地区集体产业用地2号地DX00-1002-L06地块</v>
      </c>
      <c r="J5" s="3736"/>
      <c r="K5" s="559"/>
      <c r="L5" s="2715"/>
      <c r="M5" s="2716"/>
      <c r="N5" s="2716"/>
      <c r="O5" s="2716"/>
      <c r="P5" s="3722"/>
      <c r="Q5" s="3723"/>
      <c r="R5" s="3728"/>
      <c r="S5" s="3729"/>
      <c r="T5" s="3728"/>
      <c r="U5" s="3729"/>
      <c r="V5" s="3732"/>
      <c r="W5" s="3732"/>
      <c r="X5" s="1355"/>
      <c r="Y5" s="3728"/>
      <c r="Z5" s="3729"/>
      <c r="AA5" s="3714"/>
      <c r="AB5" s="3714"/>
      <c r="AC5" s="3714"/>
    </row>
    <row r="6" spans="1:30" ht="15.75" thickBot="1">
      <c r="A6" s="360"/>
      <c r="B6" s="361"/>
      <c r="C6" s="3733" t="s">
        <v>1674</v>
      </c>
      <c r="D6" s="3734"/>
      <c r="E6" s="3740" t="s">
        <v>1674</v>
      </c>
      <c r="F6" s="3741"/>
      <c r="G6" s="3733" t="s">
        <v>1674</v>
      </c>
      <c r="H6" s="3734"/>
      <c r="I6" s="3733" t="s">
        <v>1674</v>
      </c>
      <c r="J6" s="3734"/>
      <c r="K6" s="559" t="s">
        <v>1675</v>
      </c>
      <c r="L6" s="2715"/>
      <c r="M6" s="2716"/>
      <c r="N6" s="2716"/>
      <c r="O6" s="2716"/>
      <c r="P6" s="3724"/>
      <c r="Q6" s="3725"/>
      <c r="R6" s="3728"/>
      <c r="S6" s="3729"/>
      <c r="T6" s="3730"/>
      <c r="U6" s="3731"/>
      <c r="V6" s="3732"/>
      <c r="W6" s="3732"/>
      <c r="X6" s="1355"/>
      <c r="Y6" s="3730"/>
      <c r="Z6" s="3731"/>
      <c r="AA6" s="3715"/>
      <c r="AB6" s="3715"/>
      <c r="AC6" s="3715"/>
    </row>
    <row r="7" spans="1:30" s="108" customFormat="1" ht="23.25" customHeight="1" thickBot="1">
      <c r="A7" s="362" t="s">
        <v>1676</v>
      </c>
      <c r="B7" s="363"/>
      <c r="C7" s="364">
        <f>'数据-取费表'!B2</f>
        <v>45064</v>
      </c>
      <c r="D7" s="365">
        <v>100</v>
      </c>
      <c r="E7" s="366">
        <f>土地案例!L3</f>
        <v>44550.000497685185</v>
      </c>
      <c r="F7" s="367">
        <f>SUMIF(69:69,YEAR(E7)&amp;"-"&amp;INT((MONTH(E7)+2)/3),70:70)</f>
        <v>99.6</v>
      </c>
      <c r="G7" s="1974">
        <f>土地案例!L4</f>
        <v>44410.000497685185</v>
      </c>
      <c r="H7" s="365">
        <f>SUMIF(69:69,YEAR(G7)&amp;"-"&amp;INT((MONTH(G7)+2)/3),70:70)</f>
        <v>99.6</v>
      </c>
      <c r="I7" s="1974">
        <f>土地案例!L6</f>
        <v>44187.000497685185</v>
      </c>
      <c r="J7" s="365">
        <f>SUMIF(69:69,YEAR(I7)&amp;"-"&amp;INT((MONTH(I7)+2)/3),70:70)</f>
        <v>99.4</v>
      </c>
      <c r="K7" s="560"/>
      <c r="L7" s="2717"/>
      <c r="M7" s="2718"/>
      <c r="N7" s="2718"/>
      <c r="O7" s="2718"/>
      <c r="P7" s="3737" t="s">
        <v>1677</v>
      </c>
      <c r="Q7" s="3739"/>
      <c r="R7" s="701" t="s">
        <v>14</v>
      </c>
      <c r="S7" s="702">
        <f t="shared" ref="S7:S15" si="0">F7</f>
        <v>99.6</v>
      </c>
      <c r="T7" s="701" t="s">
        <v>14</v>
      </c>
      <c r="U7" s="702">
        <f t="shared" ref="U7:U15" si="1">H7</f>
        <v>99.6</v>
      </c>
      <c r="V7" s="701" t="s">
        <v>14</v>
      </c>
      <c r="W7" s="702">
        <f t="shared" ref="W7:W15" si="2">J7</f>
        <v>99.4</v>
      </c>
      <c r="X7" s="703"/>
      <c r="Y7" s="3737" t="s">
        <v>1677</v>
      </c>
      <c r="Z7" s="3738"/>
      <c r="AA7" s="704">
        <f>D7/F7</f>
        <v>1.0040160642570282</v>
      </c>
      <c r="AB7" s="704">
        <f>D7/H7</f>
        <v>1.0040160642570282</v>
      </c>
      <c r="AC7" s="704">
        <f>D7/J7</f>
        <v>1.0060362173038229</v>
      </c>
    </row>
    <row r="8" spans="1:30" s="108" customFormat="1" ht="15.75" thickBot="1">
      <c r="A8" s="362" t="s">
        <v>1678</v>
      </c>
      <c r="B8" s="363"/>
      <c r="C8" s="368" t="s">
        <v>1679</v>
      </c>
      <c r="D8" s="365">
        <v>100</v>
      </c>
      <c r="E8" s="368" t="s">
        <v>1679</v>
      </c>
      <c r="F8" s="367">
        <f>SUMIF(72:72,E8,73:73)-SUMIF(72:72,C8,73:73)+100</f>
        <v>100</v>
      </c>
      <c r="G8" s="368" t="s">
        <v>1679</v>
      </c>
      <c r="H8" s="365">
        <f>SUMIF(72:72,G8,73:73)-SUMIF(72:72,C8,73:73)+100</f>
        <v>100</v>
      </c>
      <c r="I8" s="368" t="s">
        <v>1679</v>
      </c>
      <c r="J8" s="365">
        <f>SUMIF(72:72,I8,73:73)-SUMIF(72:72,C8,73:73)+100</f>
        <v>100</v>
      </c>
      <c r="K8" s="560"/>
      <c r="L8" s="2717"/>
      <c r="M8" s="2718"/>
      <c r="N8" s="2718"/>
      <c r="O8" s="2718"/>
      <c r="P8" s="3737" t="s">
        <v>1680</v>
      </c>
      <c r="Q8" s="3738"/>
      <c r="R8" s="701" t="s">
        <v>14</v>
      </c>
      <c r="S8" s="702">
        <f t="shared" si="0"/>
        <v>100</v>
      </c>
      <c r="T8" s="701" t="s">
        <v>14</v>
      </c>
      <c r="U8" s="702">
        <f t="shared" si="1"/>
        <v>100</v>
      </c>
      <c r="V8" s="701" t="s">
        <v>14</v>
      </c>
      <c r="W8" s="702">
        <f t="shared" si="2"/>
        <v>100</v>
      </c>
      <c r="X8" s="703"/>
      <c r="Y8" s="3737" t="s">
        <v>1680</v>
      </c>
      <c r="Z8" s="3738"/>
      <c r="AA8" s="704">
        <f t="shared" ref="AA8:AA45" si="3">D8/F8</f>
        <v>1</v>
      </c>
      <c r="AB8" s="704">
        <f t="shared" ref="AB8:AB45" si="4">D8/H8</f>
        <v>1</v>
      </c>
      <c r="AC8" s="704">
        <f t="shared" ref="AC8:AC45" si="5">D8/J8</f>
        <v>1</v>
      </c>
    </row>
    <row r="9" spans="1:30" s="108" customFormat="1">
      <c r="A9" s="369" t="s">
        <v>1681</v>
      </c>
      <c r="B9" s="63" t="s">
        <v>1682</v>
      </c>
      <c r="C9" s="1977" t="s">
        <v>3559</v>
      </c>
      <c r="D9" s="126">
        <v>100</v>
      </c>
      <c r="E9" s="1977" t="s">
        <v>3559</v>
      </c>
      <c r="F9" s="126">
        <f>SUMIF(74:74,E9,75:75)-SUMIF(74:74,C9,75:75)+100</f>
        <v>100</v>
      </c>
      <c r="G9" s="1977" t="s">
        <v>3559</v>
      </c>
      <c r="H9" s="126">
        <f>SUMIF(74:74,G9,75:75)-SUMIF(74:74,C9,75:75)+100</f>
        <v>100</v>
      </c>
      <c r="I9" s="1977" t="s">
        <v>3559</v>
      </c>
      <c r="J9" s="126">
        <f>SUMIF(74:74,I9,75:75)-SUMIF(74:74,C9,75:75)+100</f>
        <v>100</v>
      </c>
      <c r="K9" s="560"/>
      <c r="L9" s="2717"/>
      <c r="M9" s="2718"/>
      <c r="N9" s="2718"/>
      <c r="O9" s="2772"/>
      <c r="P9" s="3701"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102</v>
      </c>
      <c r="G10" s="414"/>
      <c r="H10" s="127">
        <f>ROUND(100/'数据-取费表'!G16,0)</f>
        <v>102</v>
      </c>
      <c r="I10" s="414"/>
      <c r="J10" s="127">
        <f>ROUND(100/'数据-取费表'!G16,0)</f>
        <v>102</v>
      </c>
      <c r="K10" s="620"/>
      <c r="L10" s="2719"/>
      <c r="M10" s="2720"/>
      <c r="N10" s="2720"/>
      <c r="O10" s="2773"/>
      <c r="P10" s="3701"/>
      <c r="Q10" s="1343" t="str">
        <f t="shared" si="6"/>
        <v>土地使用年限（年）</v>
      </c>
      <c r="R10" s="701" t="s">
        <v>14</v>
      </c>
      <c r="S10" s="702">
        <f t="shared" si="0"/>
        <v>102</v>
      </c>
      <c r="T10" s="701" t="s">
        <v>14</v>
      </c>
      <c r="U10" s="702">
        <f t="shared" si="1"/>
        <v>102</v>
      </c>
      <c r="V10" s="701" t="s">
        <v>14</v>
      </c>
      <c r="W10" s="702">
        <f t="shared" si="2"/>
        <v>102</v>
      </c>
      <c r="X10" s="703"/>
      <c r="Y10" s="3576"/>
      <c r="Z10" s="52" t="str">
        <f t="shared" si="7"/>
        <v>土地使用年限（年）</v>
      </c>
      <c r="AA10" s="704">
        <f t="shared" si="3"/>
        <v>0.98039215686274506</v>
      </c>
      <c r="AB10" s="704">
        <f t="shared" si="4"/>
        <v>0.98039215686274506</v>
      </c>
      <c r="AC10" s="704">
        <f t="shared" si="5"/>
        <v>0.98039215686274506</v>
      </c>
    </row>
    <row r="11" spans="1:30" ht="15">
      <c r="A11" s="379"/>
      <c r="B11" s="375" t="s">
        <v>1686</v>
      </c>
      <c r="C11" s="380">
        <f>'数据-汇总表'!I6</f>
        <v>1.0900000000000001</v>
      </c>
      <c r="D11" s="127">
        <v>100</v>
      </c>
      <c r="E11" s="380">
        <v>1.5</v>
      </c>
      <c r="F11" s="127">
        <f>LOOKUP(E11,79:79,80:80)-LOOKUP(C11,79:79,80:80)+100</f>
        <v>100</v>
      </c>
      <c r="G11" s="381">
        <v>2.2000000000000002</v>
      </c>
      <c r="H11" s="127">
        <f>LOOKUP(G11,79:79,80:80)-LOOKUP(C11,79:79,80:80)+100</f>
        <v>99</v>
      </c>
      <c r="I11" s="380">
        <v>2.5</v>
      </c>
      <c r="J11" s="127">
        <f>LOOKUP(I11,79:79,80:80)-LOOKUP(C11,79:79,80:80)+100</f>
        <v>99</v>
      </c>
      <c r="K11" s="621">
        <v>1</v>
      </c>
      <c r="L11" s="2721"/>
      <c r="M11" s="2716"/>
      <c r="N11" s="2716"/>
      <c r="O11" s="2774"/>
      <c r="P11" s="3701"/>
      <c r="Q11" s="1343" t="str">
        <f t="shared" si="6"/>
        <v>容积率</v>
      </c>
      <c r="R11" s="701" t="s">
        <v>14</v>
      </c>
      <c r="S11" s="702">
        <f t="shared" si="0"/>
        <v>100</v>
      </c>
      <c r="T11" s="701" t="s">
        <v>14</v>
      </c>
      <c r="U11" s="702">
        <f t="shared" si="1"/>
        <v>99</v>
      </c>
      <c r="V11" s="701" t="s">
        <v>14</v>
      </c>
      <c r="W11" s="702">
        <f t="shared" si="2"/>
        <v>99</v>
      </c>
      <c r="X11" s="703"/>
      <c r="Y11" s="3576"/>
      <c r="Z11" s="52" t="str">
        <f t="shared" si="7"/>
        <v>容积率</v>
      </c>
      <c r="AA11" s="704">
        <f t="shared" si="3"/>
        <v>1</v>
      </c>
      <c r="AB11" s="704">
        <f t="shared" si="4"/>
        <v>1.0101010101010102</v>
      </c>
      <c r="AC11" s="704">
        <f t="shared" si="5"/>
        <v>1.0101010101010102</v>
      </c>
    </row>
    <row r="12" spans="1:30" s="108" customFormat="1" ht="15">
      <c r="A12" s="382"/>
      <c r="B12" s="3475" t="s">
        <v>3555</v>
      </c>
      <c r="C12" s="3476" t="s">
        <v>3553</v>
      </c>
      <c r="D12" s="384">
        <v>100</v>
      </c>
      <c r="E12" s="3478" t="s">
        <v>3564</v>
      </c>
      <c r="F12" s="127">
        <f>SUMIF(81:81,E12,82:82)-SUMIF(81:81,C12,82:82)+100</f>
        <v>120</v>
      </c>
      <c r="G12" s="3478" t="s">
        <v>3564</v>
      </c>
      <c r="H12" s="127">
        <f>SUMIF(81:81,G12,82:82)-SUMIF(81:81,C12,82:82)+100</f>
        <v>120</v>
      </c>
      <c r="I12" s="3478" t="s">
        <v>3564</v>
      </c>
      <c r="J12" s="127">
        <f>SUMIF(81:81,I12,82:82)-SUMIF(81:81,C12,82:82)+100</f>
        <v>120</v>
      </c>
      <c r="K12" s="620"/>
      <c r="L12" s="2717"/>
      <c r="M12" s="2718"/>
      <c r="N12" s="2718"/>
      <c r="O12" s="2772"/>
      <c r="P12" s="3701"/>
      <c r="Q12" s="1343" t="str">
        <f t="shared" si="6"/>
        <v>权利性质</v>
      </c>
      <c r="R12" s="701" t="s">
        <v>14</v>
      </c>
      <c r="S12" s="702">
        <f t="shared" si="0"/>
        <v>120</v>
      </c>
      <c r="T12" s="701" t="s">
        <v>14</v>
      </c>
      <c r="U12" s="702">
        <f t="shared" si="1"/>
        <v>120</v>
      </c>
      <c r="V12" s="701" t="s">
        <v>14</v>
      </c>
      <c r="W12" s="702">
        <f t="shared" si="2"/>
        <v>120</v>
      </c>
      <c r="X12" s="703"/>
      <c r="Y12" s="3576"/>
      <c r="Z12" s="52" t="str">
        <f t="shared" si="7"/>
        <v>权利性质</v>
      </c>
      <c r="AA12" s="704">
        <f>D12/F12</f>
        <v>0.83333333333333337</v>
      </c>
      <c r="AB12" s="704">
        <f>D12/H12</f>
        <v>0.83333333333333337</v>
      </c>
      <c r="AC12" s="704">
        <f>D12/J12</f>
        <v>0.83333333333333337</v>
      </c>
    </row>
    <row r="13" spans="1:30" ht="15">
      <c r="A13" s="379"/>
      <c r="B13" s="3475" t="s">
        <v>3558</v>
      </c>
      <c r="C13" s="3477" t="s">
        <v>3556</v>
      </c>
      <c r="D13" s="386">
        <v>100</v>
      </c>
      <c r="E13" s="3479" t="s">
        <v>3565</v>
      </c>
      <c r="F13" s="127">
        <f>SUMIF(83:83,E13,84:84)-SUMIF(83:83,C13,84:84)+100</f>
        <v>105</v>
      </c>
      <c r="G13" s="3479" t="s">
        <v>3565</v>
      </c>
      <c r="H13" s="386">
        <f>SUMIF(83:83,G13,84:84)-SUMIF(83:83,C13,84:84)+100</f>
        <v>105</v>
      </c>
      <c r="I13" s="3479" t="s">
        <v>3565</v>
      </c>
      <c r="J13" s="386">
        <f>SUMIF(83:83,I13,84:84)-SUMIF(83:83,C13,84:84)+100</f>
        <v>105</v>
      </c>
      <c r="K13" s="620"/>
      <c r="L13" s="2722"/>
      <c r="M13" s="2716"/>
      <c r="N13" s="2716"/>
      <c r="O13" s="2774"/>
      <c r="P13" s="3701"/>
      <c r="Q13" s="1343" t="str">
        <f t="shared" si="6"/>
        <v>是否可出售</v>
      </c>
      <c r="R13" s="701" t="s">
        <v>14</v>
      </c>
      <c r="S13" s="702">
        <f t="shared" si="0"/>
        <v>105</v>
      </c>
      <c r="T13" s="701" t="s">
        <v>14</v>
      </c>
      <c r="U13" s="702">
        <f t="shared" si="1"/>
        <v>105</v>
      </c>
      <c r="V13" s="701" t="s">
        <v>14</v>
      </c>
      <c r="W13" s="702">
        <f t="shared" si="2"/>
        <v>105</v>
      </c>
      <c r="X13" s="703"/>
      <c r="Y13" s="3576"/>
      <c r="Z13" s="52" t="str">
        <f t="shared" si="7"/>
        <v>是否可出售</v>
      </c>
      <c r="AA13" s="704">
        <f>D13/F13</f>
        <v>0.95238095238095233</v>
      </c>
      <c r="AB13" s="704">
        <f>D13/H13</f>
        <v>0.95238095238095233</v>
      </c>
      <c r="AC13" s="704">
        <f>D13/J13</f>
        <v>0.95238095238095233</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576"/>
      <c r="Z14" s="52">
        <f t="shared" si="7"/>
        <v>111</v>
      </c>
      <c r="AA14" s="704">
        <f>D14/F14</f>
        <v>1</v>
      </c>
      <c r="AB14" s="704">
        <f>D14/H14</f>
        <v>1</v>
      </c>
      <c r="AC14" s="704">
        <f>D14/J14</f>
        <v>1</v>
      </c>
    </row>
    <row r="15" spans="1:30" ht="99.75" hidden="1">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1688</v>
      </c>
      <c r="Q15" s="1352" t="str">
        <f t="shared" si="6"/>
        <v>居住社区成熟度</v>
      </c>
      <c r="R15" s="705" t="s">
        <v>14</v>
      </c>
      <c r="S15" s="706">
        <f t="shared" si="0"/>
        <v>100</v>
      </c>
      <c r="T15" s="705" t="s">
        <v>14</v>
      </c>
      <c r="U15" s="706">
        <f t="shared" si="1"/>
        <v>100</v>
      </c>
      <c r="V15" s="705" t="s">
        <v>14</v>
      </c>
      <c r="W15" s="706">
        <f t="shared" si="2"/>
        <v>100</v>
      </c>
      <c r="X15" s="1355"/>
      <c r="Y15" s="3703" t="s">
        <v>1688</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71.25" hidden="1">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hidden="1">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105</v>
      </c>
      <c r="G19" s="408"/>
      <c r="H19" s="401">
        <f>SUMIF(91:91,G20,92:92)-SUMIF(91:91,C20,92:92)+100</f>
        <v>100</v>
      </c>
      <c r="I19" s="410"/>
      <c r="J19" s="401">
        <f>SUMIF(91:91,I20,92:92)-SUMIF(91:91,C20,92:92)+100</f>
        <v>105</v>
      </c>
      <c r="K19" s="621">
        <v>5</v>
      </c>
      <c r="L19" s="2722"/>
      <c r="M19" s="2716"/>
      <c r="N19" s="2716"/>
      <c r="O19" s="2774"/>
      <c r="P19" s="3704"/>
      <c r="Q19" s="1352" t="str">
        <f>B19</f>
        <v>办公集聚程度</v>
      </c>
      <c r="R19" s="705" t="s">
        <v>14</v>
      </c>
      <c r="S19" s="706">
        <f>F19</f>
        <v>105</v>
      </c>
      <c r="T19" s="705" t="s">
        <v>14</v>
      </c>
      <c r="U19" s="706">
        <f>H19</f>
        <v>100</v>
      </c>
      <c r="V19" s="705" t="s">
        <v>14</v>
      </c>
      <c r="W19" s="706">
        <f>J19</f>
        <v>105</v>
      </c>
      <c r="X19" s="1355"/>
      <c r="Y19" s="3704"/>
      <c r="Z19" s="1356" t="str">
        <f>Q19</f>
        <v>办公集聚程度</v>
      </c>
      <c r="AA19" s="1353">
        <f t="shared" si="3"/>
        <v>0.95238095238095233</v>
      </c>
      <c r="AB19" s="1353">
        <f t="shared" si="4"/>
        <v>1</v>
      </c>
      <c r="AC19" s="1353">
        <f t="shared" si="5"/>
        <v>0.95238095238095233</v>
      </c>
    </row>
    <row r="20" spans="1:29" ht="15">
      <c r="A20" s="379"/>
      <c r="B20" s="407"/>
      <c r="C20" s="398" t="s">
        <v>3566</v>
      </c>
      <c r="D20" s="399"/>
      <c r="E20" s="1898" t="s">
        <v>3567</v>
      </c>
      <c r="F20" s="399"/>
      <c r="G20" s="1898" t="s">
        <v>3566</v>
      </c>
      <c r="H20" s="399"/>
      <c r="I20" s="1898" t="s">
        <v>3567</v>
      </c>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103</v>
      </c>
      <c r="G21" s="403"/>
      <c r="H21" s="401">
        <f>SUMIF(93:93,G22,94:94)-SUMIF(93:93,C22,94:94)+100</f>
        <v>100</v>
      </c>
      <c r="I21" s="405"/>
      <c r="J21" s="401">
        <f>SUMIF(93:93,I22,94:94)-SUMIF(93:93,C22,94:94)+100</f>
        <v>103</v>
      </c>
      <c r="K21" s="621">
        <v>3</v>
      </c>
      <c r="L21" s="2722"/>
      <c r="M21" s="2716"/>
      <c r="N21" s="2716"/>
      <c r="O21" s="2774"/>
      <c r="P21" s="3704"/>
      <c r="Q21" s="1352" t="str">
        <f>B21</f>
        <v>交通便捷度</v>
      </c>
      <c r="R21" s="705" t="s">
        <v>14</v>
      </c>
      <c r="S21" s="706">
        <f>F21</f>
        <v>103</v>
      </c>
      <c r="T21" s="705" t="s">
        <v>14</v>
      </c>
      <c r="U21" s="706">
        <f>H21</f>
        <v>100</v>
      </c>
      <c r="V21" s="705" t="s">
        <v>14</v>
      </c>
      <c r="W21" s="706">
        <f>J21</f>
        <v>103</v>
      </c>
      <c r="X21" s="1355"/>
      <c r="Y21" s="3704"/>
      <c r="Z21" s="1356" t="str">
        <f>Q21</f>
        <v>交通便捷度</v>
      </c>
      <c r="AA21" s="1353">
        <f t="shared" si="3"/>
        <v>0.970873786407767</v>
      </c>
      <c r="AB21" s="1353">
        <f t="shared" si="4"/>
        <v>1</v>
      </c>
      <c r="AC21" s="1353">
        <f t="shared" si="5"/>
        <v>0.970873786407767</v>
      </c>
    </row>
    <row r="22" spans="1:29" ht="15">
      <c r="A22" s="379"/>
      <c r="B22" s="1131"/>
      <c r="C22" s="398" t="s">
        <v>3566</v>
      </c>
      <c r="D22" s="401"/>
      <c r="E22" s="1898" t="s">
        <v>3567</v>
      </c>
      <c r="F22" s="399"/>
      <c r="G22" s="398" t="s">
        <v>3566</v>
      </c>
      <c r="H22" s="399"/>
      <c r="I22" s="1898" t="s">
        <v>3567</v>
      </c>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15">
      <c r="A23" s="358"/>
      <c r="B23" s="402" t="s">
        <v>1867</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t="s">
        <v>3567</v>
      </c>
      <c r="D24" s="399"/>
      <c r="E24" s="565" t="s">
        <v>3567</v>
      </c>
      <c r="F24" s="399"/>
      <c r="G24" s="565" t="s">
        <v>3567</v>
      </c>
      <c r="H24" s="399"/>
      <c r="I24" s="565" t="s">
        <v>3567</v>
      </c>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7">
      <c r="A25" s="358"/>
      <c r="B25" s="1131" t="s">
        <v>1868</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t="s">
        <v>3567</v>
      </c>
      <c r="D26" s="399"/>
      <c r="E26" s="398" t="s">
        <v>3567</v>
      </c>
      <c r="F26" s="399"/>
      <c r="G26" s="398" t="s">
        <v>3567</v>
      </c>
      <c r="H26" s="399"/>
      <c r="I26" s="398" t="s">
        <v>3567</v>
      </c>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103</v>
      </c>
      <c r="G27" s="403"/>
      <c r="H27" s="401">
        <f>SUMIF(99:99,G28,100:100)-SUMIF(99:99,C28,100:100)+100</f>
        <v>100</v>
      </c>
      <c r="I27" s="405"/>
      <c r="J27" s="401">
        <f>SUMIF(99:99,I28,100:100)-SUMIF(99:99,C28,100:100)+100</f>
        <v>103</v>
      </c>
      <c r="K27" s="621">
        <v>3</v>
      </c>
      <c r="L27" s="2717"/>
      <c r="M27" s="2718"/>
      <c r="N27" s="2718"/>
      <c r="O27" s="2772"/>
      <c r="P27" s="3704"/>
      <c r="Q27" s="1343" t="str">
        <f t="shared" si="8"/>
        <v>公共配套设施</v>
      </c>
      <c r="R27" s="701" t="s">
        <v>14</v>
      </c>
      <c r="S27" s="702">
        <f>F27</f>
        <v>103</v>
      </c>
      <c r="T27" s="701" t="s">
        <v>14</v>
      </c>
      <c r="U27" s="702">
        <f>H27</f>
        <v>100</v>
      </c>
      <c r="V27" s="701" t="s">
        <v>14</v>
      </c>
      <c r="W27" s="702">
        <f>J27</f>
        <v>103</v>
      </c>
      <c r="X27" s="703"/>
      <c r="Y27" s="3704"/>
      <c r="Z27" s="52" t="str">
        <f>Q27</f>
        <v>公共配套设施</v>
      </c>
      <c r="AA27" s="1353">
        <f>D27/F27</f>
        <v>0.970873786407767</v>
      </c>
      <c r="AB27" s="1353">
        <f>D27/H27</f>
        <v>1</v>
      </c>
      <c r="AC27" s="1353">
        <f>D27/J27</f>
        <v>0.970873786407767</v>
      </c>
    </row>
    <row r="28" spans="1:29" s="108" customFormat="1" ht="15">
      <c r="A28" s="597"/>
      <c r="B28" s="407"/>
      <c r="C28" s="1978" t="s">
        <v>3566</v>
      </c>
      <c r="D28" s="399"/>
      <c r="E28" s="1904" t="s">
        <v>3567</v>
      </c>
      <c r="F28" s="399"/>
      <c r="G28" s="1978" t="s">
        <v>3566</v>
      </c>
      <c r="H28" s="399"/>
      <c r="I28" s="1904" t="s">
        <v>3567</v>
      </c>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7"/>
      <c r="M29" s="2718"/>
      <c r="N29" s="2718"/>
      <c r="O29" s="2772"/>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75" thickBot="1">
      <c r="A30" s="597"/>
      <c r="B30" s="407"/>
      <c r="C30" s="1978" t="s">
        <v>3568</v>
      </c>
      <c r="D30" s="399"/>
      <c r="E30" s="1978" t="s">
        <v>3568</v>
      </c>
      <c r="F30" s="399"/>
      <c r="G30" s="1978" t="s">
        <v>3568</v>
      </c>
      <c r="H30" s="399"/>
      <c r="I30" s="1978" t="s">
        <v>3568</v>
      </c>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hidden="1">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hidden="1">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75" hidden="1" thickBot="1">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hidden="1">
      <c r="A34" s="379"/>
      <c r="B34" s="375" t="s">
        <v>1869</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9" t="s">
        <v>1693</v>
      </c>
      <c r="Q36" s="1352">
        <f t="shared" si="8"/>
        <v>111</v>
      </c>
      <c r="R36" s="705" t="s">
        <v>14</v>
      </c>
      <c r="S36" s="706">
        <f t="shared" si="10"/>
        <v>100</v>
      </c>
      <c r="T36" s="705" t="s">
        <v>14</v>
      </c>
      <c r="U36" s="706">
        <f t="shared" si="11"/>
        <v>100</v>
      </c>
      <c r="V36" s="705" t="s">
        <v>14</v>
      </c>
      <c r="W36" s="706">
        <f t="shared" si="12"/>
        <v>100</v>
      </c>
      <c r="X36" s="1355"/>
      <c r="Y36" s="3708" t="s">
        <v>1693</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1691</v>
      </c>
      <c r="B38" s="407" t="s">
        <v>1870</v>
      </c>
      <c r="C38" s="627">
        <f>'数据-基础表'!A3</f>
        <v>30808.7</v>
      </c>
      <c r="D38" s="418">
        <v>100</v>
      </c>
      <c r="E38" s="627">
        <f>土地案例!E3</f>
        <v>40082.199999999997</v>
      </c>
      <c r="F38" s="418">
        <f>LOOKUP(E38,116:116,117:117)-LOOKUP(C38,116:116,117:117)+100</f>
        <v>100</v>
      </c>
      <c r="G38" s="627">
        <f>土地案例!E4</f>
        <v>47891.57</v>
      </c>
      <c r="H38" s="418">
        <f>LOOKUP(G38,116:116,117:117)-LOOKUP(C38,116:116,117:117)+100</f>
        <v>100</v>
      </c>
      <c r="I38" s="479">
        <f>土地案例!E6</f>
        <v>43870.1</v>
      </c>
      <c r="J38" s="418">
        <f>LOOKUP(I38,116:116,117:117)-LOOKUP(C38,116:116,117:117)+100</f>
        <v>100</v>
      </c>
      <c r="K38" s="562"/>
      <c r="L38" s="2722"/>
      <c r="M38" s="2716"/>
      <c r="N38" s="2716"/>
      <c r="O38" s="2774"/>
      <c r="P38" s="3708"/>
      <c r="Q38" s="1352" t="str">
        <f>B38</f>
        <v>宗地面积</v>
      </c>
      <c r="R38" s="705" t="s">
        <v>14</v>
      </c>
      <c r="S38" s="706">
        <f t="shared" si="10"/>
        <v>100</v>
      </c>
      <c r="T38" s="705" t="s">
        <v>14</v>
      </c>
      <c r="U38" s="706">
        <f t="shared" si="11"/>
        <v>100</v>
      </c>
      <c r="V38" s="705" t="s">
        <v>14</v>
      </c>
      <c r="W38" s="706">
        <f t="shared" si="12"/>
        <v>100</v>
      </c>
      <c r="X38" s="1355"/>
      <c r="Y38" s="3708"/>
      <c r="Z38" s="1356" t="str">
        <f t="shared" si="13"/>
        <v>宗地面积</v>
      </c>
      <c r="AA38" s="1353">
        <f t="shared" si="3"/>
        <v>1</v>
      </c>
      <c r="AB38" s="1353">
        <f t="shared" si="4"/>
        <v>1</v>
      </c>
      <c r="AC38" s="1353">
        <f t="shared" si="5"/>
        <v>1</v>
      </c>
    </row>
    <row r="39" spans="1:29" ht="15">
      <c r="A39" s="423"/>
      <c r="B39" s="375" t="s">
        <v>1871</v>
      </c>
      <c r="C39" s="1906" t="s">
        <v>3560</v>
      </c>
      <c r="D39" s="386">
        <v>100</v>
      </c>
      <c r="E39" s="1906" t="s">
        <v>3560</v>
      </c>
      <c r="F39" s="386">
        <f>SUMIF(118:118,E39,119:119)-SUMIF(118:118,C39,119:119)+100</f>
        <v>100</v>
      </c>
      <c r="G39" s="1906" t="s">
        <v>3560</v>
      </c>
      <c r="H39" s="386">
        <f>SUMIF(118:118,G39,119:119)-SUMIF(118:118,C39,119:119)+100</f>
        <v>100</v>
      </c>
      <c r="I39" s="1906" t="s">
        <v>3560</v>
      </c>
      <c r="J39" s="386">
        <f>SUMIF(118:118,I39,119:119)-SUMIF(118:118,C39,119:119)+100</f>
        <v>100</v>
      </c>
      <c r="K39" s="561">
        <v>1</v>
      </c>
      <c r="L39" s="2722"/>
      <c r="M39" s="2716"/>
      <c r="N39" s="2716"/>
      <c r="O39" s="2774"/>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hidden="1">
      <c r="A40" s="423"/>
      <c r="B40" s="375" t="s">
        <v>1872</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1873</v>
      </c>
      <c r="C41" s="1980" t="s">
        <v>3561</v>
      </c>
      <c r="D41" s="127">
        <v>100</v>
      </c>
      <c r="E41" s="1980" t="s">
        <v>3562</v>
      </c>
      <c r="F41" s="386">
        <f>SUMIF(122:122,E41,123:123)-SUMIF(122:122,C41,123:123)+100</f>
        <v>99</v>
      </c>
      <c r="G41" s="1980" t="s">
        <v>3562</v>
      </c>
      <c r="H41" s="386">
        <f>SUMIF(122:122,G41,123:123)-SUMIF(122:122,C41,123:123)+100</f>
        <v>99</v>
      </c>
      <c r="I41" s="1980" t="s">
        <v>3562</v>
      </c>
      <c r="J41" s="386">
        <f>SUMIF(122:122,I41,123:123)-SUMIF(122:122,C41,123:123)+100</f>
        <v>99</v>
      </c>
      <c r="K41" s="561">
        <v>0.5</v>
      </c>
      <c r="L41" s="2717"/>
      <c r="M41" s="2718"/>
      <c r="N41" s="2718"/>
      <c r="O41" s="2772"/>
      <c r="P41" s="3708"/>
      <c r="Q41" s="1352" t="str">
        <f t="shared" si="14"/>
        <v>宗地开发程度</v>
      </c>
      <c r="R41" s="701" t="s">
        <v>14</v>
      </c>
      <c r="S41" s="702">
        <f t="shared" si="10"/>
        <v>99</v>
      </c>
      <c r="T41" s="701" t="s">
        <v>14</v>
      </c>
      <c r="U41" s="702">
        <f t="shared" si="11"/>
        <v>99</v>
      </c>
      <c r="V41" s="701" t="s">
        <v>14</v>
      </c>
      <c r="W41" s="702">
        <f t="shared" si="12"/>
        <v>99</v>
      </c>
      <c r="X41" s="703"/>
      <c r="Y41" s="3708"/>
      <c r="Z41" s="52" t="str">
        <f t="shared" si="13"/>
        <v>宗地开发程度</v>
      </c>
      <c r="AA41" s="704">
        <f t="shared" si="3"/>
        <v>1.0101010101010102</v>
      </c>
      <c r="AB41" s="704">
        <f t="shared" si="4"/>
        <v>1.0101010101010102</v>
      </c>
      <c r="AC41" s="704">
        <f t="shared" si="5"/>
        <v>1.0101010101010102</v>
      </c>
    </row>
    <row r="42" spans="1:29" ht="15.75" thickBot="1">
      <c r="A42" s="423"/>
      <c r="B42" s="375" t="s">
        <v>1874</v>
      </c>
      <c r="C42" s="1906" t="s">
        <v>3563</v>
      </c>
      <c r="D42" s="386">
        <v>100</v>
      </c>
      <c r="E42" s="1906" t="s">
        <v>3563</v>
      </c>
      <c r="F42" s="386">
        <f>SUMIF(124:124,E42,125:125)-SUMIF(124:124,C42,125:125)+100</f>
        <v>100</v>
      </c>
      <c r="G42" s="1906" t="s">
        <v>3563</v>
      </c>
      <c r="H42" s="386">
        <f>SUMIF(124:124,G42,125:125)-SUMIF(124:124,C42,125:125)+100</f>
        <v>100</v>
      </c>
      <c r="I42" s="1906" t="s">
        <v>3563</v>
      </c>
      <c r="J42" s="386">
        <f>SUMIF(124:124,I42,125:125)-SUMIF(124:124,C42,125:125)+100</f>
        <v>100</v>
      </c>
      <c r="K42" s="561">
        <v>1</v>
      </c>
      <c r="L42" s="2722"/>
      <c r="M42" s="2716"/>
      <c r="N42" s="2716"/>
      <c r="O42" s="2774"/>
      <c r="P42" s="3708" t="s">
        <v>1693</v>
      </c>
      <c r="Q42" s="1352" t="str">
        <f t="shared" si="14"/>
        <v>工程地质条件</v>
      </c>
      <c r="R42" s="705" t="s">
        <v>14</v>
      </c>
      <c r="S42" s="706">
        <f t="shared" si="10"/>
        <v>100</v>
      </c>
      <c r="T42" s="705" t="s">
        <v>14</v>
      </c>
      <c r="U42" s="706">
        <f t="shared" si="11"/>
        <v>100</v>
      </c>
      <c r="V42" s="705" t="s">
        <v>14</v>
      </c>
      <c r="W42" s="706">
        <f t="shared" si="12"/>
        <v>100</v>
      </c>
      <c r="X42" s="1355"/>
      <c r="Y42" s="3708" t="s">
        <v>1693</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hidden="1"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1841</v>
      </c>
      <c r="B46" s="1982" t="s">
        <v>1875</v>
      </c>
      <c r="C46" s="630" t="s">
        <v>0</v>
      </c>
      <c r="D46" s="432"/>
      <c r="E46" s="433">
        <f>土地案例!Q3</f>
        <v>13626</v>
      </c>
      <c r="F46" s="434"/>
      <c r="G46" s="435">
        <f>土地案例!Q4</f>
        <v>8700</v>
      </c>
      <c r="H46" s="436"/>
      <c r="I46" s="433">
        <f>土地案例!Q6</f>
        <v>13500</v>
      </c>
      <c r="J46" s="436"/>
      <c r="K46" s="714"/>
      <c r="L46" s="2724"/>
      <c r="M46" s="2725"/>
      <c r="N46" s="2716"/>
      <c r="O46" s="2725"/>
      <c r="P46" s="3701" t="str">
        <f>A46</f>
        <v>成交单价</v>
      </c>
      <c r="Q46" s="3701"/>
      <c r="R46" s="3732">
        <f>E46</f>
        <v>13626</v>
      </c>
      <c r="S46" s="3732"/>
      <c r="T46" s="3732">
        <f>G46</f>
        <v>8700</v>
      </c>
      <c r="U46" s="3732"/>
      <c r="V46" s="3732">
        <f>I46</f>
        <v>13500</v>
      </c>
      <c r="W46" s="3732"/>
      <c r="X46" s="690"/>
      <c r="Y46" s="712"/>
      <c r="Z46" s="690"/>
      <c r="AA46" s="690"/>
      <c r="AB46" s="690"/>
      <c r="AC46" s="690"/>
    </row>
    <row r="47" spans="1:29" ht="15.75" thickBot="1">
      <c r="A47" s="437" t="s">
        <v>1790</v>
      </c>
      <c r="B47" s="631"/>
      <c r="C47" s="440">
        <f>R48</f>
        <v>8755</v>
      </c>
      <c r="D47" s="2317" t="s">
        <v>2134</v>
      </c>
      <c r="E47" s="440">
        <f>R47</f>
        <v>9652</v>
      </c>
      <c r="F47" s="2318"/>
      <c r="G47" s="439">
        <f>T47</f>
        <v>6935</v>
      </c>
      <c r="H47" s="2318"/>
      <c r="I47" s="440">
        <f>V47</f>
        <v>9679</v>
      </c>
      <c r="J47" s="2318"/>
      <c r="K47" s="2320">
        <f>F47+H47+J47</f>
        <v>0</v>
      </c>
      <c r="L47" s="2724"/>
      <c r="M47" s="2725"/>
      <c r="N47" s="2725"/>
      <c r="O47" s="2725"/>
      <c r="P47" s="3701" t="str">
        <f>A47</f>
        <v>比较价值（元/平方米）</v>
      </c>
      <c r="Q47" s="3701"/>
      <c r="R47" s="3761">
        <f>ROUND(PRODUCT(R46,AA7:AA45),0)</f>
        <v>9652</v>
      </c>
      <c r="S47" s="3761"/>
      <c r="T47" s="3761">
        <f>ROUND(PRODUCT(T46,AB7:AB45),0)</f>
        <v>6935</v>
      </c>
      <c r="U47" s="3761"/>
      <c r="V47" s="3761">
        <f>ROUND(PRODUCT(V46,AC7:AC45),0)</f>
        <v>9679</v>
      </c>
      <c r="W47" s="3761"/>
      <c r="X47" s="690"/>
      <c r="Y47" s="690"/>
      <c r="Z47" s="690"/>
      <c r="AA47" s="690"/>
      <c r="AB47" s="690"/>
      <c r="AC47" s="690"/>
    </row>
    <row r="48" spans="1:29" ht="15.75" thickBot="1">
      <c r="A48" s="441" t="s">
        <v>1876</v>
      </c>
      <c r="B48" s="442"/>
      <c r="C48" s="443">
        <f>R48</f>
        <v>8755</v>
      </c>
      <c r="D48" s="443"/>
      <c r="E48" s="443"/>
      <c r="F48" s="443"/>
      <c r="G48" s="443"/>
      <c r="H48" s="443"/>
      <c r="I48" s="443"/>
      <c r="J48" s="443"/>
      <c r="K48" s="715"/>
      <c r="L48" s="2724"/>
      <c r="M48" s="2725"/>
      <c r="N48" s="2725"/>
      <c r="O48" s="2725"/>
      <c r="P48" s="3698" t="str">
        <f>A48</f>
        <v>估价对象XX用房的比较价值（楼面单价，元/平方米）</v>
      </c>
      <c r="Q48" s="3699"/>
      <c r="R48" s="3762">
        <f>ROUND(IF(D47="简单平均",AVERAGE(R47:W47),R47*F47+T47*H47+V47*J47),0)</f>
        <v>8755</v>
      </c>
      <c r="S48" s="3762"/>
      <c r="T48" s="3762"/>
      <c r="U48" s="3762"/>
      <c r="V48" s="3762"/>
      <c r="W48" s="376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f>IF(E46&lt;E47,E47/E46-1,E46/E47-1)</f>
        <v>0.41172813924575213</v>
      </c>
      <c r="F51" s="449" t="str">
        <f>IF(OR(E51&gt;=0.3,E51&lt;=-0.3),"超过30%","")</f>
        <v>超过30%</v>
      </c>
      <c r="G51" s="448">
        <f>IF(G46&lt;G47,G47/G46-1,G46/G47-1)</f>
        <v>0.2545061283345349</v>
      </c>
      <c r="H51" s="449" t="str">
        <f>IF(OR(G51&gt;=0.3,G51&lt;=-0.3),"超过30%","")</f>
        <v/>
      </c>
      <c r="I51" s="448">
        <f>IF(I46&lt;I47,I47/I46-1,I46/I47-1)</f>
        <v>0.39477218720942253</v>
      </c>
      <c r="J51" s="449" t="str">
        <f>IF(OR(I51&gt;=0.3,I51&lt;=-0.3),"超过30%","")</f>
        <v>超过30%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f>IF(E47&lt;G47,G47/E47-1,E47/G47-1)</f>
        <v>0.39178082191780828</v>
      </c>
      <c r="F52" s="449" t="str">
        <f>IF(OR(E52&gt;=0.2,E52&lt;=-0.2),"超过20%","")</f>
        <v>超过20%</v>
      </c>
      <c r="G52" s="448">
        <f>IF(G47&lt;I47,I47/G47-1,G47/I47-1)</f>
        <v>0.39567411679884645</v>
      </c>
      <c r="H52" s="449" t="str">
        <f>IF(OR(G52&gt;=0.2,G52&lt;=-0.2),"超过20%","")</f>
        <v>超过20%</v>
      </c>
      <c r="I52" s="448">
        <f>IF(I47&lt;E47,E47/I47-1,I47/E47-1)</f>
        <v>2.7973476999585412E-3</v>
      </c>
      <c r="J52" s="449" t="str">
        <f>IF(OR(I52&gt;=0.2,I52&lt;=-0.2),"超过20%","")</f>
        <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f>IF(E46&lt;G46,G46/E46-1,E46/G46-1)</f>
        <v>0.56620689655172418</v>
      </c>
      <c r="F53" s="449" t="str">
        <f>IF(OR(E53&gt;=0.3,E53&lt;=-0.3),"超过30%","")</f>
        <v>超过30%</v>
      </c>
      <c r="G53" s="448">
        <f>IF(G46&lt;I46,I46/G46-1,G46/I46-1)</f>
        <v>0.55172413793103448</v>
      </c>
      <c r="H53" s="449" t="str">
        <f>IF(OR(G53&gt;=0.3,G53&lt;=-0.3),"超过30%","")</f>
        <v>超过30%</v>
      </c>
      <c r="I53" s="448">
        <f>IF(I46&lt;E46,E46/I46-1,I46/E46-1)</f>
        <v>9.3333333333334156E-3</v>
      </c>
      <c r="J53" s="449" t="str">
        <f>IF(OR(I53&gt;=0.3,I53&lt;=-0.3),"超过30%","")</f>
        <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1877</v>
      </c>
      <c r="B55" s="633" t="s">
        <v>1878</v>
      </c>
      <c r="C55" s="1983" t="s">
        <v>1879</v>
      </c>
      <c r="D55" s="1984" t="s">
        <v>1880</v>
      </c>
      <c r="E55" s="634" t="s">
        <v>1881</v>
      </c>
      <c r="F55" s="890" t="s">
        <v>1882</v>
      </c>
      <c r="G55" s="3716" t="s">
        <v>1883</v>
      </c>
      <c r="H55" s="3763"/>
      <c r="I55" s="135" t="s">
        <v>1884</v>
      </c>
      <c r="J55" s="1985">
        <f>项目基本情况!F35</f>
        <v>0</v>
      </c>
      <c r="K55" s="1986" t="s">
        <v>1885</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1886</v>
      </c>
      <c r="B56" s="637">
        <f>C48</f>
        <v>8755</v>
      </c>
      <c r="C56" s="638">
        <v>1</v>
      </c>
      <c r="D56" s="944">
        <v>1</v>
      </c>
      <c r="E56" s="638">
        <f>'数据-汇总表'!E8+'数据-汇总表'!E9</f>
        <v>33700.31</v>
      </c>
      <c r="F56" s="886">
        <f t="shared" ref="F56:F64" si="15">ROUND(B56*E56/10000,0)</f>
        <v>29505</v>
      </c>
      <c r="G56" s="3712"/>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1887</v>
      </c>
      <c r="B57" s="218">
        <f>ROUND($C$48*C57*D57,0)</f>
        <v>0</v>
      </c>
      <c r="C57" s="171">
        <f t="shared" ref="C57:C64" si="16">IF($C$55="北京市系数",I57,J57)</f>
        <v>0</v>
      </c>
      <c r="D57" s="945">
        <v>0.25</v>
      </c>
      <c r="E57" s="642"/>
      <c r="F57" s="886">
        <f t="shared" si="15"/>
        <v>0</v>
      </c>
      <c r="G57" s="3006" t="s">
        <v>1888</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1889</v>
      </c>
      <c r="B58" s="218">
        <f t="shared" ref="B58:B64" si="17">ROUND($C$48*C58*D58,0)</f>
        <v>0</v>
      </c>
      <c r="C58" s="171">
        <f t="shared" si="16"/>
        <v>0</v>
      </c>
      <c r="D58" s="945">
        <v>0.25</v>
      </c>
      <c r="E58" s="642"/>
      <c r="F58" s="886">
        <f t="shared" si="15"/>
        <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1890</v>
      </c>
      <c r="B59" s="218">
        <f t="shared" si="17"/>
        <v>0</v>
      </c>
      <c r="C59" s="171">
        <f t="shared" si="16"/>
        <v>0</v>
      </c>
      <c r="D59" s="945">
        <v>0.25</v>
      </c>
      <c r="E59" s="642"/>
      <c r="F59" s="886">
        <f t="shared" si="15"/>
        <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1891</v>
      </c>
      <c r="B60" s="218">
        <f t="shared" si="17"/>
        <v>0</v>
      </c>
      <c r="C60" s="171">
        <f t="shared" si="16"/>
        <v>0</v>
      </c>
      <c r="D60" s="945">
        <v>0.25</v>
      </c>
      <c r="E60" s="217">
        <f>'数据-汇总表'!E11</f>
        <v>0</v>
      </c>
      <c r="F60" s="886">
        <f t="shared" si="15"/>
        <v>0</v>
      </c>
      <c r="G60" s="1987" t="s">
        <v>1892</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1893</v>
      </c>
      <c r="B61" s="218">
        <f t="shared" si="17"/>
        <v>0</v>
      </c>
      <c r="C61" s="171">
        <f t="shared" si="16"/>
        <v>0</v>
      </c>
      <c r="D61" s="945">
        <v>0.25</v>
      </c>
      <c r="E61" s="217">
        <f>'数据-汇总表'!E12</f>
        <v>0</v>
      </c>
      <c r="F61" s="886">
        <f t="shared" si="15"/>
        <v>0</v>
      </c>
      <c r="G61" s="892" t="s">
        <v>1894</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1895</v>
      </c>
      <c r="B62" s="218">
        <f t="shared" si="17"/>
        <v>0</v>
      </c>
      <c r="C62" s="171">
        <f t="shared" si="16"/>
        <v>0</v>
      </c>
      <c r="D62" s="945">
        <v>0.25</v>
      </c>
      <c r="E62" s="217">
        <f>'数据-汇总表'!E13</f>
        <v>0</v>
      </c>
      <c r="F62" s="886">
        <f t="shared" si="15"/>
        <v>0</v>
      </c>
      <c r="G62" s="892" t="s">
        <v>1896</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1897</v>
      </c>
      <c r="B63" s="218">
        <f t="shared" si="17"/>
        <v>0</v>
      </c>
      <c r="C63" s="171">
        <f t="shared" si="16"/>
        <v>0</v>
      </c>
      <c r="D63" s="945">
        <v>0.25</v>
      </c>
      <c r="E63" s="217">
        <f>'数据-汇总表'!E14</f>
        <v>0</v>
      </c>
      <c r="F63" s="886">
        <f t="shared" si="15"/>
        <v>0</v>
      </c>
      <c r="G63" s="1987" t="s">
        <v>1888</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1898</v>
      </c>
      <c r="B64" s="218">
        <f t="shared" si="17"/>
        <v>0</v>
      </c>
      <c r="C64" s="171">
        <f t="shared" si="16"/>
        <v>0</v>
      </c>
      <c r="D64" s="945">
        <v>0.25</v>
      </c>
      <c r="E64" s="217">
        <f>'数据-汇总表'!E15</f>
        <v>0</v>
      </c>
      <c r="F64" s="886">
        <f t="shared" si="15"/>
        <v>0</v>
      </c>
      <c r="G64" s="1988" t="s">
        <v>1892</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1899</v>
      </c>
      <c r="B65" s="644" t="s">
        <v>22</v>
      </c>
      <c r="C65" s="644" t="s">
        <v>23</v>
      </c>
      <c r="D65" s="644" t="s">
        <v>392</v>
      </c>
      <c r="E65" s="644">
        <f>IF(B46="楼面地价",SUM(E56:E64),'数据-汇总表'!D3)</f>
        <v>33700.31</v>
      </c>
      <c r="F65" s="645">
        <f>IF(B46="楼面地价",SUM(F56:F64),ROUND(C48*E65/10000,0))</f>
        <v>29505</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1900</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1901</v>
      </c>
      <c r="B70" s="288" t="str">
        <f>"北京市平均增长率"&amp;TEXT(SUMIF(基准地价修正!N25:N29,A70,基准地价修正!P25:P29),"0.00%")</f>
        <v>北京市平均增长率0.00%</v>
      </c>
      <c r="C70" s="552">
        <v>100</v>
      </c>
      <c r="D70" s="544">
        <v>100</v>
      </c>
      <c r="E70" s="544">
        <v>100</v>
      </c>
      <c r="F70" s="544">
        <v>99.8</v>
      </c>
      <c r="G70" s="544">
        <v>99.8</v>
      </c>
      <c r="H70" s="544">
        <v>99.8</v>
      </c>
      <c r="I70" s="544">
        <v>99.6</v>
      </c>
      <c r="J70" s="544">
        <v>99.6</v>
      </c>
      <c r="K70" s="544">
        <v>99.6</v>
      </c>
      <c r="L70" s="544">
        <v>99.4</v>
      </c>
      <c r="M70" s="544">
        <v>99.4</v>
      </c>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3471" t="s">
        <v>3550</v>
      </c>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v>100</v>
      </c>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1</v>
      </c>
      <c r="E79" s="498">
        <v>2</v>
      </c>
      <c r="F79" s="498">
        <v>3</v>
      </c>
      <c r="G79" s="498">
        <v>4</v>
      </c>
      <c r="H79" s="498">
        <v>5</v>
      </c>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99</v>
      </c>
      <c r="E80" s="493">
        <f t="shared" si="21"/>
        <v>98</v>
      </c>
      <c r="F80" s="493">
        <f t="shared" si="21"/>
        <v>97</v>
      </c>
      <c r="G80" s="493">
        <f t="shared" si="21"/>
        <v>96</v>
      </c>
      <c r="H80" s="493">
        <f t="shared" si="21"/>
        <v>95</v>
      </c>
      <c r="I80" s="493">
        <f t="shared" si="21"/>
        <v>94</v>
      </c>
      <c r="J80" s="493">
        <f t="shared" si="21"/>
        <v>93</v>
      </c>
      <c r="K80" s="493">
        <f t="shared" si="21"/>
        <v>92</v>
      </c>
      <c r="L80" s="493">
        <f t="shared" si="21"/>
        <v>91</v>
      </c>
      <c r="M80" s="493">
        <f t="shared" si="21"/>
        <v>90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权利性质</v>
      </c>
      <c r="C81" s="3474" t="s">
        <v>3553</v>
      </c>
      <c r="D81" s="3474" t="s">
        <v>3554</v>
      </c>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v>100</v>
      </c>
      <c r="D82" s="509">
        <v>120</v>
      </c>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t="str">
        <f>B13</f>
        <v>是否可出售</v>
      </c>
      <c r="C83" s="3474" t="s">
        <v>3556</v>
      </c>
      <c r="D83" s="3474" t="s">
        <v>3557</v>
      </c>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v>100</v>
      </c>
      <c r="D84" s="509">
        <v>105</v>
      </c>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1902</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95</v>
      </c>
      <c r="E92" s="493">
        <f>D92-$K19</f>
        <v>90</v>
      </c>
      <c r="F92" s="493">
        <f>E92-$K19</f>
        <v>85</v>
      </c>
      <c r="G92" s="493">
        <f>F92-$K19</f>
        <v>80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97</v>
      </c>
      <c r="E94" s="493">
        <f>D94-$K21</f>
        <v>94</v>
      </c>
      <c r="F94" s="493">
        <f>E94-$K21</f>
        <v>91</v>
      </c>
      <c r="G94" s="493">
        <f>F94-$K21</f>
        <v>88</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1903</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1904</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1905</v>
      </c>
      <c r="D103" s="488" t="s">
        <v>1906</v>
      </c>
      <c r="E103" s="488" t="s">
        <v>1907</v>
      </c>
      <c r="F103" s="488" t="s">
        <v>1908</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1869</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28.5">
      <c r="A115" s="476" t="s">
        <v>1691</v>
      </c>
      <c r="B115" s="477" t="s">
        <v>1909</v>
      </c>
      <c r="C115" s="478" t="str">
        <f>C116&amp;"(含)"&amp;"-"&amp;D116</f>
        <v>0(含)-50000</v>
      </c>
      <c r="D115" s="478" t="str">
        <f t="shared" ref="D115:M115" si="25">D116&amp;"(含)"&amp;"-"&amp;E116</f>
        <v>50000(含)-100000</v>
      </c>
      <c r="E115" s="478" t="str">
        <f t="shared" si="25"/>
        <v>100000(含)-150000</v>
      </c>
      <c r="F115" s="478" t="str">
        <f t="shared" si="25"/>
        <v>150000(含)-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v>0</v>
      </c>
      <c r="D116" s="544">
        <v>50000</v>
      </c>
      <c r="E116" s="544">
        <v>100000</v>
      </c>
      <c r="F116" s="544">
        <v>150000</v>
      </c>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v>100</v>
      </c>
      <c r="D117" s="540">
        <v>101</v>
      </c>
      <c r="E117" s="540">
        <v>102</v>
      </c>
      <c r="F117" s="540">
        <v>103</v>
      </c>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1910</v>
      </c>
      <c r="C118" s="3473" t="s">
        <v>3551</v>
      </c>
      <c r="D118" s="3473" t="s">
        <v>3552</v>
      </c>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99</v>
      </c>
      <c r="E119" s="493">
        <f t="shared" si="26"/>
        <v>98</v>
      </c>
      <c r="F119" s="493">
        <f t="shared" si="26"/>
        <v>97</v>
      </c>
      <c r="G119" s="493">
        <f t="shared" si="26"/>
        <v>96</v>
      </c>
      <c r="H119" s="493">
        <f t="shared" si="26"/>
        <v>95</v>
      </c>
      <c r="I119" s="493">
        <f t="shared" si="26"/>
        <v>94</v>
      </c>
      <c r="J119" s="493">
        <f t="shared" si="26"/>
        <v>93</v>
      </c>
      <c r="K119" s="493">
        <f t="shared" si="26"/>
        <v>92</v>
      </c>
      <c r="L119" s="493">
        <f t="shared" si="26"/>
        <v>91</v>
      </c>
      <c r="M119" s="494">
        <f t="shared" si="26"/>
        <v>90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1911</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1912</v>
      </c>
      <c r="C122" s="3472" t="str">
        <f>C101</f>
        <v>七通</v>
      </c>
      <c r="D122" s="3472" t="str">
        <f>D101</f>
        <v>六通</v>
      </c>
      <c r="E122" s="3472" t="str">
        <f>E101</f>
        <v>五通</v>
      </c>
      <c r="F122" s="3472" t="str">
        <f>F101</f>
        <v>四通</v>
      </c>
      <c r="G122" s="3472" t="str">
        <f>G101</f>
        <v>三通</v>
      </c>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99.5</v>
      </c>
      <c r="E123" s="493">
        <f t="shared" si="28"/>
        <v>99</v>
      </c>
      <c r="F123" s="493">
        <f t="shared" si="28"/>
        <v>98.5</v>
      </c>
      <c r="G123" s="493">
        <f t="shared" si="28"/>
        <v>98</v>
      </c>
      <c r="H123" s="493">
        <f t="shared" si="28"/>
        <v>97.5</v>
      </c>
      <c r="I123" s="493">
        <f t="shared" si="28"/>
        <v>97</v>
      </c>
      <c r="J123" s="493">
        <f t="shared" si="28"/>
        <v>96.5</v>
      </c>
      <c r="K123" s="493">
        <f t="shared" si="28"/>
        <v>96</v>
      </c>
      <c r="L123" s="493">
        <f t="shared" si="28"/>
        <v>95.5</v>
      </c>
      <c r="M123" s="494">
        <f t="shared" si="28"/>
        <v>95</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1913</v>
      </c>
      <c r="C124" s="503" t="str">
        <f>C99</f>
        <v>好</v>
      </c>
      <c r="D124" s="503" t="str">
        <f>D99</f>
        <v>较好</v>
      </c>
      <c r="E124" s="503" t="str">
        <f>E99</f>
        <v>一般</v>
      </c>
      <c r="F124" s="503" t="str">
        <f>F99</f>
        <v>较差</v>
      </c>
      <c r="G124" s="503" t="str">
        <f>G99</f>
        <v>差</v>
      </c>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99</v>
      </c>
      <c r="E125" s="493">
        <f t="shared" si="29"/>
        <v>98</v>
      </c>
      <c r="F125" s="493">
        <f t="shared" si="29"/>
        <v>97</v>
      </c>
      <c r="G125" s="493">
        <f t="shared" si="29"/>
        <v>96</v>
      </c>
      <c r="H125" s="493">
        <f t="shared" si="29"/>
        <v>95</v>
      </c>
      <c r="I125" s="493">
        <f t="shared" si="29"/>
        <v>94</v>
      </c>
      <c r="J125" s="493">
        <f t="shared" si="29"/>
        <v>93</v>
      </c>
      <c r="K125" s="493">
        <f t="shared" si="29"/>
        <v>92</v>
      </c>
      <c r="L125" s="493">
        <f t="shared" si="29"/>
        <v>91</v>
      </c>
      <c r="M125" s="494">
        <f t="shared" si="29"/>
        <v>90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1914</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26" t="s">
        <v>1768</v>
      </c>
      <c r="S4" s="3727"/>
      <c r="T4" s="3726" t="s">
        <v>1769</v>
      </c>
      <c r="U4" s="3727"/>
      <c r="V4" s="3732" t="s">
        <v>1770</v>
      </c>
      <c r="W4" s="3732"/>
      <c r="X4" s="1355"/>
      <c r="Y4" s="3726" t="s">
        <v>1772</v>
      </c>
      <c r="Z4" s="3727"/>
      <c r="AA4" s="3713" t="s">
        <v>1768</v>
      </c>
      <c r="AB4" s="3714" t="s">
        <v>1769</v>
      </c>
      <c r="AC4" s="3713" t="s">
        <v>1770</v>
      </c>
    </row>
    <row r="5" spans="1:29" ht="15">
      <c r="A5" s="358"/>
      <c r="B5" s="359"/>
      <c r="C5" s="3735" t="s">
        <v>1670</v>
      </c>
      <c r="D5" s="3736"/>
      <c r="E5" s="3742" t="s">
        <v>1671</v>
      </c>
      <c r="F5" s="3743"/>
      <c r="G5" s="3735" t="s">
        <v>1672</v>
      </c>
      <c r="H5" s="3736"/>
      <c r="I5" s="3735" t="s">
        <v>1673</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65" t="s">
        <v>1915</v>
      </c>
      <c r="D6" s="3766"/>
      <c r="E6" s="3767" t="s">
        <v>1915</v>
      </c>
      <c r="F6" s="3768"/>
      <c r="G6" s="3765" t="s">
        <v>1915</v>
      </c>
      <c r="H6" s="3766"/>
      <c r="I6" s="3765" t="s">
        <v>1915</v>
      </c>
      <c r="J6" s="3766"/>
      <c r="K6" s="559" t="s">
        <v>1675</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1676</v>
      </c>
      <c r="B7" s="363"/>
      <c r="C7" s="364">
        <f>'数据-取费表'!B2</f>
        <v>45064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7" t="s">
        <v>1677</v>
      </c>
      <c r="Q7" s="3739"/>
      <c r="R7" s="701" t="s">
        <v>14</v>
      </c>
      <c r="S7" s="702">
        <f t="shared" ref="S7:S15" si="0">F7</f>
        <v>0</v>
      </c>
      <c r="T7" s="701" t="s">
        <v>14</v>
      </c>
      <c r="U7" s="702">
        <f t="shared" ref="U7:U15" si="1">H7</f>
        <v>0</v>
      </c>
      <c r="V7" s="701" t="s">
        <v>14</v>
      </c>
      <c r="W7" s="702">
        <f t="shared" ref="W7:W15" si="2">J7</f>
        <v>0</v>
      </c>
      <c r="X7" s="703"/>
      <c r="Y7" s="3737" t="s">
        <v>1677</v>
      </c>
      <c r="Z7" s="3738"/>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7" t="s">
        <v>1680</v>
      </c>
      <c r="Q8" s="3738"/>
      <c r="R8" s="701" t="s">
        <v>14</v>
      </c>
      <c r="S8" s="702">
        <f t="shared" si="0"/>
        <v>0</v>
      </c>
      <c r="T8" s="701" t="s">
        <v>14</v>
      </c>
      <c r="U8" s="702">
        <f t="shared" si="1"/>
        <v>0</v>
      </c>
      <c r="V8" s="701" t="s">
        <v>14</v>
      </c>
      <c r="W8" s="702">
        <f t="shared" si="2"/>
        <v>0</v>
      </c>
      <c r="X8" s="703"/>
      <c r="Y8" s="3737" t="s">
        <v>1680</v>
      </c>
      <c r="Z8" s="3738"/>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102</v>
      </c>
      <c r="G10" s="383"/>
      <c r="H10" s="127">
        <f>ROUND(100/'数据-取费表'!G16,0)</f>
        <v>102</v>
      </c>
      <c r="I10" s="383"/>
      <c r="J10" s="127">
        <f>ROUND(100/'数据-取费表'!G16,0)</f>
        <v>102</v>
      </c>
      <c r="K10" s="620"/>
      <c r="L10" s="2719"/>
      <c r="M10" s="2720"/>
      <c r="N10" s="2720"/>
      <c r="O10" s="2773"/>
      <c r="P10" s="3701"/>
      <c r="Q10" s="1343" t="str">
        <f t="shared" si="6"/>
        <v>土地使用年限（年）</v>
      </c>
      <c r="R10" s="701" t="s">
        <v>14</v>
      </c>
      <c r="S10" s="702">
        <f t="shared" si="0"/>
        <v>102</v>
      </c>
      <c r="T10" s="701" t="s">
        <v>14</v>
      </c>
      <c r="U10" s="702">
        <f t="shared" si="1"/>
        <v>102</v>
      </c>
      <c r="V10" s="701" t="s">
        <v>14</v>
      </c>
      <c r="W10" s="702">
        <f t="shared" si="2"/>
        <v>102</v>
      </c>
      <c r="X10" s="703"/>
      <c r="Y10" s="3576"/>
      <c r="Z10" s="52" t="str">
        <f t="shared" si="7"/>
        <v>土地使用年限（年）</v>
      </c>
      <c r="AA10" s="704">
        <f t="shared" si="3"/>
        <v>0.98039215686274506</v>
      </c>
      <c r="AB10" s="704">
        <f t="shared" si="4"/>
        <v>0.98039215686274506</v>
      </c>
      <c r="AC10" s="704">
        <f t="shared" si="5"/>
        <v>0.98039215686274506</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57">
      <c r="A15" s="391" t="s">
        <v>1687</v>
      </c>
      <c r="B15" s="577" t="s">
        <v>1916</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1688</v>
      </c>
      <c r="Q15" s="1352" t="str">
        <f t="shared" si="6"/>
        <v>产业集聚程度</v>
      </c>
      <c r="R15" s="705" t="s">
        <v>14</v>
      </c>
      <c r="S15" s="706">
        <f t="shared" si="0"/>
        <v>100</v>
      </c>
      <c r="T15" s="705" t="s">
        <v>14</v>
      </c>
      <c r="U15" s="706">
        <f t="shared" si="1"/>
        <v>100</v>
      </c>
      <c r="V15" s="705" t="s">
        <v>14</v>
      </c>
      <c r="W15" s="706">
        <f t="shared" si="2"/>
        <v>100</v>
      </c>
      <c r="X15" s="1355"/>
      <c r="Y15" s="3703"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15">
      <c r="A19" s="379"/>
      <c r="B19" s="579" t="s">
        <v>1867</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71.25">
      <c r="A21" s="358"/>
      <c r="B21" s="579" t="s">
        <v>1917</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1869</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9" t="s">
        <v>1693</v>
      </c>
      <c r="Q32" s="1352">
        <f t="shared" si="8"/>
        <v>111</v>
      </c>
      <c r="R32" s="705" t="s">
        <v>14</v>
      </c>
      <c r="S32" s="706">
        <f t="shared" si="10"/>
        <v>100</v>
      </c>
      <c r="T32" s="705" t="s">
        <v>14</v>
      </c>
      <c r="U32" s="706">
        <f t="shared" si="11"/>
        <v>100</v>
      </c>
      <c r="V32" s="705" t="s">
        <v>14</v>
      </c>
      <c r="W32" s="706">
        <f t="shared" si="12"/>
        <v>100</v>
      </c>
      <c r="X32" s="1355"/>
      <c r="Y32" s="3708"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1691</v>
      </c>
      <c r="B34" s="407" t="s">
        <v>1870</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1871</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1873</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1874</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1693</v>
      </c>
      <c r="Q37" s="1352" t="str">
        <f t="shared" si="14"/>
        <v>工程地质条件</v>
      </c>
      <c r="R37" s="705" t="s">
        <v>14</v>
      </c>
      <c r="S37" s="706">
        <f t="shared" si="10"/>
        <v>100</v>
      </c>
      <c r="T37" s="705" t="s">
        <v>14</v>
      </c>
      <c r="U37" s="706">
        <f t="shared" si="11"/>
        <v>100</v>
      </c>
      <c r="V37" s="705" t="s">
        <v>14</v>
      </c>
      <c r="W37" s="706">
        <f t="shared" si="12"/>
        <v>100</v>
      </c>
      <c r="X37" s="1355"/>
      <c r="Y37" s="3708"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1841</v>
      </c>
      <c r="B41" s="1982" t="s">
        <v>1918</v>
      </c>
      <c r="C41" s="630" t="s">
        <v>0</v>
      </c>
      <c r="D41" s="432"/>
      <c r="E41" s="433"/>
      <c r="F41" s="434"/>
      <c r="G41" s="435"/>
      <c r="H41" s="436"/>
      <c r="I41" s="433"/>
      <c r="J41" s="436"/>
      <c r="K41" s="714"/>
      <c r="L41" s="2724"/>
      <c r="M41" s="2716"/>
      <c r="N41" s="2716"/>
      <c r="O41" s="2725"/>
      <c r="P41" s="3701" t="str">
        <f>A41</f>
        <v>成交单价</v>
      </c>
      <c r="Q41" s="3701"/>
      <c r="R41" s="3732">
        <f>E41</f>
        <v>0</v>
      </c>
      <c r="S41" s="3732"/>
      <c r="T41" s="3732">
        <f>G41</f>
        <v>0</v>
      </c>
      <c r="U41" s="3732"/>
      <c r="V41" s="3732">
        <f>I41</f>
        <v>0</v>
      </c>
      <c r="W41" s="3732"/>
      <c r="X41" s="690"/>
      <c r="Y41" s="712"/>
      <c r="Z41" s="690"/>
      <c r="AA41" s="690"/>
      <c r="AB41" s="690"/>
      <c r="AC41" s="690"/>
    </row>
    <row r="42" spans="1:31" ht="15.75" thickBot="1">
      <c r="A42" s="437" t="s">
        <v>1790</v>
      </c>
      <c r="B42" s="631"/>
      <c r="C42" s="440" t="e">
        <f>R43</f>
        <v>#DIV/0!</v>
      </c>
      <c r="D42" s="2317" t="s">
        <v>2134</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698" t="str">
        <f>A43</f>
        <v>估价对象XX用房的比较价值（楼面单价，元/平方米）</v>
      </c>
      <c r="Q43" s="3699"/>
      <c r="R43" s="3762" t="e">
        <f>ROUND(IF(D42="简单平均",AVERAGE(R42:W42),R42*F42+T42*H42+V42*J42),0)</f>
        <v>#DIV/0!</v>
      </c>
      <c r="S43" s="3762"/>
      <c r="T43" s="3762"/>
      <c r="U43" s="3762"/>
      <c r="V43" s="3762"/>
      <c r="W43" s="376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1877</v>
      </c>
      <c r="B50" s="633" t="s">
        <v>1878</v>
      </c>
      <c r="C50" s="1983" t="s">
        <v>1879</v>
      </c>
      <c r="D50" s="1984" t="s">
        <v>1880</v>
      </c>
      <c r="E50" s="634" t="s">
        <v>1881</v>
      </c>
      <c r="F50" s="635" t="s">
        <v>1882</v>
      </c>
      <c r="G50" s="3716" t="s">
        <v>1883</v>
      </c>
      <c r="H50" s="3763"/>
      <c r="I50" s="1356" t="s">
        <v>1919</v>
      </c>
      <c r="J50" s="1356">
        <f>项目基本情况!F35</f>
        <v>0</v>
      </c>
      <c r="K50" s="1986" t="s">
        <v>1885</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1886</v>
      </c>
      <c r="B51" s="637" t="e">
        <f>C43</f>
        <v>#DIV/0!</v>
      </c>
      <c r="C51" s="638">
        <v>1</v>
      </c>
      <c r="D51" s="944">
        <v>1</v>
      </c>
      <c r="E51" s="638">
        <f>'数据-汇总表'!E8+'数据-汇总表'!E9</f>
        <v>33700.31</v>
      </c>
      <c r="F51" s="639" t="e">
        <f t="shared" ref="F51:F60" si="15">ROUND(B51*E51/10000,0)</f>
        <v>#DIV/0!</v>
      </c>
      <c r="G51" s="3712"/>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1887</v>
      </c>
      <c r="B52" s="218" t="e">
        <f>ROUND($C$43*C52*D52,0)</f>
        <v>#DIV/0!</v>
      </c>
      <c r="C52" s="171">
        <f t="shared" ref="C52:C60" si="16">IF($C$50="北京市系数",I52,J52)</f>
        <v>0</v>
      </c>
      <c r="D52" s="945">
        <v>0.25</v>
      </c>
      <c r="E52" s="642"/>
      <c r="F52" s="639" t="e">
        <f t="shared" si="15"/>
        <v>#DIV/0!</v>
      </c>
      <c r="G52" s="3006" t="s">
        <v>1888</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1889</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1890</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1891</v>
      </c>
      <c r="B56" s="218" t="e">
        <f t="shared" si="17"/>
        <v>#DIV/0!</v>
      </c>
      <c r="C56" s="171">
        <f t="shared" si="16"/>
        <v>0</v>
      </c>
      <c r="D56" s="945">
        <v>0.25</v>
      </c>
      <c r="E56" s="217">
        <f>'数据-汇总表'!E11</f>
        <v>0</v>
      </c>
      <c r="F56" s="639" t="e">
        <f t="shared" si="15"/>
        <v>#DIV/0!</v>
      </c>
      <c r="G56" s="1987" t="s">
        <v>1892</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1893</v>
      </c>
      <c r="B57" s="218" t="e">
        <f t="shared" si="17"/>
        <v>#DIV/0!</v>
      </c>
      <c r="C57" s="171">
        <f t="shared" si="16"/>
        <v>0</v>
      </c>
      <c r="D57" s="945">
        <v>0.25</v>
      </c>
      <c r="E57" s="217">
        <f>'数据-汇总表'!E12</f>
        <v>0</v>
      </c>
      <c r="F57" s="639" t="e">
        <f t="shared" si="15"/>
        <v>#DIV/0!</v>
      </c>
      <c r="G57" s="892" t="s">
        <v>1894</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1895</v>
      </c>
      <c r="B58" s="218" t="e">
        <f t="shared" si="17"/>
        <v>#DIV/0!</v>
      </c>
      <c r="C58" s="171">
        <f t="shared" si="16"/>
        <v>0</v>
      </c>
      <c r="D58" s="945">
        <v>0.25</v>
      </c>
      <c r="E58" s="217">
        <f>'数据-汇总表'!E13</f>
        <v>0</v>
      </c>
      <c r="F58" s="639" t="e">
        <f t="shared" si="15"/>
        <v>#DIV/0!</v>
      </c>
      <c r="G58" s="892" t="s">
        <v>1896</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1897</v>
      </c>
      <c r="B59" s="218" t="e">
        <f t="shared" si="17"/>
        <v>#DIV/0!</v>
      </c>
      <c r="C59" s="171">
        <f t="shared" si="16"/>
        <v>0</v>
      </c>
      <c r="D59" s="945">
        <v>0.25</v>
      </c>
      <c r="E59" s="217">
        <f>'数据-汇总表'!E14</f>
        <v>0</v>
      </c>
      <c r="F59" s="639" t="e">
        <f t="shared" si="15"/>
        <v>#DIV/0!</v>
      </c>
      <c r="G59" s="1987" t="s">
        <v>1888</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1898</v>
      </c>
      <c r="B60" s="218" t="e">
        <f t="shared" si="17"/>
        <v>#DIV/0!</v>
      </c>
      <c r="C60" s="171">
        <f t="shared" si="16"/>
        <v>0</v>
      </c>
      <c r="D60" s="945">
        <v>0.25</v>
      </c>
      <c r="E60" s="217">
        <f>'数据-汇总表'!E15</f>
        <v>0</v>
      </c>
      <c r="F60" s="639" t="e">
        <f t="shared" si="15"/>
        <v>#DIV/0!</v>
      </c>
      <c r="G60" s="1988" t="s">
        <v>1892</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1899</v>
      </c>
      <c r="B61" s="644" t="s">
        <v>22</v>
      </c>
      <c r="C61" s="644" t="s">
        <v>23</v>
      </c>
      <c r="D61" s="644" t="s">
        <v>392</v>
      </c>
      <c r="E61" s="644">
        <f>IF(B41="楼面地价",SUM(E51:E60),'数据-汇总表'!D3)</f>
        <v>30808.7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1900</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1920</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1903</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1904</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1921</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1905</v>
      </c>
      <c r="D95" s="488" t="s">
        <v>1906</v>
      </c>
      <c r="E95" s="488" t="s">
        <v>1907</v>
      </c>
      <c r="F95" s="488" t="s">
        <v>1908</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1869</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1909</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1910</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1912</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1913</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772" t="s">
        <v>2080</v>
      </c>
      <c r="D1" s="3773"/>
      <c r="E1" s="3773"/>
      <c r="F1" s="3773"/>
      <c r="G1" s="3773"/>
      <c r="H1" s="3773"/>
      <c r="I1" s="3773"/>
      <c r="J1" s="3773"/>
      <c r="K1" s="3773"/>
      <c r="L1" s="3773"/>
      <c r="M1" s="3773"/>
      <c r="N1" s="3773"/>
      <c r="O1" s="3773"/>
      <c r="P1" s="3773"/>
      <c r="Q1" s="3773"/>
      <c r="R1" s="3773"/>
      <c r="S1" s="3774"/>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2083</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2084</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2085</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2089</v>
      </c>
      <c r="B17" s="2149"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2091</v>
      </c>
      <c r="E19" s="1340"/>
      <c r="F19" s="1340"/>
      <c r="G19" s="1340"/>
      <c r="H19" s="1059"/>
      <c r="I19" s="159"/>
      <c r="J19" s="159"/>
      <c r="K19" s="159"/>
      <c r="L19" s="159"/>
      <c r="M19" s="159"/>
      <c r="N19" s="159"/>
      <c r="O19" s="159"/>
      <c r="P19" s="159"/>
      <c r="Q19" s="159"/>
      <c r="R19" s="718"/>
      <c r="S19" s="129"/>
    </row>
    <row r="20" spans="1:45" ht="16.5" thickBot="1">
      <c r="A20" s="662" t="s">
        <v>2092</v>
      </c>
      <c r="B20" s="294" t="e">
        <f ca="1">IF(D20="——",S22,S22-F20)</f>
        <v>#REF!</v>
      </c>
      <c r="C20" s="159"/>
      <c r="D20" s="2151"/>
      <c r="E20" s="1341"/>
      <c r="F20" s="983" t="e">
        <f ca="1">SUMIF(INDIRECT("'"&amp;H20&amp;"'"&amp;"!A:A"),"承租人权益价值",INDIRECT("'"&amp;H20&amp;"'"&amp;"!c:c"))</f>
        <v>#REF!</v>
      </c>
      <c r="G20" s="983" t="s">
        <v>2093</v>
      </c>
      <c r="H20" s="2152"/>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2077</v>
      </c>
      <c r="B1" s="2147"/>
      <c r="C1" s="2147"/>
      <c r="D1" s="2147"/>
      <c r="E1" s="2147"/>
      <c r="F1" s="2793"/>
      <c r="G1" s="2793"/>
      <c r="H1" s="2793"/>
      <c r="I1" s="2793"/>
      <c r="J1" s="2793"/>
      <c r="K1" s="2793"/>
      <c r="L1" s="2793"/>
      <c r="M1" s="2793"/>
      <c r="N1" s="2793"/>
      <c r="O1" s="2793"/>
      <c r="P1" s="2793"/>
    </row>
    <row r="2" spans="1:16" ht="15.75">
      <c r="A2" s="2145" t="s">
        <v>2069</v>
      </c>
      <c r="B2" s="2602" t="e">
        <f ca="1">SUMIF(B6:B13,"&lt;&gt;#ref!",B6:B13)</f>
        <v>#DIV/0!</v>
      </c>
      <c r="C2" s="2145" t="s">
        <v>2070</v>
      </c>
      <c r="D2" s="2145" t="s">
        <v>2071</v>
      </c>
      <c r="E2" s="2612">
        <f ca="1">SUMIF(E6:E13,"&lt;&gt;#ref!",E6:E13)</f>
        <v>0</v>
      </c>
      <c r="F2" s="2793"/>
      <c r="G2" s="2793"/>
      <c r="H2" s="2793"/>
      <c r="I2" s="2793"/>
      <c r="J2" s="2793"/>
      <c r="K2" s="2793"/>
      <c r="L2" s="2793"/>
      <c r="M2" s="2793"/>
      <c r="N2" s="2793"/>
      <c r="O2" s="2793"/>
      <c r="P2" s="2793"/>
    </row>
    <row r="3" spans="1:16" ht="15.75">
      <c r="A3" s="2145" t="s">
        <v>2072</v>
      </c>
      <c r="B3" s="2602" t="e">
        <f ca="1">ROUND(B2*10000/E2,0)</f>
        <v>#DIV/0!</v>
      </c>
      <c r="C3" s="2145" t="s">
        <v>2078</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2073</v>
      </c>
      <c r="B5" s="2610" t="s">
        <v>2074</v>
      </c>
      <c r="C5" s="2146"/>
      <c r="D5" s="2793"/>
      <c r="E5" s="2611" t="s">
        <v>2075</v>
      </c>
      <c r="F5" s="2793"/>
      <c r="G5" s="2793"/>
      <c r="H5" s="2793"/>
      <c r="I5" s="2793"/>
      <c r="J5" s="2793"/>
      <c r="K5" s="2793"/>
      <c r="L5" s="2793"/>
      <c r="M5" s="2793"/>
      <c r="N5" s="2793"/>
      <c r="O5" s="2793"/>
      <c r="P5" s="2793"/>
    </row>
    <row r="6" spans="1:16" ht="15.75">
      <c r="A6" s="2609" t="s">
        <v>2076</v>
      </c>
      <c r="B6" s="2602" t="e">
        <f ca="1">SUMIF(INDIRECT("'"&amp;A6&amp;"'"&amp;"!A:A"),"总价",INDIRECT("'"&amp;A6&amp;"'"&amp;"!B:B"))</f>
        <v>#DIV/0!</v>
      </c>
      <c r="C6" s="2145" t="s">
        <v>2070</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2070</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2070</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2070</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2070</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2070</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2070</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2070</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1922</v>
      </c>
      <c r="B1" s="197"/>
      <c r="C1" s="201" t="s">
        <v>1923</v>
      </c>
      <c r="D1" s="342">
        <f>SUM(D33:D34,D37:D42)</f>
        <v>0</v>
      </c>
      <c r="E1" s="1995"/>
      <c r="F1" s="1995"/>
      <c r="G1" s="1995"/>
      <c r="H1" s="1995"/>
      <c r="I1" s="1995"/>
      <c r="J1" s="1995"/>
      <c r="K1" s="1119"/>
      <c r="L1" s="1996" t="s">
        <v>1924</v>
      </c>
      <c r="M1" s="863">
        <f>SUMPRODUCT((区片价!B5:B9=I2)*(区片价!C3:G3=E2)*(区片价!C5:G9))</f>
        <v>0</v>
      </c>
      <c r="N1" s="866">
        <f>SUMPRODUCT((因素修正幅度!B5:B9=I2)*(因素修正幅度!C3:G3=E2)*(因素修正幅度!C5:G9))</f>
        <v>0</v>
      </c>
      <c r="O1" s="1997"/>
      <c r="P1" s="1997"/>
      <c r="Q1" s="1119"/>
      <c r="R1" s="1212" t="s">
        <v>1925</v>
      </c>
      <c r="S1" s="1212" t="s">
        <v>1926</v>
      </c>
      <c r="T1" s="1212" t="s">
        <v>1927</v>
      </c>
      <c r="U1" s="1212" t="s">
        <v>1928</v>
      </c>
      <c r="V1" s="1212" t="s">
        <v>1929</v>
      </c>
      <c r="W1" s="1216"/>
      <c r="X1" s="1216"/>
      <c r="Y1" s="1216"/>
      <c r="Z1" s="1216"/>
      <c r="AA1" s="1216"/>
      <c r="AB1" s="1216"/>
      <c r="AC1" s="1217"/>
      <c r="AD1" s="1218"/>
      <c r="AE1" s="1218"/>
      <c r="AF1" s="1218"/>
      <c r="AG1" s="1218"/>
      <c r="AH1" s="1218"/>
      <c r="AI1" s="1218"/>
      <c r="AJ1" s="1219"/>
    </row>
    <row r="2" spans="1:36" ht="15.75">
      <c r="A2" s="201" t="s">
        <v>1930</v>
      </c>
      <c r="B2" s="204" t="e">
        <f>C30</f>
        <v>#DIV/0!</v>
      </c>
      <c r="C2" s="1999" t="s">
        <v>1931</v>
      </c>
      <c r="D2" s="2000" t="s">
        <v>1932</v>
      </c>
      <c r="E2" s="3422"/>
      <c r="F2" s="2000" t="s">
        <v>1933</v>
      </c>
      <c r="G2" s="2001">
        <f>IF(E2="商业",项目基本情况!B37,IF(E2="办公",项目基本情况!C37,IF(E2="住宅",项目基本情况!D37,IF(E2="工业",项目基本情况!E37,项目基本情况!F37))))</f>
        <v>0</v>
      </c>
      <c r="H2" s="2000" t="s">
        <v>1934</v>
      </c>
      <c r="I2" s="2001">
        <f>IF(E2="商业",项目基本情况!B38,IF(E2="办公",项目基本情况!C38,IF(E2="住宅",项目基本情况!D38,IF(E2="工业",项目基本情况!E38,项目基本情况!F38))))</f>
        <v>0</v>
      </c>
      <c r="J2" s="2002"/>
      <c r="K2" s="1119"/>
      <c r="L2" s="2003" t="s">
        <v>1935</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1936</v>
      </c>
      <c r="B3" s="204" t="e">
        <f>ROUND(B2*10000/D1,0)</f>
        <v>#DIV/0!</v>
      </c>
      <c r="C3" s="1999" t="s">
        <v>1937</v>
      </c>
      <c r="D3" s="2000" t="s">
        <v>1938</v>
      </c>
      <c r="E3" s="3420"/>
      <c r="F3" s="2004"/>
      <c r="G3" s="752">
        <f>IF(F3="宗地容积率",'数据-汇总表'!I4,IF(F3="估价对象容积率",'数据-汇总表'!I6,'数据-汇总表'!I7))</f>
        <v>0</v>
      </c>
      <c r="H3" s="170" t="s">
        <v>1939</v>
      </c>
      <c r="I3" s="775"/>
      <c r="J3" s="2002" t="s">
        <v>1940</v>
      </c>
      <c r="K3" s="1119"/>
      <c r="L3" s="2003" t="s">
        <v>1941</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82"/>
      <c r="B4" s="3783"/>
      <c r="C4" s="3783"/>
      <c r="D4" s="3784"/>
      <c r="E4" s="3784"/>
      <c r="F4" s="3784"/>
      <c r="G4" s="3784"/>
      <c r="H4" s="3784"/>
      <c r="I4" s="3784"/>
      <c r="J4" s="3785"/>
      <c r="K4" s="1119"/>
      <c r="L4" s="2003" t="s">
        <v>1942</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1943</v>
      </c>
      <c r="C5" s="753" t="e">
        <f>ROUND(IF(E2="商业",C6*C7*C17+C20,(IF(E2="住宅",C6*C13*C17+C20,IF(E2="办公",C6*C12*C17+C20,C6+C20)))),0)</f>
        <v>#DIV/0!</v>
      </c>
      <c r="D5" s="1339" t="e">
        <f>ROUND(C6*C17+C20,0)</f>
        <v>#DIV/0!</v>
      </c>
      <c r="E5" s="1339"/>
      <c r="F5" s="2007"/>
      <c r="G5" s="2008"/>
      <c r="H5" s="2008"/>
      <c r="I5" s="2008"/>
      <c r="J5" s="2009"/>
      <c r="K5" s="2010"/>
      <c r="L5" s="2003" t="s">
        <v>1944</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1945</v>
      </c>
      <c r="B6" s="2016" t="s">
        <v>1946</v>
      </c>
      <c r="C6" s="754">
        <f>SUMIF(L1:L12,G2,M1:M12)</f>
        <v>0</v>
      </c>
      <c r="D6" s="2017"/>
      <c r="E6" s="2018"/>
      <c r="F6" s="2018"/>
      <c r="G6" s="2019"/>
      <c r="H6" s="2019"/>
      <c r="I6" s="2019"/>
      <c r="J6" s="2020"/>
      <c r="K6" s="1384"/>
      <c r="L6" s="2003" t="s">
        <v>1947</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3238</v>
      </c>
      <c r="B7" s="2021" t="s">
        <v>1948</v>
      </c>
      <c r="C7" s="755" t="e">
        <f>IF(C8="不临65条商业街",1,ROUND(1+(1.6*E8+1.2*E9+0.8*E10+0.4*E11)*C9,4))</f>
        <v>#DIV/0!</v>
      </c>
      <c r="D7" s="2022" t="s">
        <v>1949</v>
      </c>
      <c r="E7" s="776"/>
      <c r="F7" s="2023"/>
      <c r="G7" s="2024"/>
      <c r="H7" s="2024"/>
      <c r="I7" s="2024"/>
      <c r="J7" s="2025"/>
      <c r="K7" s="1384"/>
      <c r="L7" s="2003" t="s">
        <v>1950</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1951</v>
      </c>
      <c r="X7" s="1214">
        <f>G2</f>
        <v>0</v>
      </c>
      <c r="Y7" s="1214" t="s">
        <v>1952</v>
      </c>
      <c r="Z7" s="1215">
        <f>G3</f>
        <v>0</v>
      </c>
      <c r="AA7" s="1216"/>
      <c r="AB7" s="1216"/>
      <c r="AC7" s="1217"/>
      <c r="AD7" s="1218"/>
      <c r="AE7" s="1218"/>
      <c r="AF7" s="1218"/>
      <c r="AG7" s="1218"/>
      <c r="AH7" s="1218"/>
      <c r="AI7" s="1218"/>
      <c r="AJ7" s="1219"/>
    </row>
    <row r="8" spans="1:36" ht="15">
      <c r="A8" s="3299"/>
      <c r="B8" s="170" t="s">
        <v>1953</v>
      </c>
      <c r="C8" s="2026"/>
      <c r="D8" s="756" t="s">
        <v>112</v>
      </c>
      <c r="E8" s="757" t="e">
        <f>ROUND(C11/E7,4)</f>
        <v>#DIV/0!</v>
      </c>
      <c r="F8" s="2027" t="s">
        <v>1954</v>
      </c>
      <c r="G8" s="2028"/>
      <c r="H8" s="2028"/>
      <c r="I8" s="2028"/>
      <c r="J8" s="2029"/>
      <c r="K8" s="1119"/>
      <c r="L8" s="2003" t="s">
        <v>1955</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9" t="s">
        <v>1956</v>
      </c>
      <c r="X8" s="3780"/>
      <c r="Y8" s="1220" t="s">
        <v>1957</v>
      </c>
      <c r="Z8" s="1220" t="s">
        <v>1958</v>
      </c>
      <c r="AA8" s="1220" t="s">
        <v>1959</v>
      </c>
      <c r="AB8" s="1220" t="s">
        <v>1960</v>
      </c>
      <c r="AC8" s="1220" t="s">
        <v>1961</v>
      </c>
      <c r="AD8" s="1220" t="s">
        <v>1962</v>
      </c>
      <c r="AE8" s="1220" t="s">
        <v>1963</v>
      </c>
      <c r="AF8" s="1220" t="s">
        <v>1964</v>
      </c>
      <c r="AG8" s="1220" t="s">
        <v>1965</v>
      </c>
      <c r="AH8" s="1220" t="s">
        <v>1966</v>
      </c>
      <c r="AI8" s="1220" t="s">
        <v>1967</v>
      </c>
      <c r="AJ8" s="1220" t="s">
        <v>1968</v>
      </c>
    </row>
    <row r="9" spans="1:36" ht="15">
      <c r="A9" s="3299"/>
      <c r="B9" s="170" t="s">
        <v>1969</v>
      </c>
      <c r="C9" s="758">
        <f>SUMIF(修正!C71:C138,C8,修正!E71:E138)</f>
        <v>0</v>
      </c>
      <c r="D9" s="171" t="s">
        <v>113</v>
      </c>
      <c r="E9" s="171" t="e">
        <f>ROUND(C11/E7,4)</f>
        <v>#DIV/0!</v>
      </c>
      <c r="F9" s="2027" t="s">
        <v>1970</v>
      </c>
      <c r="G9" s="2028"/>
      <c r="H9" s="2028"/>
      <c r="I9" s="2028"/>
      <c r="J9" s="2029"/>
      <c r="K9" s="1119"/>
      <c r="L9" s="2003" t="s">
        <v>1971</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1"/>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1972</v>
      </c>
      <c r="C10" s="171">
        <f>SUMIF(修正!C71:C138,C8,修正!F71:F138)</f>
        <v>0</v>
      </c>
      <c r="D10" s="171" t="s">
        <v>114</v>
      </c>
      <c r="E10" s="171" t="e">
        <f>ROUND(C11/E7,4)</f>
        <v>#DIV/0!</v>
      </c>
      <c r="F10" s="2027" t="s">
        <v>1973</v>
      </c>
      <c r="G10" s="2028"/>
      <c r="H10" s="2028"/>
      <c r="I10" s="2028"/>
      <c r="J10" s="2029"/>
      <c r="K10" s="1119"/>
      <c r="L10" s="2003" t="s">
        <v>1974</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1975</v>
      </c>
      <c r="C11" s="759">
        <f>C10/4</f>
        <v>0</v>
      </c>
      <c r="D11" s="759" t="s">
        <v>115</v>
      </c>
      <c r="E11" s="759" t="e">
        <f>ROUND(C11/E7,4)</f>
        <v>#DIV/0!</v>
      </c>
      <c r="F11" s="2031" t="s">
        <v>1976</v>
      </c>
      <c r="G11" s="2032"/>
      <c r="H11" s="2032"/>
      <c r="I11" s="2032"/>
      <c r="J11" s="2033"/>
      <c r="K11" s="1119"/>
      <c r="L11" s="2003" t="s">
        <v>1977</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3239</v>
      </c>
      <c r="B12" s="3305" t="s">
        <v>3240</v>
      </c>
      <c r="C12" s="3306"/>
      <c r="D12" s="3307" t="s">
        <v>3241</v>
      </c>
      <c r="E12" s="3308" t="s">
        <v>3242</v>
      </c>
      <c r="F12" s="3309"/>
      <c r="G12" s="3310"/>
      <c r="H12" s="3310"/>
      <c r="I12" s="3310"/>
      <c r="J12" s="3311"/>
      <c r="K12" s="1119"/>
      <c r="L12" s="2039" t="s">
        <v>1980</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3243</v>
      </c>
      <c r="B13" s="2034" t="s">
        <v>1978</v>
      </c>
      <c r="C13" s="755">
        <f>ROUND(C16*D16*E16*F16*G16*H16*I16*J16,4)</f>
        <v>0</v>
      </c>
      <c r="D13" s="2035" t="s">
        <v>1979</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1981</v>
      </c>
      <c r="C14" s="2041" t="s">
        <v>1982</v>
      </c>
      <c r="D14" s="1350" t="s">
        <v>1983</v>
      </c>
      <c r="E14" s="27" t="s">
        <v>1984</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1985</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6" t="s">
        <v>3255</v>
      </c>
      <c r="B20" s="167" t="s">
        <v>1990</v>
      </c>
      <c r="C20" s="3325" t="e">
        <f>ROUND(IF(F21="与级别开发程度一致",0,(G21-E21)/C21),0)</f>
        <v>#DIV/0!</v>
      </c>
      <c r="D20" s="3341" t="s">
        <v>1994</v>
      </c>
      <c r="E20" s="3342"/>
      <c r="F20" s="3792" t="s">
        <v>1991</v>
      </c>
      <c r="G20" s="379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7"/>
      <c r="B21" s="2164" t="s">
        <v>1993</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1996</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1997</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1998</v>
      </c>
      <c r="E23" s="761">
        <v>44197</v>
      </c>
      <c r="F23" s="2054" t="s">
        <v>1999</v>
      </c>
      <c r="G23" s="762">
        <f>'数据-取费表'!B2</f>
        <v>45064</v>
      </c>
      <c r="H23" s="3343" t="s">
        <v>3257</v>
      </c>
      <c r="I23" s="3344" t="str">
        <f>IF(H23="季度增幅（自定义）",SUMIF(N25:N28,E2,O25:O28),"")</f>
        <v/>
      </c>
      <c r="J23" s="3446" t="s">
        <v>3256</v>
      </c>
      <c r="K23" s="1125"/>
      <c r="L23" s="2055" t="s">
        <v>2000</v>
      </c>
      <c r="M23" s="1328">
        <f>ROUND(SUMIF(地价!B2:G2,E2,地价!B16:G16),0)</f>
        <v>0</v>
      </c>
      <c r="N23" s="2056" t="s">
        <v>2001</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2002</v>
      </c>
      <c r="C24" s="764" t="e">
        <f>ROUND(POWER(1+G24,J24-I24)*(POWER(1+G24,I24)-1)/(POWER(1+G24,J24)-1),4)</f>
        <v>#DIV/0!</v>
      </c>
      <c r="D24" s="2060" t="s">
        <v>2003</v>
      </c>
      <c r="E24" s="1335">
        <f>存贷款利率!E22/100</f>
        <v>4.3499999999999997E-2</v>
      </c>
      <c r="F24" s="2060" t="s">
        <v>1995</v>
      </c>
      <c r="G24" s="768">
        <f>SUMIF(M30:Q30,E2,M33:Q33)</f>
        <v>0</v>
      </c>
      <c r="H24" s="2060" t="s">
        <v>2004</v>
      </c>
      <c r="I24" s="769" t="e">
        <f>SUMIF('数据-取费表'!C6:C15,E2,'数据-取费表'!F6:F15)/COUNTIF('数据-取费表'!C6:C15,E2)</f>
        <v>#DIV/0!</v>
      </c>
      <c r="J24" s="770">
        <f>IF(E2="住宅",70,IF(E2="商业",40,50))</f>
        <v>50</v>
      </c>
      <c r="K24" s="1125"/>
      <c r="L24" s="2061" t="s">
        <v>2005</v>
      </c>
      <c r="M24" s="1329">
        <f>ROUND(SUMPRODUCT((地价!A4:A16=YEAR(G23)&amp;"-"&amp;ROUNDUP(MONTH(G23)/3,0))*(地价!B2:G2=E2)*(地价!B4:G16)),0)</f>
        <v>0</v>
      </c>
      <c r="N24" s="2062" t="s">
        <v>2006</v>
      </c>
      <c r="O24" s="2063" t="s">
        <v>2007</v>
      </c>
      <c r="P24" s="2064" t="s">
        <v>2008</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3336</v>
      </c>
      <c r="C25" s="771">
        <f>IF(B25="容积率修正",IF(G3&lt;10,D26,J26),C27)</f>
        <v>0</v>
      </c>
      <c r="D25" s="2067"/>
      <c r="E25" s="2067"/>
      <c r="F25" s="2067"/>
      <c r="G25" s="2067"/>
      <c r="H25" s="2067"/>
      <c r="I25" s="2067"/>
      <c r="J25" s="2068"/>
      <c r="K25" s="1125"/>
      <c r="L25" s="2788"/>
      <c r="M25" s="2788"/>
      <c r="N25" s="2069" t="s">
        <v>2009</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2010</v>
      </c>
      <c r="B26" s="2070" t="s">
        <v>2011</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2012</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2013</v>
      </c>
      <c r="B27" s="2071" t="s">
        <v>2014</v>
      </c>
      <c r="C27" s="841">
        <f>ROUND(IF(I3&lt;6,SUMPRODUCT((B106:B110=I3)*(C105:N105=G2)*(C106:N110)),SUMIF(C105:N105,G2,C112:N112)),4)</f>
        <v>0</v>
      </c>
      <c r="D27" s="2046"/>
      <c r="E27" s="2046"/>
      <c r="F27" s="2072"/>
      <c r="G27" s="2073"/>
      <c r="H27" s="2074"/>
      <c r="I27" s="2075"/>
      <c r="J27" s="2076"/>
      <c r="K27" s="1119"/>
      <c r="L27" s="1997"/>
      <c r="M27" s="1997"/>
      <c r="N27" s="2069" t="s">
        <v>2015</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2016</v>
      </c>
      <c r="C28" s="760">
        <f>SUMIF(A47:A101,E2,B47:B101)</f>
        <v>0</v>
      </c>
      <c r="D28" s="2052"/>
      <c r="E28" s="2077"/>
      <c r="F28" s="2077"/>
      <c r="G28" s="2077"/>
      <c r="H28" s="2077"/>
      <c r="I28" s="2077"/>
      <c r="J28" s="2078"/>
      <c r="K28" s="1125"/>
      <c r="L28" s="2788"/>
      <c r="M28" s="2788"/>
      <c r="N28" s="2079"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2018</v>
      </c>
      <c r="C29" s="765"/>
      <c r="D29" s="2024"/>
      <c r="E29" s="2024"/>
      <c r="F29" s="2081"/>
      <c r="G29" s="2024"/>
      <c r="H29" s="2024"/>
      <c r="I29" s="2024"/>
      <c r="J29" s="2025"/>
      <c r="K29" s="1119"/>
      <c r="L29" s="1997"/>
      <c r="M29" s="1997"/>
      <c r="N29" s="2785" t="s">
        <v>2019</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2020</v>
      </c>
      <c r="C30" s="2321" t="e">
        <f>IF(B25="容积率修正",E33+SUM(E37:E42),SUM(V2:V16)+SUM(E37:E42))</f>
        <v>#DIV/0!</v>
      </c>
      <c r="D30" s="2083"/>
      <c r="E30" s="2046"/>
      <c r="F30" s="2084"/>
      <c r="G30" s="2046"/>
      <c r="H30" s="2046"/>
      <c r="I30" s="2046"/>
      <c r="J30" s="2085"/>
      <c r="K30" s="1119"/>
      <c r="L30" s="3351" t="s">
        <v>1932</v>
      </c>
      <c r="M30" s="3352" t="s">
        <v>1986</v>
      </c>
      <c r="N30" s="3352" t="s">
        <v>1987</v>
      </c>
      <c r="O30" s="3352" t="s">
        <v>1988</v>
      </c>
      <c r="P30" s="3352" t="s">
        <v>1989</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2021</v>
      </c>
      <c r="C31" s="766" t="e">
        <f>E34+SUM(I37:I42)</f>
        <v>#DIV/0!</v>
      </c>
      <c r="D31" s="2087"/>
      <c r="E31" s="2088"/>
      <c r="F31" s="2089"/>
      <c r="G31" s="2088"/>
      <c r="H31" s="2088"/>
      <c r="I31" s="2088"/>
      <c r="J31" s="2090"/>
      <c r="K31" s="1119"/>
      <c r="L31" s="3353" t="s">
        <v>1992</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2022</v>
      </c>
      <c r="C32" s="2093" t="s">
        <v>2023</v>
      </c>
      <c r="D32" s="2093" t="s">
        <v>2024</v>
      </c>
      <c r="E32" s="2094" t="s">
        <v>2025</v>
      </c>
      <c r="F32" s="2095"/>
      <c r="G32" s="2037"/>
      <c r="H32" s="2037"/>
      <c r="I32" s="2037"/>
      <c r="J32" s="2038"/>
      <c r="K32" s="1119"/>
      <c r="L32" s="3354" t="s">
        <v>1995</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2026</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2027</v>
      </c>
      <c r="C34" s="187" t="e">
        <f>ROUND(IF(E2="工业",C33*M42,IF(B25="楼层修正",SUM(V2:V16)*M41*10000/D34,C33*M41)),0)</f>
        <v>#DIV/0!</v>
      </c>
      <c r="D34" s="2103"/>
      <c r="E34" s="773" t="e">
        <f>ROUND(IF(B25="楼层修正",SUM(V2:V16)*M40,C34*D34/10000),0)</f>
        <v>#DIV/0!</v>
      </c>
      <c r="F34" s="2104" t="s">
        <v>2028</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2029</v>
      </c>
      <c r="C35" s="3347" t="s">
        <v>3262</v>
      </c>
      <c r="D35" s="2037"/>
      <c r="E35" s="2109"/>
      <c r="F35" s="2109"/>
      <c r="G35" s="2035" t="s">
        <v>2030</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2023</v>
      </c>
      <c r="D36" s="447" t="s">
        <v>2024</v>
      </c>
      <c r="E36" s="447" t="s">
        <v>2025</v>
      </c>
      <c r="F36" s="342" t="s">
        <v>2031</v>
      </c>
      <c r="G36" s="2112" t="s">
        <v>2023</v>
      </c>
      <c r="H36" s="2112" t="s">
        <v>2024</v>
      </c>
      <c r="I36" s="2112" t="s">
        <v>2025</v>
      </c>
      <c r="J36" s="243"/>
      <c r="K36" s="3357" t="s">
        <v>3266</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0"/>
      <c r="B37" s="2113" t="s">
        <v>2032</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1"/>
      <c r="B38" s="2041" t="s">
        <v>2033</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1"/>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2034</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2035</v>
      </c>
      <c r="M40" s="2117"/>
      <c r="Z40" s="1120"/>
      <c r="AA40" s="1120"/>
      <c r="AB40" s="1120"/>
      <c r="AC40" s="1120"/>
      <c r="AD40" s="1120"/>
      <c r="AE40" s="1120"/>
      <c r="AF40" s="1120"/>
      <c r="AG40" s="1120"/>
      <c r="AH40" s="1120"/>
      <c r="AI40" s="1120"/>
      <c r="AJ40" s="1120"/>
    </row>
    <row r="41" spans="1:37" s="1119" customFormat="1">
      <c r="A41" s="2115"/>
      <c r="B41" s="2041" t="s">
        <v>2036</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2037</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1989</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t="e">
        <f>ROUND(POWER(1+E44,H44-G44)*(POWER(1+E44,G44)-1)/(POWER(1+E44,H44)-1),4)</f>
        <v>#DIV/0!</v>
      </c>
      <c r="D44" s="171" t="s">
        <v>1995</v>
      </c>
      <c r="E44" s="2153">
        <f>G24</f>
        <v>0</v>
      </c>
      <c r="F44" s="171" t="s">
        <v>2004</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2038</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2039</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2040</v>
      </c>
      <c r="B49" s="1351" t="s">
        <v>2041</v>
      </c>
      <c r="C49" s="1351" t="s">
        <v>2042</v>
      </c>
      <c r="D49" s="1351" t="s">
        <v>2043</v>
      </c>
      <c r="E49" s="743" t="s">
        <v>2044</v>
      </c>
      <c r="F49" s="2131" t="s">
        <v>2045</v>
      </c>
      <c r="G49" s="1351" t="s">
        <v>310</v>
      </c>
      <c r="H49" s="2132" t="s">
        <v>2046</v>
      </c>
      <c r="I49" s="1351"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2048</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2049</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2050</v>
      </c>
      <c r="B53" s="2135" t="s">
        <v>2051</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2052</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2053</v>
      </c>
      <c r="B55" s="2136" t="s">
        <v>2054</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2055</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2056</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2057</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2058</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2040</v>
      </c>
      <c r="B60" s="1351"/>
      <c r="C60" s="1351" t="s">
        <v>2042</v>
      </c>
      <c r="D60" s="1351" t="s">
        <v>2043</v>
      </c>
      <c r="E60" s="743" t="s">
        <v>2044</v>
      </c>
      <c r="F60" s="2131" t="s">
        <v>2059</v>
      </c>
      <c r="G60" s="1351" t="s">
        <v>310</v>
      </c>
      <c r="H60" s="2132" t="s">
        <v>2046</v>
      </c>
      <c r="I60" s="1351"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2060</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2049</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2050</v>
      </c>
      <c r="B64" s="2135" t="s">
        <v>2051</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2052</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2053</v>
      </c>
      <c r="B66" s="2136" t="s">
        <v>2054</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2055</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2056</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2057</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2061</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2040</v>
      </c>
      <c r="B71" s="1351"/>
      <c r="C71" s="1351" t="s">
        <v>2042</v>
      </c>
      <c r="D71" s="1351" t="s">
        <v>2043</v>
      </c>
      <c r="E71" s="743" t="s">
        <v>2044</v>
      </c>
      <c r="F71" s="2131" t="s">
        <v>2059</v>
      </c>
      <c r="G71" s="1351" t="s">
        <v>310</v>
      </c>
      <c r="H71" s="2132" t="s">
        <v>2046</v>
      </c>
      <c r="I71" s="1351"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2062</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2049</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2063</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2055</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2056</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2053</v>
      </c>
      <c r="B78" s="2136" t="s">
        <v>2054</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2057</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2064</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2065</v>
      </c>
      <c r="B81" s="2127">
        <f>1+E83</f>
        <v>1</v>
      </c>
      <c r="C81" s="741"/>
      <c r="D81" s="741"/>
      <c r="E81" s="742"/>
      <c r="F81" s="2129"/>
      <c r="G81" s="3"/>
      <c r="H81" s="3"/>
      <c r="I81" s="3"/>
      <c r="J81" s="4"/>
      <c r="K81" s="4"/>
      <c r="L81" s="4"/>
      <c r="M81" s="4"/>
      <c r="N81" s="4"/>
      <c r="Z81" s="1998"/>
      <c r="AA81" s="2053"/>
      <c r="AG81" s="1121"/>
      <c r="AK81" s="2053"/>
    </row>
    <row r="82" spans="1:37" ht="24.75">
      <c r="A82" s="2130" t="s">
        <v>2040</v>
      </c>
      <c r="B82" s="1351"/>
      <c r="C82" s="1351" t="s">
        <v>2042</v>
      </c>
      <c r="D82" s="1351" t="s">
        <v>2043</v>
      </c>
      <c r="E82" s="743" t="s">
        <v>2044</v>
      </c>
      <c r="F82" s="2131" t="s">
        <v>2059</v>
      </c>
      <c r="G82" s="1351" t="s">
        <v>310</v>
      </c>
      <c r="H82" s="2132" t="s">
        <v>2046</v>
      </c>
      <c r="I82" s="1351" t="s">
        <v>2047</v>
      </c>
      <c r="J82" s="552" t="s">
        <v>1718</v>
      </c>
      <c r="K82" s="552" t="s">
        <v>1719</v>
      </c>
      <c r="L82" s="552" t="s">
        <v>1720</v>
      </c>
      <c r="M82" s="552" t="s">
        <v>1721</v>
      </c>
      <c r="N82" s="552" t="s">
        <v>1722</v>
      </c>
      <c r="Z82" s="1998"/>
      <c r="AA82" s="2053"/>
      <c r="AG82" s="1121"/>
      <c r="AK82" s="2053"/>
    </row>
    <row r="83" spans="1:37" ht="38.25">
      <c r="A83" s="2130" t="s">
        <v>2066</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2049</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2063</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2055</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2056</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2053</v>
      </c>
      <c r="B89" s="2136" t="s">
        <v>2067</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2068</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8" t="s">
        <v>3295</v>
      </c>
      <c r="B103" s="3788"/>
      <c r="C103" s="3788"/>
      <c r="D103" s="3788"/>
      <c r="E103" s="3788"/>
      <c r="F103" s="3788"/>
      <c r="G103" s="3788"/>
      <c r="H103" s="3788"/>
      <c r="I103" s="3788"/>
      <c r="J103" s="3788"/>
      <c r="K103" s="3390"/>
      <c r="L103" s="3390"/>
      <c r="M103" s="3390"/>
      <c r="N103" s="3390"/>
    </row>
    <row r="104" spans="1:14">
      <c r="A104" s="3789" t="s">
        <v>3296</v>
      </c>
      <c r="B104" s="3789" t="s">
        <v>3297</v>
      </c>
      <c r="C104" s="3391" t="s">
        <v>3298</v>
      </c>
      <c r="D104" s="3392"/>
      <c r="E104" s="3392"/>
      <c r="F104" s="3392"/>
      <c r="G104" s="3392"/>
      <c r="H104" s="3392"/>
      <c r="I104" s="3392"/>
      <c r="J104" s="3393"/>
      <c r="K104" s="3394"/>
      <c r="L104" s="3394"/>
      <c r="M104" s="3394"/>
      <c r="N104" s="3394"/>
    </row>
    <row r="105" spans="1:14">
      <c r="A105" s="3789"/>
      <c r="B105" s="3789"/>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75"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6"/>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8" t="s">
        <v>3312</v>
      </c>
      <c r="B113" s="3778"/>
      <c r="C113" s="3778"/>
      <c r="D113" s="3778"/>
      <c r="E113" s="3778"/>
      <c r="F113" s="3778"/>
      <c r="G113" s="3778"/>
      <c r="H113" s="3778"/>
      <c r="I113" s="3778"/>
      <c r="J113" s="37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2611</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803" t="s">
        <v>2606</v>
      </c>
      <c r="B20" s="3798" t="s">
        <v>2627</v>
      </c>
      <c r="C20" s="3103" t="s">
        <v>2438</v>
      </c>
      <c r="D20" s="3104"/>
      <c r="E20" s="3105">
        <v>1</v>
      </c>
      <c r="F20" s="3106" t="s">
        <v>2439</v>
      </c>
      <c r="G20" s="3106"/>
    </row>
    <row r="21" spans="1:13" ht="19.5" customHeight="1">
      <c r="A21" s="3804"/>
      <c r="B21" s="3797"/>
      <c r="C21" s="3107" t="s">
        <v>2440</v>
      </c>
      <c r="D21" s="3108"/>
      <c r="E21" s="3109">
        <v>1</v>
      </c>
      <c r="F21" s="3106" t="s">
        <v>2441</v>
      </c>
      <c r="G21" s="3106"/>
    </row>
    <row r="22" spans="1:13" ht="19.5" customHeight="1">
      <c r="A22" s="3804"/>
      <c r="B22" s="3797"/>
      <c r="C22" s="3107" t="s">
        <v>2442</v>
      </c>
      <c r="D22" s="3108"/>
      <c r="E22" s="3109">
        <v>0.9</v>
      </c>
      <c r="F22" s="3106" t="s">
        <v>2443</v>
      </c>
      <c r="G22" s="3106"/>
    </row>
    <row r="23" spans="1:13" ht="19.5" customHeight="1">
      <c r="A23" s="3804"/>
      <c r="B23" s="3797"/>
      <c r="C23" s="3107" t="s">
        <v>2444</v>
      </c>
      <c r="D23" s="3108"/>
      <c r="E23" s="3109">
        <v>0.9</v>
      </c>
      <c r="F23" s="3106" t="s">
        <v>2445</v>
      </c>
      <c r="G23" s="3106"/>
    </row>
    <row r="24" spans="1:13" ht="19.5" customHeight="1">
      <c r="A24" s="3804"/>
      <c r="B24" s="3797"/>
      <c r="C24" s="3107" t="s">
        <v>2446</v>
      </c>
      <c r="D24" s="3108"/>
      <c r="E24" s="3109">
        <v>0.8</v>
      </c>
      <c r="F24" s="3106" t="s">
        <v>2447</v>
      </c>
      <c r="G24" s="3106"/>
    </row>
    <row r="25" spans="1:13" ht="19.5" customHeight="1" thickBot="1">
      <c r="A25" s="3805"/>
      <c r="B25" s="3799"/>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800" t="s">
        <v>2630</v>
      </c>
      <c r="B27" s="3798" t="s">
        <v>2611</v>
      </c>
      <c r="C27" s="3103" t="s">
        <v>2451</v>
      </c>
      <c r="D27" s="3104"/>
      <c r="E27" s="3105">
        <v>1</v>
      </c>
      <c r="F27" s="3106" t="s">
        <v>2452</v>
      </c>
      <c r="G27" s="3106"/>
    </row>
    <row r="28" spans="1:13" ht="19.5" customHeight="1">
      <c r="A28" s="3801"/>
      <c r="B28" s="3797"/>
      <c r="C28" s="3107" t="s">
        <v>2453</v>
      </c>
      <c r="D28" s="3108"/>
      <c r="E28" s="3109">
        <v>1</v>
      </c>
      <c r="F28" s="3106" t="s">
        <v>2454</v>
      </c>
      <c r="G28" s="3106"/>
    </row>
    <row r="29" spans="1:13" ht="19.5" customHeight="1">
      <c r="A29" s="3801"/>
      <c r="B29" s="3797"/>
      <c r="C29" s="3107" t="s">
        <v>2455</v>
      </c>
      <c r="D29" s="3108"/>
      <c r="E29" s="3109">
        <v>0.8</v>
      </c>
      <c r="F29" s="3106" t="s">
        <v>2456</v>
      </c>
      <c r="G29" s="3106"/>
    </row>
    <row r="30" spans="1:13" ht="19.5" customHeight="1">
      <c r="A30" s="3801"/>
      <c r="B30" s="3797"/>
      <c r="C30" s="3107" t="s">
        <v>2457</v>
      </c>
      <c r="D30" s="3108"/>
      <c r="E30" s="3109">
        <v>0.8</v>
      </c>
      <c r="F30" s="3106" t="s">
        <v>2458</v>
      </c>
      <c r="G30" s="3106"/>
    </row>
    <row r="31" spans="1:13" ht="19.5" customHeight="1">
      <c r="A31" s="3801"/>
      <c r="B31" s="3797"/>
      <c r="C31" s="3107" t="s">
        <v>2459</v>
      </c>
      <c r="D31" s="3108"/>
      <c r="E31" s="3109">
        <v>0.8</v>
      </c>
      <c r="F31" s="3106" t="s">
        <v>2460</v>
      </c>
      <c r="G31" s="3106"/>
    </row>
    <row r="32" spans="1:13" ht="19.5" customHeight="1">
      <c r="A32" s="3801"/>
      <c r="B32" s="3797"/>
      <c r="C32" s="3107" t="s">
        <v>2461</v>
      </c>
      <c r="D32" s="3108"/>
      <c r="E32" s="3109">
        <v>0.7</v>
      </c>
      <c r="F32" s="3106" t="s">
        <v>2462</v>
      </c>
      <c r="G32" s="3106"/>
    </row>
    <row r="33" spans="1:7" ht="19.5" customHeight="1">
      <c r="A33" s="3801"/>
      <c r="B33" s="3797"/>
      <c r="C33" s="3107" t="s">
        <v>2463</v>
      </c>
      <c r="D33" s="3108"/>
      <c r="E33" s="3109">
        <v>0.8</v>
      </c>
      <c r="F33" s="3106" t="s">
        <v>2464</v>
      </c>
      <c r="G33" s="3106"/>
    </row>
    <row r="34" spans="1:7" ht="19.5" customHeight="1">
      <c r="A34" s="3801"/>
      <c r="B34" s="3797"/>
      <c r="C34" s="3107" t="s">
        <v>2465</v>
      </c>
      <c r="D34" s="3108"/>
      <c r="E34" s="3109">
        <v>0.6</v>
      </c>
      <c r="F34" s="3106" t="s">
        <v>2466</v>
      </c>
      <c r="G34" s="3106"/>
    </row>
    <row r="35" spans="1:7" ht="19.5" customHeight="1">
      <c r="A35" s="3801"/>
      <c r="B35" s="3797"/>
      <c r="C35" s="3107" t="s">
        <v>2467</v>
      </c>
      <c r="D35" s="3108"/>
      <c r="E35" s="3109">
        <v>0.2</v>
      </c>
      <c r="F35" s="3106" t="s">
        <v>2468</v>
      </c>
      <c r="G35" s="3106"/>
    </row>
    <row r="36" spans="1:7" ht="19.5" customHeight="1">
      <c r="A36" s="3801"/>
      <c r="B36" s="3797"/>
      <c r="C36" s="3107" t="s">
        <v>2469</v>
      </c>
      <c r="D36" s="3108"/>
      <c r="E36" s="3109">
        <v>0.2</v>
      </c>
      <c r="F36" s="3106" t="s">
        <v>2470</v>
      </c>
      <c r="G36" s="3106"/>
    </row>
    <row r="37" spans="1:7" ht="19.5" customHeight="1">
      <c r="A37" s="3801"/>
      <c r="B37" s="3795" t="s">
        <v>2631</v>
      </c>
      <c r="C37" s="3107" t="s">
        <v>2471</v>
      </c>
      <c r="D37" s="3108"/>
      <c r="E37" s="3109">
        <v>0.6</v>
      </c>
      <c r="F37" s="3106" t="s">
        <v>2472</v>
      </c>
      <c r="G37" s="3106"/>
    </row>
    <row r="38" spans="1:7" ht="19.5" customHeight="1">
      <c r="A38" s="3801"/>
      <c r="B38" s="3797"/>
      <c r="C38" s="3107" t="s">
        <v>2473</v>
      </c>
      <c r="D38" s="3108"/>
      <c r="E38" s="3109">
        <v>0.6</v>
      </c>
      <c r="F38" s="3106" t="s">
        <v>2474</v>
      </c>
      <c r="G38" s="3106"/>
    </row>
    <row r="39" spans="1:7" ht="19.5" customHeight="1" thickBot="1">
      <c r="A39" s="3802"/>
      <c r="B39" s="3799"/>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803" t="s">
        <v>2609</v>
      </c>
      <c r="B41" s="3798" t="s">
        <v>2633</v>
      </c>
      <c r="C41" s="3103" t="s">
        <v>2478</v>
      </c>
      <c r="D41" s="3104"/>
      <c r="E41" s="3105">
        <v>1</v>
      </c>
      <c r="F41" s="3106" t="s">
        <v>2479</v>
      </c>
      <c r="G41" s="3106"/>
    </row>
    <row r="42" spans="1:7" ht="19.5" customHeight="1">
      <c r="A42" s="3804"/>
      <c r="B42" s="3797"/>
      <c r="C42" s="3107" t="s">
        <v>2480</v>
      </c>
      <c r="D42" s="3108"/>
      <c r="E42" s="3109">
        <v>1</v>
      </c>
      <c r="F42" s="3106" t="s">
        <v>2481</v>
      </c>
      <c r="G42" s="3106"/>
    </row>
    <row r="43" spans="1:7" ht="19.5" customHeight="1">
      <c r="A43" s="3804"/>
      <c r="B43" s="3796"/>
      <c r="C43" s="3107" t="s">
        <v>2482</v>
      </c>
      <c r="D43" s="3108"/>
      <c r="E43" s="3109">
        <v>1.5</v>
      </c>
      <c r="F43" s="3106" t="s">
        <v>2483</v>
      </c>
      <c r="G43" s="3106"/>
    </row>
    <row r="44" spans="1:7" ht="19.5" customHeight="1">
      <c r="A44" s="3804"/>
      <c r="B44" s="3118" t="s">
        <v>2634</v>
      </c>
      <c r="C44" s="3107" t="s">
        <v>2635</v>
      </c>
      <c r="D44" s="3108"/>
      <c r="E44" s="3109">
        <v>2</v>
      </c>
      <c r="F44" s="3106" t="s">
        <v>2484</v>
      </c>
      <c r="G44" s="3106"/>
    </row>
    <row r="45" spans="1:7" ht="19.5" customHeight="1">
      <c r="A45" s="3804"/>
      <c r="B45" s="3795" t="s">
        <v>2636</v>
      </c>
      <c r="C45" s="3107" t="s">
        <v>2485</v>
      </c>
      <c r="D45" s="3108"/>
      <c r="E45" s="3109">
        <v>1</v>
      </c>
      <c r="F45" s="3106" t="s">
        <v>2486</v>
      </c>
      <c r="G45" s="3106"/>
    </row>
    <row r="46" spans="1:7" ht="19.5" customHeight="1">
      <c r="A46" s="3804"/>
      <c r="B46" s="3797"/>
      <c r="C46" s="3107" t="s">
        <v>2487</v>
      </c>
      <c r="D46" s="3108"/>
      <c r="E46" s="3109">
        <v>1</v>
      </c>
      <c r="F46" s="3106" t="s">
        <v>2488</v>
      </c>
      <c r="G46" s="3106"/>
    </row>
    <row r="47" spans="1:7" ht="19.5" customHeight="1">
      <c r="A47" s="3804"/>
      <c r="B47" s="3797"/>
      <c r="C47" s="3107" t="s">
        <v>2489</v>
      </c>
      <c r="D47" s="3108"/>
      <c r="E47" s="3109">
        <v>1</v>
      </c>
      <c r="F47" s="3106" t="s">
        <v>2490</v>
      </c>
      <c r="G47" s="3106"/>
    </row>
    <row r="48" spans="1:7" ht="19.5" customHeight="1">
      <c r="A48" s="3804"/>
      <c r="B48" s="3797"/>
      <c r="C48" s="3107" t="s">
        <v>2491</v>
      </c>
      <c r="D48" s="3108"/>
      <c r="E48" s="3109">
        <v>1</v>
      </c>
      <c r="F48" s="3106" t="s">
        <v>2492</v>
      </c>
      <c r="G48" s="3106"/>
    </row>
    <row r="49" spans="1:7" ht="19.5" customHeight="1">
      <c r="A49" s="3804"/>
      <c r="B49" s="3797"/>
      <c r="C49" s="3107" t="s">
        <v>2493</v>
      </c>
      <c r="D49" s="3108"/>
      <c r="E49" s="3109">
        <v>1</v>
      </c>
      <c r="F49" s="3106" t="s">
        <v>2494</v>
      </c>
      <c r="G49" s="3106"/>
    </row>
    <row r="50" spans="1:7" ht="19.5" customHeight="1">
      <c r="A50" s="3804"/>
      <c r="B50" s="3797"/>
      <c r="C50" s="3107" t="s">
        <v>2495</v>
      </c>
      <c r="D50" s="3108"/>
      <c r="E50" s="3109">
        <v>1</v>
      </c>
      <c r="F50" s="3106" t="s">
        <v>2496</v>
      </c>
      <c r="G50" s="3106"/>
    </row>
    <row r="51" spans="1:7" ht="19.5" customHeight="1" thickBot="1">
      <c r="A51" s="3805"/>
      <c r="B51" s="3799"/>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3.5">
      <c r="A72" s="3118"/>
      <c r="B72" s="3118"/>
      <c r="C72" s="3118" t="s">
        <v>2649</v>
      </c>
      <c r="D72" s="3118"/>
      <c r="E72" s="3118" t="s">
        <v>2620</v>
      </c>
      <c r="F72" s="3118" t="s">
        <v>2620</v>
      </c>
    </row>
    <row r="73" spans="1:7" ht="13.5">
      <c r="A73" s="3118">
        <v>1</v>
      </c>
      <c r="B73" s="3795" t="s">
        <v>2650</v>
      </c>
      <c r="C73" s="3092" t="s">
        <v>2651</v>
      </c>
      <c r="D73" s="3092" t="s">
        <v>2652</v>
      </c>
      <c r="E73" s="3118">
        <v>0.2</v>
      </c>
      <c r="F73" s="3118">
        <v>25</v>
      </c>
    </row>
    <row r="74" spans="1:7" ht="24">
      <c r="A74" s="3118">
        <v>2</v>
      </c>
      <c r="B74" s="3797"/>
      <c r="C74" s="3092" t="s">
        <v>2653</v>
      </c>
      <c r="D74" s="3092" t="s">
        <v>2654</v>
      </c>
      <c r="E74" s="3118">
        <v>0.2</v>
      </c>
      <c r="F74" s="3118">
        <v>25</v>
      </c>
    </row>
    <row r="75" spans="1:7" ht="24">
      <c r="A75" s="3118">
        <v>3</v>
      </c>
      <c r="B75" s="3797"/>
      <c r="C75" s="3092" t="s">
        <v>2655</v>
      </c>
      <c r="D75" s="3092" t="s">
        <v>2656</v>
      </c>
      <c r="E75" s="3118">
        <v>0.2</v>
      </c>
      <c r="F75" s="3118">
        <v>25</v>
      </c>
    </row>
    <row r="76" spans="1:7" ht="13.5">
      <c r="A76" s="3118">
        <v>4</v>
      </c>
      <c r="B76" s="3797"/>
      <c r="C76" s="3092" t="s">
        <v>2657</v>
      </c>
      <c r="D76" s="3092" t="s">
        <v>2658</v>
      </c>
      <c r="E76" s="3118">
        <v>0.15</v>
      </c>
      <c r="F76" s="3118">
        <v>20</v>
      </c>
    </row>
    <row r="77" spans="1:7" ht="24">
      <c r="A77" s="3118">
        <v>5</v>
      </c>
      <c r="B77" s="3797"/>
      <c r="C77" s="3092" t="s">
        <v>2659</v>
      </c>
      <c r="D77" s="3092" t="s">
        <v>2660</v>
      </c>
      <c r="E77" s="3118">
        <v>0.15</v>
      </c>
      <c r="F77" s="3118">
        <v>20</v>
      </c>
    </row>
    <row r="78" spans="1:7" ht="24">
      <c r="A78" s="3118">
        <v>6</v>
      </c>
      <c r="B78" s="3797"/>
      <c r="C78" s="3092" t="s">
        <v>2661</v>
      </c>
      <c r="D78" s="3092" t="s">
        <v>2662</v>
      </c>
      <c r="E78" s="3118">
        <v>0.15</v>
      </c>
      <c r="F78" s="3118">
        <v>20</v>
      </c>
    </row>
    <row r="79" spans="1:7" ht="24">
      <c r="A79" s="3118">
        <v>7</v>
      </c>
      <c r="B79" s="3797"/>
      <c r="C79" s="3092" t="s">
        <v>2663</v>
      </c>
      <c r="D79" s="3092" t="s">
        <v>2664</v>
      </c>
      <c r="E79" s="3118">
        <v>0.15</v>
      </c>
      <c r="F79" s="3118">
        <v>20</v>
      </c>
    </row>
    <row r="80" spans="1:7" ht="24">
      <c r="A80" s="3118">
        <v>8</v>
      </c>
      <c r="B80" s="3797"/>
      <c r="C80" s="3092" t="s">
        <v>2665</v>
      </c>
      <c r="D80" s="3092" t="s">
        <v>2666</v>
      </c>
      <c r="E80" s="3118">
        <v>0.1</v>
      </c>
      <c r="F80" s="3118">
        <v>15</v>
      </c>
    </row>
    <row r="81" spans="1:6" ht="24">
      <c r="A81" s="3118">
        <v>9</v>
      </c>
      <c r="B81" s="3797"/>
      <c r="C81" s="3092" t="s">
        <v>2667</v>
      </c>
      <c r="D81" s="3092" t="s">
        <v>2668</v>
      </c>
      <c r="E81" s="3118">
        <v>0.1</v>
      </c>
      <c r="F81" s="3118">
        <v>15</v>
      </c>
    </row>
    <row r="82" spans="1:6" ht="24">
      <c r="A82" s="3118">
        <v>10</v>
      </c>
      <c r="B82" s="3797"/>
      <c r="C82" s="3092" t="s">
        <v>2669</v>
      </c>
      <c r="D82" s="3092" t="s">
        <v>2670</v>
      </c>
      <c r="E82" s="3118">
        <v>0.1</v>
      </c>
      <c r="F82" s="3118">
        <v>15</v>
      </c>
    </row>
    <row r="83" spans="1:6" ht="24">
      <c r="A83" s="3118">
        <v>11</v>
      </c>
      <c r="B83" s="3797"/>
      <c r="C83" s="3092" t="s">
        <v>2671</v>
      </c>
      <c r="D83" s="3092" t="s">
        <v>2672</v>
      </c>
      <c r="E83" s="3118">
        <v>0.1</v>
      </c>
      <c r="F83" s="3118">
        <v>15</v>
      </c>
    </row>
    <row r="84" spans="1:6" ht="24">
      <c r="A84" s="3118">
        <v>12</v>
      </c>
      <c r="B84" s="3797"/>
      <c r="C84" s="3092" t="s">
        <v>2673</v>
      </c>
      <c r="D84" s="3092" t="s">
        <v>2674</v>
      </c>
      <c r="E84" s="3118">
        <v>0.1</v>
      </c>
      <c r="F84" s="3118">
        <v>15</v>
      </c>
    </row>
    <row r="85" spans="1:6" ht="13.5">
      <c r="A85" s="3118">
        <v>13</v>
      </c>
      <c r="B85" s="3797"/>
      <c r="C85" s="3092" t="s">
        <v>2675</v>
      </c>
      <c r="D85" s="3092" t="s">
        <v>2676</v>
      </c>
      <c r="E85" s="3118">
        <v>0.1</v>
      </c>
      <c r="F85" s="3118">
        <v>15</v>
      </c>
    </row>
    <row r="86" spans="1:6" ht="13.5">
      <c r="A86" s="3118">
        <v>14</v>
      </c>
      <c r="B86" s="3797"/>
      <c r="C86" s="3092" t="s">
        <v>2677</v>
      </c>
      <c r="D86" s="3092" t="s">
        <v>2678</v>
      </c>
      <c r="E86" s="3118">
        <v>0.1</v>
      </c>
      <c r="F86" s="3118">
        <v>15</v>
      </c>
    </row>
    <row r="87" spans="1:6" ht="13.5">
      <c r="A87" s="3118">
        <v>15</v>
      </c>
      <c r="B87" s="3797"/>
      <c r="C87" s="3092" t="s">
        <v>2679</v>
      </c>
      <c r="D87" s="3092" t="s">
        <v>2680</v>
      </c>
      <c r="E87" s="3118">
        <v>0.1</v>
      </c>
      <c r="F87" s="3118">
        <v>15</v>
      </c>
    </row>
    <row r="88" spans="1:6" ht="24">
      <c r="A88" s="3118">
        <v>16</v>
      </c>
      <c r="B88" s="3797"/>
      <c r="C88" s="3092" t="s">
        <v>2681</v>
      </c>
      <c r="D88" s="3092" t="s">
        <v>2682</v>
      </c>
      <c r="E88" s="3118">
        <v>0.1</v>
      </c>
      <c r="F88" s="3118">
        <v>15</v>
      </c>
    </row>
    <row r="89" spans="1:6" ht="24">
      <c r="A89" s="3118">
        <v>17</v>
      </c>
      <c r="B89" s="3796"/>
      <c r="C89" s="3092" t="s">
        <v>2683</v>
      </c>
      <c r="D89" s="3092" t="s">
        <v>2684</v>
      </c>
      <c r="E89" s="3118">
        <v>0.1</v>
      </c>
      <c r="F89" s="3118">
        <v>15</v>
      </c>
    </row>
    <row r="90" spans="1:6" ht="13.5">
      <c r="A90" s="3118">
        <v>18</v>
      </c>
      <c r="B90" s="3795" t="s">
        <v>2685</v>
      </c>
      <c r="C90" s="3092" t="s">
        <v>2686</v>
      </c>
      <c r="D90" s="3092" t="s">
        <v>2687</v>
      </c>
      <c r="E90" s="3118">
        <v>0.2</v>
      </c>
      <c r="F90" s="3118">
        <v>25</v>
      </c>
    </row>
    <row r="91" spans="1:6" ht="24">
      <c r="A91" s="3118">
        <v>19</v>
      </c>
      <c r="B91" s="3797"/>
      <c r="C91" s="3092" t="s">
        <v>2688</v>
      </c>
      <c r="D91" s="3092" t="s">
        <v>2689</v>
      </c>
      <c r="E91" s="3118">
        <v>0.2</v>
      </c>
      <c r="F91" s="3118">
        <v>25</v>
      </c>
    </row>
    <row r="92" spans="1:6" ht="13.5">
      <c r="A92" s="3118">
        <v>20</v>
      </c>
      <c r="B92" s="3797"/>
      <c r="C92" s="3092" t="s">
        <v>2690</v>
      </c>
      <c r="D92" s="3092" t="s">
        <v>2691</v>
      </c>
      <c r="E92" s="3118">
        <v>0.15</v>
      </c>
      <c r="F92" s="3118">
        <v>20</v>
      </c>
    </row>
    <row r="93" spans="1:6" ht="13.5">
      <c r="A93" s="3118">
        <v>21</v>
      </c>
      <c r="B93" s="3797"/>
      <c r="C93" s="3092" t="s">
        <v>2692</v>
      </c>
      <c r="D93" s="3092" t="s">
        <v>2693</v>
      </c>
      <c r="E93" s="3118">
        <v>0.15</v>
      </c>
      <c r="F93" s="3118">
        <v>20</v>
      </c>
    </row>
    <row r="94" spans="1:6" ht="13.5">
      <c r="A94" s="3118">
        <v>22</v>
      </c>
      <c r="B94" s="3797"/>
      <c r="C94" s="3092" t="s">
        <v>2694</v>
      </c>
      <c r="D94" s="3092" t="s">
        <v>2695</v>
      </c>
      <c r="E94" s="3118">
        <v>0.15</v>
      </c>
      <c r="F94" s="3118">
        <v>20</v>
      </c>
    </row>
    <row r="95" spans="1:6" ht="36">
      <c r="A95" s="3118">
        <v>23</v>
      </c>
      <c r="B95" s="3797"/>
      <c r="C95" s="3092" t="s">
        <v>2696</v>
      </c>
      <c r="D95" s="3092" t="s">
        <v>2697</v>
      </c>
      <c r="E95" s="3118">
        <v>0.15</v>
      </c>
      <c r="F95" s="3118">
        <v>20</v>
      </c>
    </row>
    <row r="96" spans="1:6" ht="13.5">
      <c r="A96" s="3118">
        <v>24</v>
      </c>
      <c r="B96" s="3797"/>
      <c r="C96" s="3092" t="s">
        <v>2698</v>
      </c>
      <c r="D96" s="3092" t="s">
        <v>2699</v>
      </c>
      <c r="E96" s="3118">
        <v>0.1</v>
      </c>
      <c r="F96" s="3118">
        <v>15</v>
      </c>
    </row>
    <row r="97" spans="1:6" ht="13.5">
      <c r="A97" s="3118">
        <v>25</v>
      </c>
      <c r="B97" s="3797"/>
      <c r="C97" s="3092" t="s">
        <v>2700</v>
      </c>
      <c r="D97" s="3092" t="s">
        <v>2701</v>
      </c>
      <c r="E97" s="3118">
        <v>0.1</v>
      </c>
      <c r="F97" s="3118">
        <v>15</v>
      </c>
    </row>
    <row r="98" spans="1:6" ht="24">
      <c r="A98" s="3118">
        <v>26</v>
      </c>
      <c r="B98" s="3797"/>
      <c r="C98" s="3092" t="s">
        <v>2702</v>
      </c>
      <c r="D98" s="3092" t="s">
        <v>2703</v>
      </c>
      <c r="E98" s="3118">
        <v>0.1</v>
      </c>
      <c r="F98" s="3118">
        <v>15</v>
      </c>
    </row>
    <row r="99" spans="1:6" ht="24">
      <c r="A99" s="3118">
        <v>27</v>
      </c>
      <c r="B99" s="3797"/>
      <c r="C99" s="3092" t="s">
        <v>2704</v>
      </c>
      <c r="D99" s="3092" t="s">
        <v>2705</v>
      </c>
      <c r="E99" s="3118">
        <v>0.1</v>
      </c>
      <c r="F99" s="3118">
        <v>15</v>
      </c>
    </row>
    <row r="100" spans="1:6" ht="13.5">
      <c r="A100" s="3118">
        <v>28</v>
      </c>
      <c r="B100" s="3797"/>
      <c r="C100" s="3092" t="s">
        <v>2706</v>
      </c>
      <c r="D100" s="3092" t="s">
        <v>2707</v>
      </c>
      <c r="E100" s="3118">
        <v>0.1</v>
      </c>
      <c r="F100" s="3118">
        <v>15</v>
      </c>
    </row>
    <row r="101" spans="1:6" ht="13.5">
      <c r="A101" s="3118">
        <v>29</v>
      </c>
      <c r="B101" s="3797"/>
      <c r="C101" s="3092" t="s">
        <v>2708</v>
      </c>
      <c r="D101" s="3092" t="s">
        <v>2709</v>
      </c>
      <c r="E101" s="3118">
        <v>0.1</v>
      </c>
      <c r="F101" s="3118">
        <v>15</v>
      </c>
    </row>
    <row r="102" spans="1:6" ht="13.5">
      <c r="A102" s="3118">
        <v>30</v>
      </c>
      <c r="B102" s="3797"/>
      <c r="C102" s="3092" t="s">
        <v>2710</v>
      </c>
      <c r="D102" s="3092" t="s">
        <v>2711</v>
      </c>
      <c r="E102" s="3118">
        <v>0.1</v>
      </c>
      <c r="F102" s="3118">
        <v>15</v>
      </c>
    </row>
    <row r="103" spans="1:6" ht="24">
      <c r="A103" s="3118">
        <v>31</v>
      </c>
      <c r="B103" s="3797"/>
      <c r="C103" s="3092" t="s">
        <v>2712</v>
      </c>
      <c r="D103" s="3092" t="s">
        <v>2713</v>
      </c>
      <c r="E103" s="3118">
        <v>0.1</v>
      </c>
      <c r="F103" s="3118">
        <v>15</v>
      </c>
    </row>
    <row r="104" spans="1:6" ht="24">
      <c r="A104" s="3118">
        <v>32</v>
      </c>
      <c r="B104" s="3797"/>
      <c r="C104" s="3092" t="s">
        <v>2714</v>
      </c>
      <c r="D104" s="3092" t="s">
        <v>2715</v>
      </c>
      <c r="E104" s="3118">
        <v>0.1</v>
      </c>
      <c r="F104" s="3118">
        <v>15</v>
      </c>
    </row>
    <row r="105" spans="1:6" ht="24">
      <c r="A105" s="3118">
        <v>33</v>
      </c>
      <c r="B105" s="3797"/>
      <c r="C105" s="3092" t="s">
        <v>2716</v>
      </c>
      <c r="D105" s="3092" t="s">
        <v>2717</v>
      </c>
      <c r="E105" s="3118">
        <v>0.1</v>
      </c>
      <c r="F105" s="3118">
        <v>15</v>
      </c>
    </row>
    <row r="106" spans="1:6" ht="24">
      <c r="A106" s="3118">
        <v>34</v>
      </c>
      <c r="B106" s="3796"/>
      <c r="C106" s="3092" t="s">
        <v>2718</v>
      </c>
      <c r="D106" s="3092" t="s">
        <v>2719</v>
      </c>
      <c r="E106" s="3118">
        <v>0.1</v>
      </c>
      <c r="F106" s="3118">
        <v>15</v>
      </c>
    </row>
    <row r="107" spans="1:6" ht="24">
      <c r="A107" s="3118">
        <v>35</v>
      </c>
      <c r="B107" s="3795" t="s">
        <v>2720</v>
      </c>
      <c r="C107" s="3118" t="s">
        <v>2721</v>
      </c>
      <c r="D107" s="3092" t="s">
        <v>2722</v>
      </c>
      <c r="E107" s="3118">
        <v>0.15</v>
      </c>
      <c r="F107" s="3118">
        <v>20</v>
      </c>
    </row>
    <row r="108" spans="1:6" ht="13.5">
      <c r="A108" s="3118">
        <v>36</v>
      </c>
      <c r="B108" s="3797"/>
      <c r="C108" s="3118" t="s">
        <v>2723</v>
      </c>
      <c r="D108" s="3092" t="s">
        <v>2724</v>
      </c>
      <c r="E108" s="3118">
        <v>0.15</v>
      </c>
      <c r="F108" s="3118">
        <v>20</v>
      </c>
    </row>
    <row r="109" spans="1:6" ht="13.5">
      <c r="A109" s="3118">
        <v>37</v>
      </c>
      <c r="B109" s="3797"/>
      <c r="C109" s="3118" t="s">
        <v>2725</v>
      </c>
      <c r="D109" s="3092" t="s">
        <v>2726</v>
      </c>
      <c r="E109" s="3118">
        <v>0.15</v>
      </c>
      <c r="F109" s="3118">
        <v>20</v>
      </c>
    </row>
    <row r="110" spans="1:6" ht="13.5">
      <c r="A110" s="3118">
        <v>38</v>
      </c>
      <c r="B110" s="3797"/>
      <c r="C110" s="3118" t="s">
        <v>2727</v>
      </c>
      <c r="D110" s="3092" t="s">
        <v>2728</v>
      </c>
      <c r="E110" s="3118">
        <v>0.1</v>
      </c>
      <c r="F110" s="3118">
        <v>15</v>
      </c>
    </row>
    <row r="111" spans="1:6" ht="24">
      <c r="A111" s="3118">
        <v>39</v>
      </c>
      <c r="B111" s="3797"/>
      <c r="C111" s="3118" t="s">
        <v>2729</v>
      </c>
      <c r="D111" s="3092" t="s">
        <v>2730</v>
      </c>
      <c r="E111" s="3118">
        <v>0.1</v>
      </c>
      <c r="F111" s="3118">
        <v>15</v>
      </c>
    </row>
    <row r="112" spans="1:6" ht="24">
      <c r="A112" s="3118">
        <v>40</v>
      </c>
      <c r="B112" s="3796"/>
      <c r="C112" s="3118" t="s">
        <v>2731</v>
      </c>
      <c r="D112" s="3092" t="s">
        <v>2732</v>
      </c>
      <c r="E112" s="3118">
        <v>0.1</v>
      </c>
      <c r="F112" s="3118">
        <v>15</v>
      </c>
    </row>
    <row r="113" spans="1:6" ht="13.5">
      <c r="A113" s="3118">
        <v>41</v>
      </c>
      <c r="B113" s="3794" t="s">
        <v>2733</v>
      </c>
      <c r="C113" s="3118" t="s">
        <v>2734</v>
      </c>
      <c r="D113" s="3092" t="s">
        <v>2735</v>
      </c>
      <c r="E113" s="3118">
        <v>0.1</v>
      </c>
      <c r="F113" s="3118">
        <v>15</v>
      </c>
    </row>
    <row r="114" spans="1:6" ht="13.5">
      <c r="A114" s="3118">
        <v>42</v>
      </c>
      <c r="B114" s="3794"/>
      <c r="C114" s="3118" t="s">
        <v>2736</v>
      </c>
      <c r="D114" s="3092" t="s">
        <v>2737</v>
      </c>
      <c r="E114" s="3118">
        <v>0.1</v>
      </c>
      <c r="F114" s="3118">
        <v>15</v>
      </c>
    </row>
    <row r="115" spans="1:6" ht="24">
      <c r="A115" s="3118">
        <v>43</v>
      </c>
      <c r="B115" s="3794"/>
      <c r="C115" s="3118" t="s">
        <v>2738</v>
      </c>
      <c r="D115" s="3092" t="s">
        <v>2739</v>
      </c>
      <c r="E115" s="3118">
        <v>0.1</v>
      </c>
      <c r="F115" s="3118">
        <v>15</v>
      </c>
    </row>
    <row r="116" spans="1:6" ht="13.5">
      <c r="A116" s="3118">
        <v>44</v>
      </c>
      <c r="B116" s="3795" t="s">
        <v>2740</v>
      </c>
      <c r="C116" s="3118" t="s">
        <v>2741</v>
      </c>
      <c r="D116" s="3092" t="s">
        <v>2742</v>
      </c>
      <c r="E116" s="3118">
        <v>0.1</v>
      </c>
      <c r="F116" s="3118">
        <v>15</v>
      </c>
    </row>
    <row r="117" spans="1:6" ht="24">
      <c r="A117" s="3118">
        <v>45</v>
      </c>
      <c r="B117" s="3796"/>
      <c r="C117" s="3092" t="s">
        <v>2743</v>
      </c>
      <c r="D117" s="3092" t="s">
        <v>2744</v>
      </c>
      <c r="E117" s="3118">
        <v>0.1</v>
      </c>
      <c r="F117" s="3118">
        <v>15</v>
      </c>
    </row>
    <row r="118" spans="1:6" ht="24">
      <c r="A118" s="3118">
        <v>46</v>
      </c>
      <c r="B118" s="3795" t="s">
        <v>2745</v>
      </c>
      <c r="C118" s="3118" t="s">
        <v>2746</v>
      </c>
      <c r="D118" s="3092" t="s">
        <v>2747</v>
      </c>
      <c r="E118" s="3118">
        <v>0.1</v>
      </c>
      <c r="F118" s="3118">
        <v>15</v>
      </c>
    </row>
    <row r="119" spans="1:6" ht="24">
      <c r="A119" s="3118">
        <v>47</v>
      </c>
      <c r="B119" s="3796"/>
      <c r="C119" s="3118" t="s">
        <v>2748</v>
      </c>
      <c r="D119" s="3092" t="s">
        <v>2749</v>
      </c>
      <c r="E119" s="3118">
        <v>0.1</v>
      </c>
      <c r="F119" s="3118">
        <v>15</v>
      </c>
    </row>
    <row r="120" spans="1:6" ht="13.5">
      <c r="A120" s="3118">
        <v>48</v>
      </c>
      <c r="B120" s="3795" t="s">
        <v>2750</v>
      </c>
      <c r="C120" s="3118" t="s">
        <v>2751</v>
      </c>
      <c r="D120" s="3092" t="s">
        <v>2752</v>
      </c>
      <c r="E120" s="3118">
        <v>0.1</v>
      </c>
      <c r="F120" s="3118">
        <v>15</v>
      </c>
    </row>
    <row r="121" spans="1:6" ht="13.5">
      <c r="A121" s="3118">
        <v>49</v>
      </c>
      <c r="B121" s="3796"/>
      <c r="C121" s="3118" t="s">
        <v>2753</v>
      </c>
      <c r="D121" s="3092" t="s">
        <v>2754</v>
      </c>
      <c r="E121" s="3118">
        <v>0.1</v>
      </c>
      <c r="F121" s="3118">
        <v>15</v>
      </c>
    </row>
    <row r="122" spans="1:6" ht="24">
      <c r="A122" s="3118">
        <v>50</v>
      </c>
      <c r="B122" s="3794" t="s">
        <v>2755</v>
      </c>
      <c r="C122" s="3118" t="s">
        <v>2756</v>
      </c>
      <c r="D122" s="3092" t="s">
        <v>2757</v>
      </c>
      <c r="E122" s="3118">
        <v>0.1</v>
      </c>
      <c r="F122" s="3118">
        <v>15</v>
      </c>
    </row>
    <row r="123" spans="1:6" ht="24">
      <c r="A123" s="3118">
        <v>51</v>
      </c>
      <c r="B123" s="3794"/>
      <c r="C123" s="3118" t="s">
        <v>2758</v>
      </c>
      <c r="D123" s="3092" t="s">
        <v>2759</v>
      </c>
      <c r="E123" s="3118">
        <v>0.1</v>
      </c>
      <c r="F123" s="3118">
        <v>15</v>
      </c>
    </row>
    <row r="124" spans="1:6" ht="24">
      <c r="A124" s="3118">
        <v>52</v>
      </c>
      <c r="B124" s="3794" t="s">
        <v>2760</v>
      </c>
      <c r="C124" s="3118" t="s">
        <v>2761</v>
      </c>
      <c r="D124" s="3092" t="s">
        <v>2762</v>
      </c>
      <c r="E124" s="3118">
        <v>0.1</v>
      </c>
      <c r="F124" s="3118">
        <v>15</v>
      </c>
    </row>
    <row r="125" spans="1:6" ht="24">
      <c r="A125" s="3118">
        <v>53</v>
      </c>
      <c r="B125" s="3794"/>
      <c r="C125" s="3118" t="s">
        <v>2763</v>
      </c>
      <c r="D125" s="3092" t="s">
        <v>2764</v>
      </c>
      <c r="E125" s="3118">
        <v>0.1</v>
      </c>
      <c r="F125" s="3118">
        <v>15</v>
      </c>
    </row>
    <row r="126" spans="1:6" ht="13.5">
      <c r="A126" s="3118">
        <v>54</v>
      </c>
      <c r="B126" s="3118" t="s">
        <v>2765</v>
      </c>
      <c r="C126" s="3118" t="s">
        <v>2766</v>
      </c>
      <c r="D126" s="3092" t="s">
        <v>2767</v>
      </c>
      <c r="E126" s="3118">
        <v>0.1</v>
      </c>
      <c r="F126" s="3118">
        <v>15</v>
      </c>
    </row>
    <row r="127" spans="1:6" ht="13.5">
      <c r="A127" s="3118">
        <v>55</v>
      </c>
      <c r="B127" s="3794" t="s">
        <v>2768</v>
      </c>
      <c r="C127" s="3118" t="s">
        <v>2769</v>
      </c>
      <c r="D127" s="3092" t="s">
        <v>2770</v>
      </c>
      <c r="E127" s="3118">
        <v>0.1</v>
      </c>
      <c r="F127" s="3118">
        <v>15</v>
      </c>
    </row>
    <row r="128" spans="1:6" ht="13.5">
      <c r="A128" s="3118">
        <v>56</v>
      </c>
      <c r="B128" s="3794"/>
      <c r="C128" s="3118" t="s">
        <v>2771</v>
      </c>
      <c r="D128" s="3092" t="s">
        <v>2772</v>
      </c>
      <c r="E128" s="3118">
        <v>0.1</v>
      </c>
      <c r="F128" s="3118">
        <v>15</v>
      </c>
    </row>
    <row r="129" spans="1:6" ht="24">
      <c r="A129" s="3118">
        <v>57</v>
      </c>
      <c r="B129" s="3794"/>
      <c r="C129" s="3118" t="s">
        <v>2773</v>
      </c>
      <c r="D129" s="3092" t="s">
        <v>2774</v>
      </c>
      <c r="E129" s="3118">
        <v>0.1</v>
      </c>
      <c r="F129" s="3118">
        <v>15</v>
      </c>
    </row>
    <row r="130" spans="1:6" ht="24">
      <c r="A130" s="3118">
        <v>58</v>
      </c>
      <c r="B130" s="3794" t="s">
        <v>2775</v>
      </c>
      <c r="C130" s="3118" t="s">
        <v>2776</v>
      </c>
      <c r="D130" s="3092" t="s">
        <v>2777</v>
      </c>
      <c r="E130" s="3118">
        <v>0.1</v>
      </c>
      <c r="F130" s="3118">
        <v>15</v>
      </c>
    </row>
    <row r="131" spans="1:6" ht="13.5">
      <c r="A131" s="3118">
        <v>59</v>
      </c>
      <c r="B131" s="3794"/>
      <c r="C131" s="3118" t="s">
        <v>2778</v>
      </c>
      <c r="D131" s="3092" t="s">
        <v>2779</v>
      </c>
      <c r="E131" s="3118">
        <v>0.1</v>
      </c>
      <c r="F131" s="3118">
        <v>15</v>
      </c>
    </row>
    <row r="132" spans="1:6" ht="13.5">
      <c r="A132" s="3118">
        <v>60</v>
      </c>
      <c r="B132" s="3795" t="s">
        <v>2780</v>
      </c>
      <c r="C132" s="3118" t="s">
        <v>2781</v>
      </c>
      <c r="D132" s="3092" t="s">
        <v>2782</v>
      </c>
      <c r="E132" s="3118">
        <v>0.1</v>
      </c>
      <c r="F132" s="3118">
        <v>15</v>
      </c>
    </row>
    <row r="133" spans="1:6" ht="13.5">
      <c r="A133" s="3118">
        <v>61</v>
      </c>
      <c r="B133" s="3796"/>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13.5">
      <c r="A135" s="3118">
        <v>63</v>
      </c>
      <c r="B135" s="3794" t="s">
        <v>2788</v>
      </c>
      <c r="C135" s="3118" t="s">
        <v>2789</v>
      </c>
      <c r="D135" s="3092" t="s">
        <v>2790</v>
      </c>
      <c r="E135" s="3118">
        <v>0.1</v>
      </c>
      <c r="F135" s="3118">
        <v>15</v>
      </c>
    </row>
    <row r="136" spans="1:6" ht="13.5">
      <c r="A136" s="3118">
        <v>64</v>
      </c>
      <c r="B136" s="3794"/>
      <c r="C136" s="3118" t="s">
        <v>2791</v>
      </c>
      <c r="D136" s="3092" t="s">
        <v>2792</v>
      </c>
      <c r="E136" s="3118">
        <v>0.1</v>
      </c>
      <c r="F136" s="3118">
        <v>15</v>
      </c>
    </row>
    <row r="137" spans="1:6" ht="13.5">
      <c r="A137" s="3118">
        <v>65</v>
      </c>
      <c r="B137" s="3118" t="s">
        <v>2793</v>
      </c>
      <c r="C137" s="3118" t="s">
        <v>2794</v>
      </c>
      <c r="D137" s="3092" t="s">
        <v>2795</v>
      </c>
      <c r="E137" s="3118">
        <v>0.1</v>
      </c>
      <c r="F137" s="3118">
        <v>15</v>
      </c>
    </row>
    <row r="138" spans="1:6" ht="13.5">
      <c r="A138" s="3118"/>
      <c r="B138" s="3118"/>
      <c r="C138" s="3118"/>
      <c r="D138" s="3118"/>
      <c r="E138" s="3118" t="s">
        <v>2796</v>
      </c>
      <c r="F138" s="311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0</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905</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914</v>
      </c>
      <c r="C4" s="3484"/>
      <c r="D4" s="3484"/>
      <c r="E4" s="1493"/>
    </row>
    <row r="5" spans="1:5" ht="16.5" thickTop="1">
      <c r="A5" s="1491"/>
      <c r="B5" s="3482" t="s">
        <v>906</v>
      </c>
      <c r="C5" s="1494" t="s">
        <v>907</v>
      </c>
      <c r="D5" s="850">
        <f ca="1">结果表!H101</f>
        <v>40794</v>
      </c>
      <c r="E5" s="1491"/>
    </row>
    <row r="6" spans="1:5" ht="15.75">
      <c r="A6" s="1491"/>
      <c r="B6" s="3482"/>
      <c r="C6" s="1494" t="s">
        <v>908</v>
      </c>
      <c r="D6" s="850" t="str">
        <f ca="1">NUMBERSTRING(INT(D5*10000),2)&amp;"元整"</f>
        <v>肆亿零柒佰玖拾肆万元整</v>
      </c>
      <c r="E6" s="1491"/>
    </row>
    <row r="7" spans="1:5" ht="15.75">
      <c r="A7" s="1491"/>
      <c r="B7" s="3487"/>
      <c r="C7" s="1495" t="s">
        <v>909</v>
      </c>
      <c r="D7" s="851">
        <f ca="1">结果表!H102</f>
        <v>4665</v>
      </c>
      <c r="E7" s="1491"/>
    </row>
    <row r="8" spans="1:5" ht="15.75">
      <c r="A8" s="1491"/>
      <c r="B8" s="3488" t="str">
        <f>结果表!E103</f>
        <v>2.估价师知悉的法定优先受偿款</v>
      </c>
      <c r="C8" s="1496" t="s">
        <v>910</v>
      </c>
      <c r="D8" s="851">
        <f>结果表!H103</f>
        <v>0</v>
      </c>
      <c r="E8" s="1491"/>
    </row>
    <row r="9" spans="1:5" ht="15.75">
      <c r="A9" s="1491"/>
      <c r="B9" s="3490"/>
      <c r="C9" s="1494" t="s">
        <v>908</v>
      </c>
      <c r="D9" s="850" t="str">
        <f>NUMBERSTRING(INT(D8*10000),2)&amp;"元整"</f>
        <v>零元整</v>
      </c>
      <c r="E9" s="1491"/>
    </row>
    <row r="10" spans="1:5" ht="15">
      <c r="A10" s="1491"/>
      <c r="B10" s="1497" t="s">
        <v>913</v>
      </c>
      <c r="C10" s="1498" t="s">
        <v>911</v>
      </c>
      <c r="D10" s="852">
        <f>结果表!H104</f>
        <v>0</v>
      </c>
      <c r="E10" s="1491"/>
    </row>
    <row r="11" spans="1:5" ht="15">
      <c r="A11" s="1491"/>
      <c r="B11" s="1497" t="s">
        <v>915</v>
      </c>
      <c r="C11" s="1498" t="s">
        <v>916</v>
      </c>
      <c r="D11" s="852">
        <f>结果表!H105</f>
        <v>0</v>
      </c>
      <c r="E11" s="1491"/>
    </row>
    <row r="12" spans="1:5" ht="15">
      <c r="A12" s="1491"/>
      <c r="B12" s="1497" t="s">
        <v>917</v>
      </c>
      <c r="C12" s="1498" t="s">
        <v>916</v>
      </c>
      <c r="D12" s="852">
        <f>结果表!H106</f>
        <v>0</v>
      </c>
      <c r="E12" s="1491"/>
    </row>
    <row r="13" spans="1:5" ht="15.75">
      <c r="A13" s="1491"/>
      <c r="B13" s="3481" t="str">
        <f>结果表!E107</f>
        <v>3.房地产抵押价值</v>
      </c>
      <c r="C13" s="1499" t="s">
        <v>907</v>
      </c>
      <c r="D13" s="853">
        <f ca="1">结果表!H107</f>
        <v>40794</v>
      </c>
      <c r="E13" s="1491"/>
    </row>
    <row r="14" spans="1:5" ht="15.75">
      <c r="A14" s="1491"/>
      <c r="B14" s="3482"/>
      <c r="C14" s="1494" t="s">
        <v>908</v>
      </c>
      <c r="D14" s="850" t="str">
        <f ca="1">NUMBERSTRING(INT(D13*10000),2)&amp;"元整"</f>
        <v>肆亿零柒佰玖拾肆万元整</v>
      </c>
      <c r="E14" s="1491"/>
    </row>
    <row r="15" spans="1:5" ht="15">
      <c r="A15" s="1491"/>
      <c r="B15" s="3487"/>
      <c r="C15" s="1495" t="s">
        <v>918</v>
      </c>
      <c r="D15" s="859">
        <f ca="1">结果表!H108</f>
        <v>4665</v>
      </c>
      <c r="E15" s="1491"/>
    </row>
    <row r="16" spans="1:5" ht="15">
      <c r="A16" s="1491"/>
      <c r="B16" s="3488" t="str">
        <f>结果表!E109</f>
        <v>——</v>
      </c>
      <c r="C16" s="1499" t="s">
        <v>919</v>
      </c>
      <c r="D16" s="1500" t="str">
        <f>结果表!H109</f>
        <v>——</v>
      </c>
      <c r="E16" s="1491"/>
    </row>
    <row r="17" spans="1:5" ht="15.75">
      <c r="A17" s="1491"/>
      <c r="B17" s="3489"/>
      <c r="C17" s="1494" t="s">
        <v>920</v>
      </c>
      <c r="D17" s="850" t="e">
        <f>NUMBERSTRING(INT(D16*10000),2)&amp;"元整"</f>
        <v>#VALUE!</v>
      </c>
      <c r="E17" s="1491"/>
    </row>
    <row r="18" spans="1:5" ht="15">
      <c r="A18" s="1491"/>
      <c r="B18" s="3490"/>
      <c r="C18" s="1495" t="s">
        <v>909</v>
      </c>
      <c r="D18" s="859" t="str">
        <f>结果表!H110</f>
        <v>——</v>
      </c>
      <c r="E18" s="1491"/>
    </row>
    <row r="19" spans="1:5" ht="15.75">
      <c r="A19" s="1491"/>
      <c r="B19" s="3481" t="str">
        <f>结果表!E111</f>
        <v>——</v>
      </c>
      <c r="C19" s="1499" t="s">
        <v>907</v>
      </c>
      <c r="D19" s="851" t="str">
        <f>结果表!H111</f>
        <v>——</v>
      </c>
      <c r="E19" s="1491"/>
    </row>
    <row r="20" spans="1:5" ht="15.75">
      <c r="A20" s="1491"/>
      <c r="B20" s="3482"/>
      <c r="C20" s="1494" t="s">
        <v>920</v>
      </c>
      <c r="D20" s="850" t="e">
        <f>NUMBERSTRING(INT(D19*10000),2)&amp;"元整"</f>
        <v>#VALUE!</v>
      </c>
      <c r="E20" s="1491"/>
    </row>
    <row r="21" spans="1:5" ht="15.75" thickBot="1">
      <c r="A21" s="1491"/>
      <c r="B21" s="3483"/>
      <c r="C21" s="1501" t="s">
        <v>918</v>
      </c>
      <c r="D21" s="860" t="str">
        <f>结果表!H112</f>
        <v>——</v>
      </c>
      <c r="E21" s="1491"/>
    </row>
    <row r="22" spans="1:5" ht="15" thickTop="1">
      <c r="A22" s="1491"/>
      <c r="B22" s="1502" t="s">
        <v>921</v>
      </c>
      <c r="C22" s="1491"/>
      <c r="D22" s="1491"/>
      <c r="E22" s="1491"/>
    </row>
    <row r="23" spans="1:5">
      <c r="A23" s="1491"/>
      <c r="B23" s="1491"/>
      <c r="C23" s="1491"/>
      <c r="D23" s="1491"/>
      <c r="E23" s="1491"/>
    </row>
    <row r="24" spans="1:5" ht="18.75">
      <c r="A24" s="1503"/>
      <c r="B24" s="1504" t="s">
        <v>912</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65752</v>
      </c>
      <c r="C2" s="2" t="s">
        <v>106</v>
      </c>
      <c r="D2" s="199"/>
      <c r="E2" s="199"/>
      <c r="F2" s="199"/>
      <c r="G2" s="199"/>
    </row>
    <row r="3" spans="1:7" s="200" customFormat="1" ht="18" customHeight="1" thickBot="1">
      <c r="A3" s="203" t="s">
        <v>58</v>
      </c>
      <c r="B3" s="204">
        <f ca="1">ROUND(B2*10000/'数据-汇总表'!E3,0)</f>
        <v>7520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1749</v>
      </c>
      <c r="D10" s="845">
        <f>'数据-汇总表'!E6</f>
        <v>87440.459999999992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1312</v>
      </c>
      <c r="D19" s="849">
        <f>'数据-汇总表'!E3</f>
        <v>87440.459999999992</v>
      </c>
      <c r="E19" s="211">
        <f>'数据-取费表'!B31</f>
        <v>150</v>
      </c>
      <c r="F19" s="231"/>
      <c r="G19" s="1" t="s">
        <v>436</v>
      </c>
    </row>
    <row r="20" spans="1:7" s="214" customFormat="1" ht="13.5" customHeight="1">
      <c r="A20" s="777" t="s">
        <v>419</v>
      </c>
      <c r="B20" s="210" t="s">
        <v>77</v>
      </c>
      <c r="C20" s="232">
        <f>ROUND((C5+C19)*F20,0)</f>
        <v>438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2122</v>
      </c>
      <c r="D22" s="235">
        <f ca="1">C26</f>
        <v>8.9999999999999998E-4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1975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126</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2516</v>
      </c>
      <c r="D27" s="235">
        <f>C29</f>
        <v>2.3E-3</v>
      </c>
      <c r="E27" s="236" t="s">
        <v>99</v>
      </c>
      <c r="F27" s="246">
        <f>'数据-取费表'!Q16</f>
        <v>0.15</v>
      </c>
      <c r="G27" s="247" t="s">
        <v>431</v>
      </c>
    </row>
    <row r="28" spans="1:7" s="214" customFormat="1" ht="13.5" customHeight="1">
      <c r="A28" s="780" t="s">
        <v>349</v>
      </c>
      <c r="B28" s="248" t="s">
        <v>424</v>
      </c>
      <c r="C28" s="249">
        <f>ROUND((C5+C19+C20)*F27*'数据-取费表'!B21/'数据-取费表'!B20,0)</f>
        <v>2516</v>
      </c>
      <c r="D28" s="235"/>
      <c r="E28" s="236"/>
      <c r="F28" s="246"/>
      <c r="G28" s="247"/>
    </row>
    <row r="29" spans="1:7" s="214" customFormat="1" ht="13.5" customHeight="1">
      <c r="A29" s="780" t="s">
        <v>347</v>
      </c>
      <c r="B29" s="248" t="s">
        <v>425</v>
      </c>
      <c r="C29" s="238">
        <f>ROUND(C21*F27*'数据-取费表'!B21/'数据-取费表'!B20,4)</f>
        <v>2.3E-3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27604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24921</v>
      </c>
      <c r="D34" s="217"/>
      <c r="E34" s="220"/>
      <c r="F34" s="257">
        <f>IF('数据-取费表'!B24=0,1,'数据-取费表'!N16)</f>
        <v>0.75</v>
      </c>
      <c r="G34" s="219" t="s">
        <v>89</v>
      </c>
    </row>
    <row r="35" spans="1:7" ht="13.5" customHeight="1">
      <c r="A35" s="780" t="s">
        <v>351</v>
      </c>
      <c r="B35" s="215" t="s">
        <v>33</v>
      </c>
      <c r="C35" s="220">
        <f>ROUND(C34*F35,0)</f>
        <v>997</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1312</v>
      </c>
      <c r="D37" s="217">
        <f>'数据-汇总表'!E3</f>
        <v>87440.459999999992</v>
      </c>
      <c r="E37" s="249">
        <f>'数据-取费表'!B35</f>
        <v>200</v>
      </c>
      <c r="F37" s="259"/>
      <c r="G37" s="261" t="s">
        <v>92</v>
      </c>
    </row>
    <row r="38" spans="1:7" ht="13.5" customHeight="1">
      <c r="A38" s="780" t="s">
        <v>354</v>
      </c>
      <c r="B38" s="215" t="s">
        <v>36</v>
      </c>
      <c r="C38" s="220">
        <f>ROUND(C34*F38,0)</f>
        <v>374</v>
      </c>
      <c r="D38" s="220"/>
      <c r="E38" s="220"/>
      <c r="F38" s="259">
        <f>'数据-取费表'!B36</f>
        <v>1.4999999999999999E-2</v>
      </c>
      <c r="G38" s="219" t="s">
        <v>90</v>
      </c>
    </row>
    <row r="39" spans="1:7" s="214" customFormat="1" ht="13.5" customHeight="1">
      <c r="A39" s="777" t="s">
        <v>338</v>
      </c>
      <c r="B39" s="210" t="s">
        <v>77</v>
      </c>
      <c r="C39" s="232">
        <f>ROUND(C33*F20,0)</f>
        <v>552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1318</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1292</v>
      </c>
      <c r="D42" s="238"/>
      <c r="E42" s="238"/>
      <c r="F42" s="239"/>
      <c r="G42" s="3669" t="s">
        <v>94</v>
      </c>
    </row>
    <row r="43" spans="1:7" ht="13.5" customHeight="1">
      <c r="A43" s="780" t="s">
        <v>347</v>
      </c>
      <c r="B43" s="215" t="s">
        <v>426</v>
      </c>
      <c r="C43" s="238">
        <f ca="1">ROUND(IF('数据-取费表'!B22&lt;=1,C39*F22*'数据-取费表'!B21/2,C39*(POWER((1+F22),'数据-取费表'!B21/2)-1)),0)</f>
        <v>26</v>
      </c>
      <c r="D43" s="238"/>
      <c r="E43" s="238"/>
      <c r="F43" s="239"/>
      <c r="G43" s="3670"/>
    </row>
    <row r="44" spans="1:7" ht="13.5" customHeight="1">
      <c r="A44" s="780" t="s">
        <v>348</v>
      </c>
      <c r="B44" s="215" t="s">
        <v>428</v>
      </c>
      <c r="C44" s="238">
        <f ca="1">ROUND(IF('数据-取费表'!B22&lt;=1,C40*F22*'数据-取费表'!B21/2,C40*(POWER((1+F22),'数据-取费表'!B21/2)-1)),4)</f>
        <v>8.9999999999999998E-4</v>
      </c>
      <c r="D44" s="238"/>
      <c r="E44" s="238"/>
      <c r="F44" s="239"/>
      <c r="G44" s="3671"/>
    </row>
    <row r="45" spans="1:7" s="214" customFormat="1" ht="13.5" customHeight="1">
      <c r="A45" s="777" t="s">
        <v>341</v>
      </c>
      <c r="B45" s="244" t="s">
        <v>85</v>
      </c>
      <c r="C45" s="245">
        <f>C46</f>
        <v>4223</v>
      </c>
      <c r="D45" s="235">
        <f>C47</f>
        <v>3.0000000000000001E-3</v>
      </c>
      <c r="E45" s="236" t="s">
        <v>102</v>
      </c>
      <c r="F45" s="246"/>
      <c r="G45" s="247" t="s">
        <v>434</v>
      </c>
    </row>
    <row r="46" spans="1:7" s="214" customFormat="1" ht="13.5" customHeight="1">
      <c r="A46" s="780" t="s">
        <v>349</v>
      </c>
      <c r="B46" s="248" t="s">
        <v>427</v>
      </c>
      <c r="C46" s="249">
        <f>ROUND((C33+C39)*F27,0)</f>
        <v>4223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36517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36517</v>
      </c>
      <c r="D51" s="232"/>
      <c r="E51" s="232"/>
      <c r="F51" s="264"/>
      <c r="G51" s="234" t="s">
        <v>37</v>
      </c>
    </row>
    <row r="52" spans="1:7" s="208" customFormat="1" ht="16.5" thickBot="1">
      <c r="A52" s="265" t="s">
        <v>38</v>
      </c>
      <c r="B52" s="266"/>
      <c r="C52" s="267">
        <f ca="1">C31+C51</f>
        <v>65752</v>
      </c>
      <c r="D52" s="266"/>
      <c r="E52" s="266"/>
      <c r="F52" s="266"/>
      <c r="G52" s="268"/>
    </row>
    <row r="55" spans="1:7" ht="15">
      <c r="B55" s="270" t="s">
        <v>39</v>
      </c>
      <c r="C55" s="271"/>
    </row>
    <row r="56" spans="1:7">
      <c r="B56" s="273" t="s">
        <v>40</v>
      </c>
      <c r="C56" s="274">
        <f ca="1">ROUND(C51/C52,3)</f>
        <v>0.55500000000000005</v>
      </c>
    </row>
    <row r="57" spans="1:7">
      <c r="B57" s="273" t="s">
        <v>41</v>
      </c>
      <c r="C57" s="275">
        <f ca="1">1-C56</f>
        <v>0.44499999999999995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8" t="s">
        <v>2840</v>
      </c>
      <c r="B1" s="3808"/>
      <c r="C1" s="3808"/>
      <c r="D1" s="3808"/>
      <c r="E1" s="3808"/>
      <c r="F1" s="3808"/>
      <c r="G1" s="3809"/>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2"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806" t="s">
        <v>2867</v>
      </c>
      <c r="B3" s="3230"/>
      <c r="C3" s="3231" t="s">
        <v>2810</v>
      </c>
      <c r="D3" s="3231" t="s">
        <v>2868</v>
      </c>
      <c r="E3" s="3231" t="s">
        <v>2812</v>
      </c>
      <c r="F3" s="3231" t="s">
        <v>2869</v>
      </c>
      <c r="G3" s="3231" t="s">
        <v>2630</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2" thickBot="1">
      <c r="A4" s="3807"/>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2"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2"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2"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2"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0" t="s">
        <v>3182</v>
      </c>
      <c r="B1" s="3810"/>
    </row>
    <row r="2" spans="1:7" ht="14.25" thickBot="1">
      <c r="A2" s="3255"/>
      <c r="B2" s="3255"/>
    </row>
    <row r="3" spans="1:7" ht="14.25" thickBot="1">
      <c r="A3" s="3255"/>
      <c r="B3" s="3255"/>
      <c r="C3" s="3256" t="s">
        <v>2810</v>
      </c>
      <c r="D3" s="3256" t="s">
        <v>2868</v>
      </c>
      <c r="E3" s="3256" t="s">
        <v>2812</v>
      </c>
      <c r="F3" s="3256" t="s">
        <v>2869</v>
      </c>
      <c r="G3" s="3256" t="s">
        <v>2630</v>
      </c>
    </row>
    <row r="4" spans="1:7" ht="14.2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4.2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4.2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4.2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4.2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4.2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4.2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4.2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4.2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4.2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4.2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11" t="s">
        <v>3233</v>
      </c>
      <c r="B1" s="3811"/>
      <c r="C1" s="3811"/>
      <c r="D1" s="3811"/>
      <c r="E1" s="3811"/>
      <c r="F1" s="3812"/>
    </row>
    <row r="2" spans="1:6">
      <c r="A2" s="3291" t="s">
        <v>3234</v>
      </c>
      <c r="B2" s="3292"/>
      <c r="C2" s="3292"/>
      <c r="D2" s="3292"/>
      <c r="E2" s="3292"/>
      <c r="F2" s="3292"/>
    </row>
    <row r="3" spans="1:6">
      <c r="A3" s="3291" t="s">
        <v>3235</v>
      </c>
      <c r="B3" s="3292"/>
      <c r="C3" s="3292"/>
      <c r="D3" s="3292"/>
      <c r="E3" s="3292"/>
      <c r="F3" s="3293" t="s">
        <v>3236</v>
      </c>
    </row>
    <row r="4" spans="1:6">
      <c r="A4" s="3294" t="s">
        <v>669</v>
      </c>
      <c r="B4" s="3294" t="s">
        <v>670</v>
      </c>
      <c r="C4" s="3294" t="s">
        <v>21</v>
      </c>
      <c r="D4" s="3294" t="s">
        <v>671</v>
      </c>
      <c r="E4" s="3294" t="s">
        <v>3</v>
      </c>
      <c r="F4" s="3294" t="s">
        <v>3237</v>
      </c>
    </row>
    <row r="5" spans="1:6">
      <c r="A5" s="3295" t="s">
        <v>672</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45064</v>
      </c>
      <c r="B1" s="3210" t="s">
        <v>2839</v>
      </c>
      <c r="C1" s="3211"/>
      <c r="D1" s="3211"/>
      <c r="E1" s="3211"/>
      <c r="F1" s="3211"/>
      <c r="G1" s="3211"/>
      <c r="H1" s="3211"/>
      <c r="I1" s="3211"/>
      <c r="J1" s="3165"/>
      <c r="K1" s="3211" t="s">
        <v>454</v>
      </c>
      <c r="L1" s="3211"/>
      <c r="M1" s="3211"/>
      <c r="N1" s="3211"/>
      <c r="O1" s="3211"/>
      <c r="P1" s="3211"/>
      <c r="Q1" s="3165"/>
      <c r="R1" s="3813" t="s">
        <v>456</v>
      </c>
      <c r="S1" s="3814"/>
      <c r="T1" s="3814"/>
      <c r="U1" s="3814"/>
      <c r="V1" s="3814"/>
      <c r="W1" s="3814"/>
      <c r="X1" s="3165"/>
      <c r="Y1" s="3813" t="s">
        <v>457</v>
      </c>
      <c r="Z1" s="3814"/>
      <c r="AA1" s="3814"/>
      <c r="AB1" s="3814"/>
      <c r="AC1" s="3814"/>
      <c r="AD1" s="3814"/>
    </row>
    <row r="2" spans="1:30"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2.75">
      <c r="A3" s="3149" t="s">
        <v>2818</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3370</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3371</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3369</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3372</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3373</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3365</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3356</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2819</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2820</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2821</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2822</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2823</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3367</v>
      </c>
    </row>
    <row r="19" spans="1:30" s="3009" customFormat="1">
      <c r="I19" s="3208" t="s">
        <v>2824</v>
      </c>
    </row>
    <row r="20" spans="1:30" s="3009" customFormat="1"/>
    <row r="21" spans="1:30" s="3209" customFormat="1" ht="12.75">
      <c r="B21" s="3210" t="s">
        <v>2825</v>
      </c>
      <c r="C21" s="3211"/>
      <c r="D21" s="3211"/>
      <c r="E21" s="3211"/>
      <c r="F21" s="3211"/>
      <c r="G21" s="3211"/>
      <c r="H21" s="3211"/>
      <c r="I21" s="3211"/>
      <c r="J21" s="3165"/>
      <c r="K21" s="3211" t="s">
        <v>2826</v>
      </c>
      <c r="L21" s="3211"/>
      <c r="M21" s="3211"/>
      <c r="N21" s="3211"/>
      <c r="O21" s="3211"/>
      <c r="P21" s="3211"/>
      <c r="Q21" s="3165"/>
      <c r="R21" s="3813" t="s">
        <v>2827</v>
      </c>
      <c r="S21" s="3814"/>
      <c r="T21" s="3814"/>
      <c r="U21" s="3814"/>
      <c r="V21" s="3814"/>
      <c r="W21" s="3814"/>
      <c r="X21" s="3165"/>
      <c r="Y21" s="3813" t="s">
        <v>2828</v>
      </c>
      <c r="Z21" s="3814"/>
      <c r="AA21" s="3814"/>
      <c r="AB21" s="3814"/>
      <c r="AC21" s="3814"/>
      <c r="AD21" s="3814"/>
    </row>
    <row r="22" spans="1:30" s="3143" customFormat="1" ht="14.25" thickBot="1">
      <c r="B22" s="3144"/>
      <c r="C22" s="3145"/>
      <c r="D22" s="3146" t="s">
        <v>2829</v>
      </c>
      <c r="E22" s="3147" t="s">
        <v>2830</v>
      </c>
      <c r="F22" s="3147" t="s">
        <v>2831</v>
      </c>
      <c r="G22" s="3147" t="s">
        <v>2832</v>
      </c>
      <c r="H22" s="3147"/>
      <c r="I22" s="3147" t="s">
        <v>2833</v>
      </c>
      <c r="J22" s="3148"/>
      <c r="K22" s="3146" t="s">
        <v>2829</v>
      </c>
      <c r="L22" s="3147" t="s">
        <v>2830</v>
      </c>
      <c r="M22" s="3147" t="s">
        <v>2831</v>
      </c>
      <c r="N22" s="3147" t="s">
        <v>2832</v>
      </c>
      <c r="O22" s="3147"/>
      <c r="P22" s="3147" t="s">
        <v>2833</v>
      </c>
      <c r="Q22" s="3148"/>
      <c r="R22" s="3146" t="s">
        <v>2829</v>
      </c>
      <c r="S22" s="3147" t="s">
        <v>2830</v>
      </c>
      <c r="T22" s="3147" t="s">
        <v>2831</v>
      </c>
      <c r="U22" s="3147" t="s">
        <v>2832</v>
      </c>
      <c r="V22" s="3147"/>
      <c r="W22" s="3147" t="s">
        <v>2833</v>
      </c>
      <c r="X22" s="3148"/>
      <c r="Y22" s="3146" t="s">
        <v>2829</v>
      </c>
      <c r="Z22" s="3147" t="s">
        <v>2830</v>
      </c>
      <c r="AA22" s="3147" t="s">
        <v>2831</v>
      </c>
      <c r="AB22" s="3147" t="s">
        <v>2832</v>
      </c>
      <c r="AC22" s="3147"/>
      <c r="AD22" s="3147" t="s">
        <v>2833</v>
      </c>
    </row>
    <row r="23" spans="1:30" s="3161" customFormat="1" ht="12.75">
      <c r="A23" s="3149" t="s">
        <v>2834</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3370</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3371</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3369</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3372</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3373</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3366</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3356</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2835</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2836</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2837</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2838</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2823</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2" customFormat="1" ht="14.25" thickBot="1">
      <c r="B2" s="2173" t="s">
        <v>458</v>
      </c>
      <c r="C2" s="2173" t="s">
        <v>459</v>
      </c>
      <c r="D2" s="2174" t="s">
        <v>460</v>
      </c>
      <c r="E2" s="2174" t="s">
        <v>461</v>
      </c>
      <c r="F2" s="2173" t="s">
        <v>462</v>
      </c>
      <c r="G2" s="2175"/>
      <c r="I2" s="2173" t="s">
        <v>458</v>
      </c>
      <c r="J2" s="2174" t="s">
        <v>673</v>
      </c>
      <c r="K2" s="2174" t="s">
        <v>308</v>
      </c>
      <c r="L2" s="2173" t="s">
        <v>462</v>
      </c>
      <c r="N2" s="2173" t="s">
        <v>458</v>
      </c>
      <c r="O2" s="2174" t="s">
        <v>673</v>
      </c>
      <c r="P2" s="2174" t="s">
        <v>308</v>
      </c>
      <c r="Q2" s="2173" t="s">
        <v>462</v>
      </c>
      <c r="S2" s="2173" t="s">
        <v>458</v>
      </c>
      <c r="T2" s="2174" t="s">
        <v>673</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2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674</v>
      </c>
      <c r="B27" s="2206">
        <f t="shared" si="232"/>
        <v>419.31181600000002</v>
      </c>
      <c r="C27" s="2206">
        <f t="shared" si="233"/>
        <v>313.95436800000004</v>
      </c>
      <c r="D27" s="2206">
        <f t="shared" si="234"/>
        <v>313.95436800000004</v>
      </c>
      <c r="E27" s="2206">
        <f t="shared" si="235"/>
        <v>596.63028431999999</v>
      </c>
      <c r="F27" s="2206">
        <f t="shared" si="236"/>
        <v>274.74220703999998</v>
      </c>
      <c r="G27" s="381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45064</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2309</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zoomScaleNormal="100" workbookViewId="0">
      <selection activeCell="G46" sqref="G46"/>
    </sheetView>
  </sheetViews>
  <sheetFormatPr defaultRowHeight="12"/>
  <cols>
    <col min="1" max="2" width="20" style="3461" customWidth="1"/>
    <col min="3" max="3" width="7" style="3461" customWidth="1"/>
    <col min="4" max="4" width="14.375" style="3461" customWidth="1"/>
    <col min="5" max="5" width="10.25" style="3461" customWidth="1"/>
    <col min="6" max="6" width="10.875" style="3461" customWidth="1"/>
    <col min="7" max="7" width="7.875" style="3461" customWidth="1"/>
    <col min="8" max="9" width="20" style="3461" customWidth="1"/>
    <col min="10" max="10" width="12" style="3461" customWidth="1"/>
    <col min="11" max="11" width="13.5" style="3461" customWidth="1"/>
    <col min="12" max="12" width="10" style="3461" customWidth="1"/>
    <col min="13" max="13" width="20" style="3461" customWidth="1"/>
    <col min="14" max="14" width="10.125" style="3461" customWidth="1"/>
    <col min="15" max="15" width="20" style="3461" hidden="1" customWidth="1"/>
    <col min="16" max="16" width="9.625" style="3461" customWidth="1"/>
    <col min="17" max="17" width="9.5" style="3461" customWidth="1"/>
    <col min="18" max="18" width="5.75" style="3461" customWidth="1"/>
    <col min="19" max="19" width="8.75" style="3461" customWidth="1"/>
    <col min="20" max="22" width="20" style="3461" customWidth="1"/>
    <col min="23" max="16384" width="9" style="3461"/>
  </cols>
  <sheetData>
    <row r="1" spans="1:21">
      <c r="A1" s="3461" t="s">
        <v>3464</v>
      </c>
      <c r="B1" s="3461" t="s">
        <v>3465</v>
      </c>
      <c r="C1" s="3461" t="s">
        <v>3466</v>
      </c>
      <c r="D1" s="3461" t="s">
        <v>3467</v>
      </c>
      <c r="E1" s="3461" t="s">
        <v>3468</v>
      </c>
      <c r="F1" s="3461" t="s">
        <v>3469</v>
      </c>
      <c r="G1" s="3461" t="s">
        <v>3470</v>
      </c>
      <c r="H1" s="3461" t="s">
        <v>3471</v>
      </c>
      <c r="I1" s="3461" t="s">
        <v>3472</v>
      </c>
      <c r="J1" s="3461" t="s">
        <v>3473</v>
      </c>
      <c r="K1" s="3461" t="s">
        <v>3474</v>
      </c>
      <c r="L1" s="3461" t="s">
        <v>3548</v>
      </c>
      <c r="M1" s="3461" t="s">
        <v>3475</v>
      </c>
      <c r="N1" s="3461" t="s">
        <v>3476</v>
      </c>
      <c r="O1" s="3461" t="s">
        <v>3477</v>
      </c>
      <c r="P1" s="3461" t="s">
        <v>3478</v>
      </c>
      <c r="Q1" s="3461" t="s">
        <v>3479</v>
      </c>
      <c r="R1" s="3461" t="s">
        <v>3480</v>
      </c>
      <c r="S1" s="3461" t="s">
        <v>3481</v>
      </c>
      <c r="T1" s="3461" t="s">
        <v>3482</v>
      </c>
      <c r="U1" s="3461" t="s">
        <v>3483</v>
      </c>
    </row>
    <row r="2" spans="1:21">
      <c r="A2" s="3461" t="s">
        <v>3484</v>
      </c>
      <c r="B2" s="3461" t="s">
        <v>3485</v>
      </c>
      <c r="C2" s="3461" t="s">
        <v>3486</v>
      </c>
      <c r="D2" s="3461" t="s">
        <v>3487</v>
      </c>
      <c r="E2" s="3461">
        <v>59523.360000000001</v>
      </c>
      <c r="F2" s="3461">
        <v>130951.38</v>
      </c>
      <c r="G2" s="3461">
        <v>2.2000000000000002</v>
      </c>
      <c r="H2" s="3461" t="s">
        <v>3488</v>
      </c>
      <c r="I2" s="3461" t="s">
        <v>3490</v>
      </c>
      <c r="J2" s="3461" t="s">
        <v>3490</v>
      </c>
      <c r="K2" s="3461">
        <v>0</v>
      </c>
      <c r="L2" s="3462">
        <v>45039.000497685185</v>
      </c>
      <c r="M2" s="3461" t="s">
        <v>3490</v>
      </c>
      <c r="N2" s="3461">
        <v>188205.82</v>
      </c>
      <c r="O2" s="3461">
        <v>2107.92</v>
      </c>
      <c r="P2" s="3461">
        <v>2107.92</v>
      </c>
      <c r="Q2" s="3461">
        <v>14372</v>
      </c>
      <c r="R2" s="3461">
        <v>0</v>
      </c>
      <c r="S2" s="3461" t="s">
        <v>3491</v>
      </c>
      <c r="T2" s="3461" t="s">
        <v>3489</v>
      </c>
      <c r="U2" s="3461" t="s">
        <v>3490</v>
      </c>
    </row>
    <row r="3" spans="1:21" s="3465" customFormat="1">
      <c r="A3" s="3465" t="s">
        <v>3492</v>
      </c>
      <c r="B3" s="3465" t="s">
        <v>3493</v>
      </c>
      <c r="C3" s="3465" t="s">
        <v>3486</v>
      </c>
      <c r="D3" s="3465" t="s">
        <v>3487</v>
      </c>
      <c r="E3" s="3465">
        <v>40082.199999999997</v>
      </c>
      <c r="F3" s="3465">
        <v>60123.3</v>
      </c>
      <c r="G3" s="3465">
        <v>1.5</v>
      </c>
      <c r="H3" s="3465" t="s">
        <v>3494</v>
      </c>
      <c r="I3" s="3465" t="s">
        <v>3490</v>
      </c>
      <c r="J3" s="3465" t="s">
        <v>3490</v>
      </c>
      <c r="K3" s="3465">
        <v>0</v>
      </c>
      <c r="L3" s="3466">
        <v>44550.000497685185</v>
      </c>
      <c r="M3" s="3465" t="s">
        <v>3495</v>
      </c>
      <c r="N3" s="3465">
        <v>81924.009999999995</v>
      </c>
      <c r="O3" s="3465">
        <v>1362.6</v>
      </c>
      <c r="P3" s="3465">
        <v>1362.6</v>
      </c>
      <c r="Q3" s="3465">
        <v>13626</v>
      </c>
      <c r="R3" s="3465">
        <v>0</v>
      </c>
      <c r="S3" s="3465">
        <v>50</v>
      </c>
      <c r="T3" s="3465" t="s">
        <v>3489</v>
      </c>
      <c r="U3" s="3465" t="s">
        <v>3490</v>
      </c>
    </row>
    <row r="4" spans="1:21" s="3467" customFormat="1">
      <c r="A4" s="3467" t="s">
        <v>3496</v>
      </c>
      <c r="B4" s="3467" t="s">
        <v>3497</v>
      </c>
      <c r="C4" s="3467" t="s">
        <v>3490</v>
      </c>
      <c r="D4" s="3467" t="s">
        <v>3498</v>
      </c>
      <c r="E4" s="3467">
        <v>47891.57</v>
      </c>
      <c r="F4" s="3467">
        <v>105361.45</v>
      </c>
      <c r="G4" s="3467" t="s">
        <v>3499</v>
      </c>
      <c r="H4" s="3467" t="s">
        <v>3500</v>
      </c>
      <c r="I4" s="3467" t="s">
        <v>3490</v>
      </c>
      <c r="J4" s="3467" t="s">
        <v>3490</v>
      </c>
      <c r="K4" s="3467">
        <v>0</v>
      </c>
      <c r="L4" s="3468">
        <v>44410.000497685185</v>
      </c>
      <c r="M4" s="3467" t="s">
        <v>3501</v>
      </c>
      <c r="N4" s="3467">
        <v>91664.46</v>
      </c>
      <c r="O4" s="3467">
        <v>1276</v>
      </c>
      <c r="P4" s="3467">
        <v>1276</v>
      </c>
      <c r="Q4" s="3467">
        <v>8700</v>
      </c>
      <c r="R4" s="3467">
        <v>0</v>
      </c>
      <c r="S4" s="3467" t="s">
        <v>3502</v>
      </c>
      <c r="T4" s="3467" t="s">
        <v>3489</v>
      </c>
      <c r="U4" s="3467" t="s">
        <v>3490</v>
      </c>
    </row>
    <row r="5" spans="1:21" s="3469" customFormat="1">
      <c r="A5" s="3469" t="s">
        <v>3503</v>
      </c>
      <c r="B5" s="3469" t="s">
        <v>3504</v>
      </c>
      <c r="C5" s="3469" t="s">
        <v>3505</v>
      </c>
      <c r="D5" s="3469" t="s">
        <v>3498</v>
      </c>
      <c r="E5" s="3469">
        <v>72673.490000000005</v>
      </c>
      <c r="F5" s="3469">
        <v>159882</v>
      </c>
      <c r="G5" s="3469" t="s">
        <v>3499</v>
      </c>
      <c r="H5" s="3469" t="s">
        <v>3500</v>
      </c>
      <c r="I5" s="3469" t="s">
        <v>3506</v>
      </c>
      <c r="J5" s="3469" t="s">
        <v>3507</v>
      </c>
      <c r="K5" s="3469">
        <v>0</v>
      </c>
      <c r="L5" s="3470">
        <v>44189.000497685185</v>
      </c>
      <c r="M5" s="3469" t="s">
        <v>3508</v>
      </c>
      <c r="N5" s="3469">
        <v>252613.56</v>
      </c>
      <c r="O5" s="3469">
        <v>2317.34</v>
      </c>
      <c r="P5" s="3469">
        <v>2317.34</v>
      </c>
      <c r="Q5" s="3469">
        <v>15800</v>
      </c>
      <c r="R5" s="3469">
        <v>0</v>
      </c>
      <c r="S5" s="3469" t="s">
        <v>3509</v>
      </c>
      <c r="T5" s="3469" t="s">
        <v>3489</v>
      </c>
      <c r="U5" s="3469" t="s">
        <v>3490</v>
      </c>
    </row>
    <row r="6" spans="1:21" s="3465" customFormat="1">
      <c r="A6" s="3465" t="s">
        <v>3510</v>
      </c>
      <c r="B6" s="3465" t="s">
        <v>3511</v>
      </c>
      <c r="C6" s="3465" t="s">
        <v>3512</v>
      </c>
      <c r="D6" s="3465" t="s">
        <v>3513</v>
      </c>
      <c r="E6" s="3465">
        <v>43870.1</v>
      </c>
      <c r="F6" s="3465">
        <v>109675.25</v>
      </c>
      <c r="G6" s="3465" t="s">
        <v>3514</v>
      </c>
      <c r="H6" s="3465" t="s">
        <v>3500</v>
      </c>
      <c r="I6" s="3465" t="s">
        <v>3506</v>
      </c>
      <c r="J6" s="3465" t="s">
        <v>3507</v>
      </c>
      <c r="K6" s="3465">
        <v>0</v>
      </c>
      <c r="L6" s="3466">
        <v>44187.000497685185</v>
      </c>
      <c r="M6" s="3465" t="s">
        <v>3515</v>
      </c>
      <c r="N6" s="3465">
        <v>148061.57999999999</v>
      </c>
      <c r="O6" s="3465">
        <v>2250</v>
      </c>
      <c r="P6" s="3465">
        <v>2250</v>
      </c>
      <c r="Q6" s="3465">
        <v>13500</v>
      </c>
      <c r="R6" s="3465">
        <v>0</v>
      </c>
      <c r="S6" s="3465" t="s">
        <v>3502</v>
      </c>
      <c r="T6" s="3465" t="s">
        <v>3489</v>
      </c>
      <c r="U6" s="3465" t="s">
        <v>3490</v>
      </c>
    </row>
    <row r="7" spans="1:21">
      <c r="A7" s="3461" t="s">
        <v>3516</v>
      </c>
      <c r="B7" s="3461" t="s">
        <v>3517</v>
      </c>
      <c r="C7" s="3461" t="s">
        <v>3486</v>
      </c>
      <c r="D7" s="3461" t="s">
        <v>3513</v>
      </c>
      <c r="E7" s="3461">
        <v>47891.78</v>
      </c>
      <c r="F7" s="3461">
        <v>108059</v>
      </c>
      <c r="G7" s="3461" t="s">
        <v>3518</v>
      </c>
      <c r="H7" s="3461" t="s">
        <v>3519</v>
      </c>
      <c r="I7" s="3461" t="s">
        <v>3520</v>
      </c>
      <c r="J7" s="3461" t="s">
        <v>3490</v>
      </c>
      <c r="K7" s="3461">
        <v>103979</v>
      </c>
      <c r="L7" s="3462">
        <v>43720.000497685185</v>
      </c>
      <c r="M7" s="3461" t="s">
        <v>3521</v>
      </c>
      <c r="N7" s="3461">
        <v>151283</v>
      </c>
      <c r="O7" s="3461">
        <v>2105.9</v>
      </c>
      <c r="P7" s="3461">
        <v>2105.9</v>
      </c>
      <c r="Q7" s="3461">
        <v>14000</v>
      </c>
      <c r="R7" s="3461">
        <v>0</v>
      </c>
      <c r="S7" s="3461" t="s">
        <v>3522</v>
      </c>
      <c r="T7" s="3461">
        <v>29000</v>
      </c>
      <c r="U7" s="3461">
        <v>15000</v>
      </c>
    </row>
    <row r="8" spans="1:21">
      <c r="A8" s="3461" t="s">
        <v>3523</v>
      </c>
      <c r="B8" s="3461" t="s">
        <v>3524</v>
      </c>
      <c r="C8" s="3461" t="s">
        <v>3486</v>
      </c>
      <c r="D8" s="3461" t="s">
        <v>3513</v>
      </c>
      <c r="E8" s="3461">
        <v>41000.75</v>
      </c>
      <c r="F8" s="3461">
        <v>102502</v>
      </c>
      <c r="G8" s="3461" t="s">
        <v>3518</v>
      </c>
      <c r="H8" s="3461" t="s">
        <v>3500</v>
      </c>
      <c r="I8" s="3461" t="s">
        <v>3520</v>
      </c>
      <c r="J8" s="3461" t="s">
        <v>3490</v>
      </c>
      <c r="K8" s="3461">
        <v>102502</v>
      </c>
      <c r="L8" s="3462">
        <v>44237.000497685185</v>
      </c>
      <c r="M8" s="3461" t="s">
        <v>3525</v>
      </c>
      <c r="N8" s="3461">
        <v>146578</v>
      </c>
      <c r="O8" s="3461">
        <v>2383.34</v>
      </c>
      <c r="P8" s="3461">
        <v>2383.34</v>
      </c>
      <c r="Q8" s="3461">
        <v>14300</v>
      </c>
      <c r="R8" s="3461">
        <v>0</v>
      </c>
      <c r="S8" s="3461" t="s">
        <v>3522</v>
      </c>
      <c r="T8" s="3461" t="s">
        <v>3489</v>
      </c>
      <c r="U8" s="3461" t="s">
        <v>3490</v>
      </c>
    </row>
    <row r="9" spans="1:21">
      <c r="A9" s="3461" t="s">
        <v>3526</v>
      </c>
      <c r="B9" s="3461" t="s">
        <v>3527</v>
      </c>
      <c r="C9" s="3461" t="s">
        <v>3486</v>
      </c>
      <c r="D9" s="3461" t="s">
        <v>3513</v>
      </c>
      <c r="E9" s="3461">
        <v>62136.68</v>
      </c>
      <c r="F9" s="3461">
        <v>147241</v>
      </c>
      <c r="G9" s="3461" t="s">
        <v>3518</v>
      </c>
      <c r="H9" s="3461" t="s">
        <v>3519</v>
      </c>
      <c r="I9" s="3461" t="s">
        <v>3528</v>
      </c>
      <c r="J9" s="3461" t="s">
        <v>3490</v>
      </c>
      <c r="K9" s="3461">
        <v>141841</v>
      </c>
      <c r="L9" s="3462">
        <v>44190.000497685185</v>
      </c>
      <c r="M9" s="3461" t="s">
        <v>3529</v>
      </c>
      <c r="N9" s="3461">
        <v>206138</v>
      </c>
      <c r="O9" s="3461">
        <v>2211.66</v>
      </c>
      <c r="P9" s="3461">
        <v>2211.66</v>
      </c>
      <c r="Q9" s="3461">
        <v>14000</v>
      </c>
      <c r="R9" s="3461">
        <v>0</v>
      </c>
      <c r="S9" s="3461" t="s">
        <v>3522</v>
      </c>
      <c r="T9" s="3461">
        <v>29000</v>
      </c>
      <c r="U9" s="3461">
        <v>15000</v>
      </c>
    </row>
    <row r="10" spans="1:21" s="3463" customFormat="1">
      <c r="A10" s="3463" t="s">
        <v>3530</v>
      </c>
      <c r="B10" s="3463" t="s">
        <v>3531</v>
      </c>
      <c r="C10" s="3463" t="s">
        <v>3505</v>
      </c>
      <c r="D10" s="3463" t="s">
        <v>3498</v>
      </c>
      <c r="E10" s="3463">
        <v>40285.32</v>
      </c>
      <c r="F10" s="3463">
        <v>80571</v>
      </c>
      <c r="G10" s="3463" t="s">
        <v>3532</v>
      </c>
      <c r="H10" s="3463" t="s">
        <v>3500</v>
      </c>
      <c r="I10" s="3463" t="s">
        <v>3490</v>
      </c>
      <c r="J10" s="3463" t="s">
        <v>3490</v>
      </c>
      <c r="K10" s="3463">
        <v>0</v>
      </c>
      <c r="L10" s="3464">
        <v>43532.000497685185</v>
      </c>
      <c r="M10" s="3463" t="s">
        <v>3533</v>
      </c>
      <c r="N10" s="3463">
        <v>127302.2</v>
      </c>
      <c r="O10" s="3463">
        <v>2106.6799999999998</v>
      </c>
      <c r="P10" s="3463">
        <v>2106.6799999999998</v>
      </c>
      <c r="Q10" s="3463">
        <v>15800</v>
      </c>
      <c r="R10" s="3463">
        <v>0</v>
      </c>
      <c r="S10" s="3463" t="s">
        <v>3509</v>
      </c>
      <c r="T10" s="3463" t="s">
        <v>3489</v>
      </c>
      <c r="U10" s="3463" t="s">
        <v>3490</v>
      </c>
    </row>
    <row r="11" spans="1:21">
      <c r="A11" s="3461" t="s">
        <v>3534</v>
      </c>
      <c r="B11" s="3461" t="s">
        <v>3535</v>
      </c>
      <c r="C11" s="3461" t="s">
        <v>3505</v>
      </c>
      <c r="D11" s="3461" t="s">
        <v>3498</v>
      </c>
      <c r="E11" s="3461">
        <v>26700</v>
      </c>
      <c r="F11" s="3461">
        <v>53400</v>
      </c>
      <c r="G11" s="3461" t="s">
        <v>3536</v>
      </c>
      <c r="H11" s="3461" t="s">
        <v>3500</v>
      </c>
      <c r="I11" s="3461" t="s">
        <v>3490</v>
      </c>
      <c r="J11" s="3461" t="s">
        <v>3490</v>
      </c>
      <c r="K11" s="3461">
        <v>0</v>
      </c>
      <c r="L11" s="3462">
        <v>42384.000497685185</v>
      </c>
      <c r="M11" s="3461" t="s">
        <v>3490</v>
      </c>
      <c r="N11" s="3461">
        <v>80500</v>
      </c>
      <c r="O11" s="3461">
        <v>1134.28</v>
      </c>
      <c r="P11" s="3461">
        <v>2009.99</v>
      </c>
      <c r="Q11" s="3461">
        <v>15075</v>
      </c>
      <c r="R11" s="3461">
        <v>77.2</v>
      </c>
      <c r="S11" s="3461" t="s">
        <v>3509</v>
      </c>
      <c r="T11" s="3461" t="s">
        <v>3489</v>
      </c>
      <c r="U11" s="3461" t="s">
        <v>3490</v>
      </c>
    </row>
    <row r="12" spans="1:21">
      <c r="A12" s="3461" t="s">
        <v>3537</v>
      </c>
      <c r="B12" s="3461" t="s">
        <v>3538</v>
      </c>
      <c r="C12" s="3461" t="s">
        <v>3539</v>
      </c>
      <c r="D12" s="3461" t="s">
        <v>3513</v>
      </c>
      <c r="E12" s="3461">
        <v>46188.11</v>
      </c>
      <c r="F12" s="3461">
        <v>129326.7</v>
      </c>
      <c r="G12" s="3461">
        <v>2.8</v>
      </c>
      <c r="H12" s="3461" t="s">
        <v>3540</v>
      </c>
      <c r="I12" s="3461" t="s">
        <v>3490</v>
      </c>
      <c r="J12" s="3461" t="s">
        <v>3490</v>
      </c>
      <c r="K12" s="3461">
        <v>0</v>
      </c>
      <c r="L12" s="3462">
        <v>40164.000497685185</v>
      </c>
      <c r="M12" s="3461" t="s">
        <v>3541</v>
      </c>
      <c r="N12" s="3461">
        <v>304000</v>
      </c>
      <c r="O12" s="3461">
        <v>1061.01</v>
      </c>
      <c r="P12" s="3461">
        <v>4387.8500000000004</v>
      </c>
      <c r="Q12" s="3461">
        <v>23506</v>
      </c>
      <c r="R12" s="3461">
        <v>313.55</v>
      </c>
      <c r="S12" s="3461" t="s">
        <v>3542</v>
      </c>
      <c r="T12" s="3461" t="s">
        <v>3489</v>
      </c>
      <c r="U12" s="3461" t="s">
        <v>3490</v>
      </c>
    </row>
    <row r="13" spans="1:21">
      <c r="A13" s="3461" t="s">
        <v>3543</v>
      </c>
      <c r="B13" s="3461" t="s">
        <v>3544</v>
      </c>
      <c r="C13" s="3461" t="s">
        <v>3539</v>
      </c>
      <c r="D13" s="3461" t="s">
        <v>3545</v>
      </c>
      <c r="E13" s="3461">
        <v>48896.6</v>
      </c>
      <c r="F13" s="3461">
        <v>244483</v>
      </c>
      <c r="G13" s="3461">
        <v>5</v>
      </c>
      <c r="H13" s="3461" t="s">
        <v>3546</v>
      </c>
      <c r="I13" s="3461" t="s">
        <v>3490</v>
      </c>
      <c r="J13" s="3461" t="s">
        <v>3490</v>
      </c>
      <c r="K13" s="3461">
        <v>0</v>
      </c>
      <c r="L13" s="3462">
        <v>40406.000497685185</v>
      </c>
      <c r="M13" s="3461" t="s">
        <v>3490</v>
      </c>
      <c r="N13" s="3461">
        <v>156000</v>
      </c>
      <c r="O13" s="3461">
        <v>2106.4899999999998</v>
      </c>
      <c r="P13" s="3461">
        <v>2126.94</v>
      </c>
      <c r="Q13" s="3461">
        <v>6381</v>
      </c>
      <c r="R13" s="3461">
        <v>0.97</v>
      </c>
      <c r="S13" s="3461" t="s">
        <v>3547</v>
      </c>
      <c r="T13" s="3461" t="s">
        <v>3489</v>
      </c>
      <c r="U13" s="3461" t="s">
        <v>3490</v>
      </c>
    </row>
  </sheetData>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9" sqref="I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925</v>
      </c>
      <c r="B2" s="3499" t="s">
        <v>926</v>
      </c>
      <c r="C2" s="3499" t="s">
        <v>927</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922</v>
      </c>
      <c r="E3" s="854" t="s">
        <v>928</v>
      </c>
      <c r="F3" s="854" t="s">
        <v>922</v>
      </c>
      <c r="G3" s="854" t="s">
        <v>923</v>
      </c>
      <c r="H3" s="854" t="s">
        <v>922</v>
      </c>
      <c r="I3" s="854" t="s">
        <v>923</v>
      </c>
    </row>
    <row r="4" spans="1:9" ht="15">
      <c r="A4" s="1505" t="str">
        <f>项目基本情况!S2</f>
        <v>北京市337房地产</v>
      </c>
      <c r="B4" s="854">
        <f>项目基本情况!C17</f>
        <v>87440.459999999992</v>
      </c>
      <c r="C4" s="854">
        <f>项目基本情况!C18</f>
        <v>30808.7</v>
      </c>
      <c r="D4" s="854">
        <f ca="1">结果表!D118</f>
        <v>4278</v>
      </c>
      <c r="E4" s="854">
        <f ca="1">结果表!E118</f>
        <v>489</v>
      </c>
      <c r="F4" s="854">
        <f ca="1">结果表!F118</f>
        <v>36516</v>
      </c>
      <c r="G4" s="854">
        <f ca="1">结果表!G118</f>
        <v>4176</v>
      </c>
      <c r="H4" s="854">
        <f ca="1">结果表!H118</f>
        <v>40794</v>
      </c>
      <c r="I4" s="854">
        <f ca="1">结果表!I118</f>
        <v>4665</v>
      </c>
    </row>
    <row r="5" spans="1:9" ht="30" customHeight="1">
      <c r="A5" s="3494" t="s">
        <v>924</v>
      </c>
      <c r="B5" s="3494"/>
      <c r="C5" s="3494"/>
      <c r="D5" s="3494" t="str">
        <f ca="1">结果表!D119</f>
        <v>肆仟贰佰柒拾捌万元整</v>
      </c>
      <c r="E5" s="3494"/>
      <c r="F5" s="3494" t="str">
        <f ca="1">结果表!F119</f>
        <v>叁亿陆仟伍佰壹拾陆万元整</v>
      </c>
      <c r="G5" s="3494"/>
      <c r="H5" s="3494" t="str">
        <f ca="1">结果表!H119</f>
        <v>肆亿零柒佰玖拾肆万元整</v>
      </c>
      <c r="I5" s="3494"/>
    </row>
    <row r="6" spans="1:9" ht="15.75">
      <c r="A6" s="3493" t="str">
        <f>结果表!A120</f>
        <v>估价师知悉的法定优先受偿款</v>
      </c>
      <c r="B6" s="3493"/>
      <c r="C6" s="3493"/>
      <c r="D6" s="3493">
        <f>结果表!D120</f>
        <v>0</v>
      </c>
      <c r="E6" s="3493"/>
      <c r="F6" s="3493"/>
      <c r="G6" s="3493"/>
      <c r="H6" s="3493"/>
      <c r="I6" s="3493"/>
    </row>
    <row r="7" spans="1:9" ht="15">
      <c r="A7" s="3494" t="s">
        <v>924</v>
      </c>
      <c r="B7" s="3494"/>
      <c r="C7" s="3494"/>
      <c r="D7" s="3495" t="str">
        <f>结果表!D121</f>
        <v>零元整</v>
      </c>
      <c r="E7" s="3496"/>
      <c r="F7" s="3496"/>
      <c r="G7" s="3496"/>
      <c r="H7" s="3496"/>
      <c r="I7" s="3497"/>
    </row>
    <row r="8" spans="1:9" ht="15.75">
      <c r="A8" s="3493" t="str">
        <f>结果表!A122</f>
        <v>房地产抵押价值</v>
      </c>
      <c r="B8" s="3493"/>
      <c r="C8" s="3493"/>
      <c r="D8" s="3493">
        <f ca="1">结果表!D122</f>
        <v>40794</v>
      </c>
      <c r="E8" s="3493"/>
      <c r="F8" s="3493"/>
      <c r="G8" s="3493"/>
      <c r="H8" s="3493"/>
      <c r="I8" s="3493"/>
    </row>
    <row r="9" spans="1:9" ht="15">
      <c r="A9" s="3494" t="s">
        <v>924</v>
      </c>
      <c r="B9" s="3494"/>
      <c r="C9" s="3494"/>
      <c r="D9" s="3494" t="str">
        <f ca="1">结果表!D123</f>
        <v>肆亿零柒佰玖拾肆万元整</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924</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924</v>
      </c>
      <c r="B13" s="3491"/>
      <c r="C13" s="3491"/>
      <c r="D13" s="3491" t="e">
        <f>结果表!D127</f>
        <v>#VALUE!</v>
      </c>
      <c r="E13" s="3491"/>
      <c r="F13" s="3491"/>
      <c r="G13" s="3491"/>
      <c r="H13" s="3491"/>
      <c r="I13" s="3491"/>
    </row>
    <row r="14" spans="1:9" ht="15" thickTop="1">
      <c r="A14" s="3492" t="s">
        <v>929</v>
      </c>
      <c r="B14" s="3492"/>
      <c r="C14" s="3492"/>
      <c r="D14" s="3492"/>
      <c r="E14" s="3492"/>
      <c r="F14" s="3492"/>
      <c r="G14" s="3492"/>
      <c r="H14" s="3492"/>
      <c r="I14" s="3492"/>
    </row>
    <row r="16" spans="1:9" ht="18.75">
      <c r="A16" s="1506" t="s">
        <v>912</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946</v>
      </c>
      <c r="B1" s="3506"/>
      <c r="C1" s="3506"/>
      <c r="D1" s="3506"/>
    </row>
    <row r="2" spans="1:4" ht="18">
      <c r="A2" s="3507" t="s">
        <v>930</v>
      </c>
      <c r="B2" s="3507"/>
      <c r="C2" s="3507"/>
      <c r="D2" s="3507"/>
    </row>
    <row r="3" spans="1:4" ht="18.75">
      <c r="A3" s="1509" t="s">
        <v>931</v>
      </c>
      <c r="B3" s="1509" t="s">
        <v>932</v>
      </c>
      <c r="C3" s="1509" t="s">
        <v>933</v>
      </c>
      <c r="D3" s="1509" t="s">
        <v>934</v>
      </c>
    </row>
    <row r="4" spans="1:4" ht="56.25" customHeight="1">
      <c r="A4" s="1510" t="str">
        <f>项目基本情况!B4</f>
        <v>吴薇</v>
      </c>
      <c r="B4" s="1511">
        <f ca="1">项目基本情况!C4</f>
        <v>1419970001</v>
      </c>
      <c r="C4" s="1512"/>
      <c r="D4" s="1513" t="s">
        <v>935</v>
      </c>
    </row>
    <row r="5" spans="1:4" ht="56.25" customHeight="1">
      <c r="A5" s="1510" t="str">
        <f>项目基本情况!D4</f>
        <v>崔锴</v>
      </c>
      <c r="B5" s="1511">
        <f ca="1">项目基本情况!E4</f>
        <v>1120100036</v>
      </c>
      <c r="C5" s="1514"/>
      <c r="D5" s="1513" t="s">
        <v>935</v>
      </c>
    </row>
    <row r="6" spans="1:4" ht="18">
      <c r="A6" s="3507" t="s">
        <v>936</v>
      </c>
      <c r="B6" s="3507"/>
      <c r="C6" s="3507"/>
      <c r="D6" s="3507"/>
    </row>
    <row r="7" spans="1:4" ht="18.75">
      <c r="A7" s="1509" t="s">
        <v>931</v>
      </c>
      <c r="B7" s="1511" t="s">
        <v>937</v>
      </c>
      <c r="C7" s="1509" t="s">
        <v>933</v>
      </c>
      <c r="D7" s="1509" t="s">
        <v>934</v>
      </c>
    </row>
    <row r="8" spans="1:4" ht="56.25" customHeight="1">
      <c r="A8" s="1515" t="s">
        <v>390</v>
      </c>
      <c r="B8" s="1515" t="s">
        <v>0</v>
      </c>
      <c r="C8" s="1512"/>
      <c r="D8" s="1513" t="s">
        <v>935</v>
      </c>
    </row>
    <row r="9" spans="1:4">
      <c r="A9" s="675"/>
      <c r="B9" s="675"/>
      <c r="C9" s="675"/>
      <c r="D9" s="675"/>
    </row>
    <row r="10" spans="1:4" ht="18.75">
      <c r="A10" s="1516" t="s">
        <v>938</v>
      </c>
      <c r="B10" s="675"/>
      <c r="C10" s="675"/>
      <c r="D10" s="675"/>
    </row>
    <row r="11" spans="1:4" ht="30" customHeight="1">
      <c r="A11" s="3508" t="s">
        <v>939</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0" t="str">
        <f>IF(项目基本情况!B8="抵押","4.本次评估估价师所知悉的法定优先受偿款情况说明如下：","——")</f>
        <v>4.本次评估估价师所知悉的法定优先受偿款情况说明如下：</v>
      </c>
      <c r="B14" s="3505"/>
      <c r="C14" s="3505"/>
      <c r="D14" s="3505"/>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940</v>
      </c>
      <c r="B16" s="3502"/>
      <c r="C16" s="3502"/>
      <c r="D16" s="3502"/>
    </row>
    <row r="17" spans="1:4" ht="144" customHeight="1">
      <c r="A17" s="3502" t="s">
        <v>941</v>
      </c>
      <c r="B17" s="3502"/>
      <c r="C17" s="3502"/>
      <c r="D17" s="3502"/>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942</v>
      </c>
      <c r="B22" s="3504"/>
      <c r="C22" s="3504"/>
      <c r="D22" s="3504"/>
    </row>
    <row r="23" spans="1:4">
      <c r="A23" s="1517"/>
      <c r="B23" s="1489"/>
      <c r="C23" s="1489"/>
      <c r="D23" s="1489"/>
    </row>
    <row r="24" spans="1:4">
      <c r="A24" s="1517"/>
      <c r="B24" s="1489"/>
      <c r="C24" s="1489"/>
      <c r="D24" s="1489"/>
    </row>
    <row r="25" spans="1:4" ht="18.75">
      <c r="A25" s="1518" t="s">
        <v>943</v>
      </c>
    </row>
    <row r="26" spans="1:4" ht="18">
      <c r="A26" s="1487"/>
    </row>
    <row r="27" spans="1:4" ht="18.75">
      <c r="A27" s="1487" t="s">
        <v>944</v>
      </c>
    </row>
    <row r="30" spans="1:4" ht="18.75">
      <c r="D30" s="1518" t="s">
        <v>945</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947</v>
      </c>
    </row>
    <row r="3" spans="1:7">
      <c r="A3" s="1523" t="s">
        <v>55</v>
      </c>
      <c r="B3" s="1507" t="s">
        <v>948</v>
      </c>
      <c r="G3" s="1524"/>
    </row>
    <row r="4" spans="1:7">
      <c r="G4" s="1524"/>
    </row>
    <row r="5" spans="1:7">
      <c r="A5" s="1526" t="s">
        <v>46</v>
      </c>
      <c r="B5" s="1507" t="s">
        <v>949</v>
      </c>
      <c r="G5" s="1524"/>
    </row>
    <row r="6" spans="1:7">
      <c r="G6" s="1524"/>
    </row>
    <row r="7" spans="1:7">
      <c r="A7" s="1527" t="s">
        <v>108</v>
      </c>
      <c r="B7" s="1507" t="s">
        <v>950</v>
      </c>
      <c r="G7" s="1524"/>
    </row>
    <row r="8" spans="1:7">
      <c r="G8" s="1524"/>
    </row>
    <row r="9" spans="1:7">
      <c r="A9" s="1528" t="s">
        <v>47</v>
      </c>
      <c r="B9" s="1507" t="s">
        <v>951</v>
      </c>
    </row>
    <row r="11" spans="1:7">
      <c r="A11" s="1529" t="s">
        <v>48</v>
      </c>
      <c r="B11" s="1530" t="s">
        <v>45</v>
      </c>
    </row>
    <row r="13" spans="1:7">
      <c r="A13" s="1531" t="s">
        <v>952</v>
      </c>
    </row>
    <row r="15" spans="1:7" ht="13.5">
      <c r="A15" s="3514" t="s">
        <v>953</v>
      </c>
      <c r="B15" s="3509" t="s">
        <v>109</v>
      </c>
      <c r="C15" s="3510"/>
    </row>
    <row r="16" spans="1:7" ht="13.5">
      <c r="A16" s="3515"/>
      <c r="B16" s="3509" t="s">
        <v>42</v>
      </c>
      <c r="C16" s="3510"/>
    </row>
    <row r="17" spans="1:3" ht="13.5">
      <c r="A17" s="3515"/>
      <c r="B17" s="3512" t="s">
        <v>954</v>
      </c>
      <c r="C17" s="1532" t="s">
        <v>953</v>
      </c>
    </row>
    <row r="18" spans="1:3" ht="13.5">
      <c r="A18" s="3515"/>
      <c r="B18" s="3512"/>
      <c r="C18" s="1532" t="s">
        <v>955</v>
      </c>
    </row>
    <row r="19" spans="1:3" ht="13.5">
      <c r="A19" s="3515"/>
      <c r="B19" s="3512"/>
      <c r="C19" s="1532" t="s">
        <v>956</v>
      </c>
    </row>
    <row r="20" spans="1:3" ht="13.5">
      <c r="A20" s="3516"/>
      <c r="B20" s="3511" t="s">
        <v>957</v>
      </c>
      <c r="C20" s="3510"/>
    </row>
    <row r="21" spans="1:3" ht="13.5">
      <c r="A21" s="1533" t="s">
        <v>958</v>
      </c>
      <c r="B21" s="1534"/>
      <c r="C21" s="1535"/>
    </row>
    <row r="22" spans="1:3" ht="13.5">
      <c r="A22" s="3513" t="s">
        <v>959</v>
      </c>
      <c r="B22" s="3511" t="s">
        <v>960</v>
      </c>
      <c r="C22" s="3510"/>
    </row>
    <row r="23" spans="1:3" ht="13.5">
      <c r="A23" s="3513"/>
      <c r="B23" s="3511" t="s">
        <v>961</v>
      </c>
      <c r="C23" s="3510"/>
    </row>
    <row r="24" spans="1:3" ht="13.5">
      <c r="A24" s="3513"/>
      <c r="B24" s="3511" t="s">
        <v>962</v>
      </c>
      <c r="C24" s="3510"/>
    </row>
    <row r="25" spans="1:3" ht="13.5">
      <c r="A25" s="3513"/>
      <c r="B25" s="3512" t="s">
        <v>963</v>
      </c>
      <c r="C25" s="1532" t="s">
        <v>964</v>
      </c>
    </row>
    <row r="26" spans="1:3" ht="13.5">
      <c r="A26" s="3513"/>
      <c r="B26" s="3512"/>
      <c r="C26" s="1532" t="s">
        <v>965</v>
      </c>
    </row>
    <row r="27" spans="1:3" ht="13.5">
      <c r="A27" s="3513"/>
      <c r="B27" s="3512"/>
      <c r="C27" s="1532" t="s">
        <v>966</v>
      </c>
    </row>
    <row r="28" spans="1:3" ht="13.5">
      <c r="A28" s="3513"/>
      <c r="B28" s="3512"/>
      <c r="C28" s="1532" t="s">
        <v>967</v>
      </c>
    </row>
    <row r="29" spans="1:3" ht="13.5">
      <c r="A29" s="3513"/>
      <c r="B29" s="3512"/>
      <c r="C29" s="1532" t="s">
        <v>968</v>
      </c>
    </row>
    <row r="30" spans="1:3" ht="13.5">
      <c r="A30" s="3513"/>
      <c r="B30" s="3512"/>
      <c r="C30" s="1532" t="s">
        <v>969</v>
      </c>
    </row>
    <row r="31" spans="1:3" ht="13.5">
      <c r="A31" s="3513"/>
      <c r="B31" s="3512"/>
      <c r="C31" s="1532" t="s">
        <v>970</v>
      </c>
    </row>
    <row r="32" spans="1:3" ht="13.5">
      <c r="A32" s="3513"/>
      <c r="B32" s="3512"/>
      <c r="C32" s="1532" t="s">
        <v>971</v>
      </c>
    </row>
    <row r="33" spans="1:3" ht="13.5">
      <c r="A33" s="3513"/>
      <c r="B33" s="3512"/>
      <c r="C33" s="1532" t="s">
        <v>972</v>
      </c>
    </row>
    <row r="34" spans="1:3">
      <c r="A34" s="1536" t="s">
        <v>49</v>
      </c>
    </row>
    <row r="37" spans="1:3">
      <c r="A37" s="1536" t="s">
        <v>973</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45068</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f ca="1">IF(C6&lt;B2,"已过期",1120050019)</f>
        <v>1120050019</v>
      </c>
      <c r="C6" s="2345">
        <v>45410</v>
      </c>
      <c r="D6" s="2346" t="str">
        <f t="shared" ca="1" si="0"/>
        <v>王鹏（注册号：1120050019）</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f ca="1">IF(C13&lt;B2,"已过期",1120020033)</f>
        <v>1120020033</v>
      </c>
      <c r="C13" s="2345">
        <v>45375</v>
      </c>
      <c r="D13" s="2346" t="str">
        <f t="shared" ca="1" si="0"/>
        <v>刘敬东（注册号：1120020033）</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2156</v>
      </c>
      <c r="B17" s="3517"/>
      <c r="C17" s="3517"/>
      <c r="D17" s="3517"/>
      <c r="E17" s="3517"/>
      <c r="F17" s="3517"/>
      <c r="G17" s="3517"/>
      <c r="H17" s="3517"/>
    </row>
    <row r="18" spans="1:8" ht="24" customHeight="1">
      <c r="A18" s="3518" t="s">
        <v>2157</v>
      </c>
      <c r="B18" s="3518"/>
      <c r="C18" s="3518"/>
      <c r="D18" s="2343"/>
      <c r="E18" s="3519" t="s">
        <v>2158</v>
      </c>
      <c r="F18" s="3518"/>
      <c r="G18" s="3518"/>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2023-05-22T05:24:38Z</dcterms:modified>
</cp:coreProperties>
</file>