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252"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面积表" sheetId="69" state="hidden" r:id="rId42"/>
    <sheet name="Sheet2" sheetId="70" r:id="rId43"/>
    <sheet name="Sheet3" sheetId="71" r:id="rId44"/>
    <sheet name="Sheet4" sheetId="72" r:id="rId45"/>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44" i="68" l="1"/>
  <c r="Q43" i="68"/>
  <c r="Q42" i="68"/>
  <c r="Q41" i="68"/>
  <c r="Q40" i="68"/>
  <c r="Q39" i="68"/>
  <c r="Q38" i="68"/>
  <c r="Q37" i="68"/>
  <c r="Q36" i="68"/>
  <c r="Q35" i="68"/>
  <c r="Q34" i="68"/>
  <c r="Q33" i="68"/>
  <c r="Q32" i="68"/>
  <c r="Q31" i="68"/>
  <c r="Q30" i="68"/>
  <c r="Q29" i="68"/>
  <c r="Q28" i="68"/>
  <c r="Q27" i="68"/>
  <c r="Q26" i="68"/>
  <c r="Q25" i="68"/>
  <c r="Q24" i="68"/>
  <c r="Q23" i="68"/>
  <c r="Q22" i="68"/>
  <c r="Q21" i="68"/>
  <c r="Q20" i="68"/>
  <c r="Q19" i="68"/>
  <c r="Q18" i="68"/>
  <c r="Q17" i="68"/>
  <c r="Q16" i="68"/>
  <c r="Q15" i="68"/>
  <c r="Q14" i="68"/>
  <c r="Q13" i="68"/>
  <c r="Q12" i="68"/>
  <c r="Q11" i="68"/>
  <c r="Q10" i="68"/>
  <c r="Q9" i="68"/>
  <c r="Q8" i="68"/>
  <c r="Q7" i="68"/>
  <c r="Q6" i="68"/>
  <c r="Q5" i="68"/>
  <c r="Q4" i="68"/>
  <c r="Q3" i="68"/>
  <c r="Q2" i="68"/>
  <c r="B27" i="9" l="1"/>
  <c r="B30" i="9" s="1"/>
  <c r="D27" i="9" l="1"/>
  <c r="D30" i="9" s="1"/>
  <c r="I48" i="39"/>
  <c r="K13" i="3" l="1"/>
  <c r="I13" i="3"/>
  <c r="G48" i="39" l="1"/>
  <c r="E48" i="39"/>
  <c r="I9" i="39" l="1"/>
  <c r="G9" i="39"/>
  <c r="E9" i="39"/>
  <c r="I40" i="39"/>
  <c r="G40" i="39"/>
  <c r="E40" i="39"/>
  <c r="I7" i="39"/>
  <c r="G7" i="39"/>
  <c r="E7" i="39"/>
  <c r="C40" i="39"/>
  <c r="A6" i="1"/>
  <c r="A7" i="1"/>
  <c r="G1" i="15" s="1"/>
  <c r="F20" i="6"/>
  <c r="E20" i="6" s="1"/>
  <c r="D3" i="4"/>
  <c r="C1" i="65" s="1"/>
  <c r="B43" i="1"/>
  <c r="B41" i="1" s="1"/>
  <c r="F32" i="15"/>
  <c r="F33" i="15"/>
  <c r="BB13" i="3"/>
  <c r="BC13" i="3"/>
  <c r="BD13" i="3"/>
  <c r="BE13" i="3"/>
  <c r="BF13" i="3"/>
  <c r="BG13" i="3"/>
  <c r="BH13" i="3"/>
  <c r="BI13" i="3"/>
  <c r="BJ13" i="3"/>
  <c r="BK13" i="3"/>
  <c r="BO13" i="3"/>
  <c r="BM13" i="3"/>
  <c r="BN13" i="3"/>
  <c r="BP13" i="3"/>
  <c r="BQ13" i="3"/>
  <c r="BR13" i="3"/>
  <c r="BS13" i="3"/>
  <c r="BT13" i="3"/>
  <c r="BL13" i="3"/>
  <c r="BB16" i="3"/>
  <c r="BC16" i="3"/>
  <c r="BD16" i="3"/>
  <c r="BE16" i="3"/>
  <c r="BF16" i="3"/>
  <c r="BG16" i="3"/>
  <c r="BH16" i="3"/>
  <c r="BI16" i="3"/>
  <c r="BJ16" i="3"/>
  <c r="BK16" i="3"/>
  <c r="BM16" i="3"/>
  <c r="BN16" i="3"/>
  <c r="BO16" i="3"/>
  <c r="BP16" i="3"/>
  <c r="BQ16" i="3"/>
  <c r="BR16" i="3"/>
  <c r="BS16" i="3"/>
  <c r="BT16" i="3"/>
  <c r="BL16"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D251" i="3"/>
  <c r="BE251" i="3"/>
  <c r="BA251" i="3" s="1"/>
  <c r="AZ251" i="3" s="1"/>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L253" i="3"/>
  <c r="AZ253" i="3" s="1"/>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Q255" i="3"/>
  <c r="BR255" i="3"/>
  <c r="BL255" i="3" s="1"/>
  <c r="AZ255" i="3" s="1"/>
  <c r="BS255" i="3"/>
  <c r="BT255" i="3"/>
  <c r="BB256" i="3"/>
  <c r="BC256" i="3"/>
  <c r="BD256" i="3"/>
  <c r="BE256" i="3"/>
  <c r="BF256" i="3"/>
  <c r="BG256" i="3"/>
  <c r="BH256" i="3"/>
  <c r="BI256" i="3"/>
  <c r="BJ256" i="3"/>
  <c r="BK256" i="3"/>
  <c r="BA256" i="3" s="1"/>
  <c r="AZ256" i="3" s="1"/>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L257" i="3" s="1"/>
  <c r="AZ257" i="3" s="1"/>
  <c r="BQ257" i="3"/>
  <c r="BR257" i="3"/>
  <c r="BS257" i="3"/>
  <c r="BT257" i="3"/>
  <c r="BB258" i="3"/>
  <c r="BC258" i="3"/>
  <c r="BD258" i="3"/>
  <c r="BE258" i="3"/>
  <c r="BF258" i="3"/>
  <c r="BG258" i="3"/>
  <c r="BH258" i="3"/>
  <c r="BI258" i="3"/>
  <c r="BA258" i="3" s="1"/>
  <c r="AZ258" i="3" s="1"/>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D260" i="3"/>
  <c r="BE260" i="3"/>
  <c r="BF260" i="3"/>
  <c r="BG260" i="3"/>
  <c r="BH260" i="3"/>
  <c r="BI260" i="3"/>
  <c r="BA260" i="3" s="1"/>
  <c r="AZ260" i="3" s="1"/>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L261" i="3" s="1"/>
  <c r="AZ261" i="3" s="1"/>
  <c r="BS261" i="3"/>
  <c r="BT261" i="3"/>
  <c r="BB262" i="3"/>
  <c r="BC262" i="3"/>
  <c r="BD262" i="3"/>
  <c r="BE262" i="3"/>
  <c r="BF262" i="3"/>
  <c r="BG262" i="3"/>
  <c r="BH262" i="3"/>
  <c r="BI262" i="3"/>
  <c r="BJ262" i="3"/>
  <c r="BK262" i="3"/>
  <c r="BA262" i="3"/>
  <c r="BM262" i="3"/>
  <c r="BN262" i="3"/>
  <c r="BO262" i="3"/>
  <c r="BP262" i="3"/>
  <c r="BQ262" i="3"/>
  <c r="BR262" i="3"/>
  <c r="BS262" i="3"/>
  <c r="BT262" i="3"/>
  <c r="BL262" i="3"/>
  <c r="AZ262" i="3" s="1"/>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H13" i="3"/>
  <c r="AC13" i="3"/>
  <c r="G13" i="3"/>
  <c r="H16" i="3"/>
  <c r="AC16" i="3"/>
  <c r="G16" i="3"/>
  <c r="H14" i="3"/>
  <c r="AC14" i="3"/>
  <c r="G14" i="3" s="1"/>
  <c r="H15" i="3"/>
  <c r="AC15" i="3"/>
  <c r="G15"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c r="H37" i="3"/>
  <c r="AC37" i="3"/>
  <c r="G37" i="3"/>
  <c r="H38" i="3"/>
  <c r="AC38" i="3"/>
  <c r="G38" i="3"/>
  <c r="H39" i="3"/>
  <c r="AC39" i="3"/>
  <c r="G39" i="3" s="1"/>
  <c r="H40" i="3"/>
  <c r="AC40" i="3"/>
  <c r="G40" i="3"/>
  <c r="H41" i="3"/>
  <c r="AC41" i="3"/>
  <c r="G41" i="3" s="1"/>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s="1"/>
  <c r="H54" i="3"/>
  <c r="AC54" i="3"/>
  <c r="G54" i="3"/>
  <c r="H55" i="3"/>
  <c r="AC55" i="3"/>
  <c r="G55" i="3"/>
  <c r="H56" i="3"/>
  <c r="AC56" i="3"/>
  <c r="G56" i="3"/>
  <c r="H57" i="3"/>
  <c r="AC57" i="3"/>
  <c r="G57" i="3"/>
  <c r="H58" i="3"/>
  <c r="AC58" i="3"/>
  <c r="G58" i="3"/>
  <c r="H59" i="3"/>
  <c r="AC59" i="3"/>
  <c r="G59" i="3" s="1"/>
  <c r="H60" i="3"/>
  <c r="AC60" i="3"/>
  <c r="G60" i="3"/>
  <c r="H61" i="3"/>
  <c r="AC61" i="3"/>
  <c r="G61" i="3"/>
  <c r="H62" i="3"/>
  <c r="AC62" i="3"/>
  <c r="G62" i="3"/>
  <c r="H63" i="3"/>
  <c r="AC63" i="3"/>
  <c r="G63" i="3"/>
  <c r="H64" i="3"/>
  <c r="AC64" i="3"/>
  <c r="G64" i="3"/>
  <c r="H65" i="3"/>
  <c r="AC65" i="3"/>
  <c r="G65" i="3"/>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s="1"/>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s="1"/>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H5" i="3" s="1"/>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T5" i="3"/>
  <c r="F19" i="6"/>
  <c r="E19" i="6" s="1"/>
  <c r="E21" i="6"/>
  <c r="E22" i="6"/>
  <c r="E23" i="6"/>
  <c r="E24" i="6"/>
  <c r="E25" i="6"/>
  <c r="E26" i="6"/>
  <c r="BQ5" i="3"/>
  <c r="BS5" i="3"/>
  <c r="F28" i="6" s="1"/>
  <c r="E28" i="6" s="1"/>
  <c r="K14" i="1" s="1"/>
  <c r="M14" i="1" s="1"/>
  <c r="BR5" i="3"/>
  <c r="BT5" i="3"/>
  <c r="G28" i="6"/>
  <c r="L20" i="6"/>
  <c r="B52" i="1"/>
  <c r="F34" i="15"/>
  <c r="A8" i="1"/>
  <c r="S8" i="1" s="1"/>
  <c r="A9" i="1"/>
  <c r="S9" i="1" s="1"/>
  <c r="A10" i="1"/>
  <c r="S10" i="1" s="1"/>
  <c r="A11" i="1"/>
  <c r="S11" i="1" s="1"/>
  <c r="A12" i="1"/>
  <c r="S12" i="1" s="1"/>
  <c r="A13" i="1"/>
  <c r="S13" i="1" s="1"/>
  <c r="T4" i="1"/>
  <c r="F15" i="15"/>
  <c r="F17" i="15"/>
  <c r="F18" i="15"/>
  <c r="F20" i="15"/>
  <c r="B22" i="1"/>
  <c r="C2" i="65" s="1"/>
  <c r="I1" i="65" s="1"/>
  <c r="F23" i="15"/>
  <c r="F21" i="15"/>
  <c r="B2" i="1"/>
  <c r="C42" i="1" s="1"/>
  <c r="F28" i="15"/>
  <c r="E19" i="4"/>
  <c r="F7" i="1" s="1"/>
  <c r="J50" i="15"/>
  <c r="J51" i="15" s="1"/>
  <c r="M47" i="15"/>
  <c r="R47" i="21"/>
  <c r="C7" i="21"/>
  <c r="E7" i="21" s="1"/>
  <c r="C58" i="21"/>
  <c r="D58" i="21" s="1"/>
  <c r="E58" i="21" s="1"/>
  <c r="D77" i="21"/>
  <c r="F15" i="21" s="1"/>
  <c r="AA15" i="21" s="1"/>
  <c r="D79" i="21"/>
  <c r="F17" i="21" s="1"/>
  <c r="AA17" i="21" s="1"/>
  <c r="D81" i="21"/>
  <c r="F19" i="21" s="1"/>
  <c r="AA19" i="21" s="1"/>
  <c r="D83" i="21"/>
  <c r="F21" i="21" s="1"/>
  <c r="F33" i="21"/>
  <c r="AA33" i="21" s="1"/>
  <c r="D117" i="21"/>
  <c r="F39" i="21" s="1"/>
  <c r="AA39" i="21" s="1"/>
  <c r="D108" i="21"/>
  <c r="E108" i="21" s="1"/>
  <c r="F35" i="21"/>
  <c r="AA35" i="21" s="1"/>
  <c r="D110" i="21"/>
  <c r="F36" i="21"/>
  <c r="AA36" i="21" s="1"/>
  <c r="D101" i="21"/>
  <c r="E101" i="21" s="1"/>
  <c r="F32" i="21"/>
  <c r="AA32" i="21" s="1"/>
  <c r="D115" i="21"/>
  <c r="F38" i="21"/>
  <c r="AA38" i="21" s="1"/>
  <c r="D123" i="21"/>
  <c r="E123" i="21" s="1"/>
  <c r="F123" i="21" s="1"/>
  <c r="D85" i="21"/>
  <c r="E85" i="21"/>
  <c r="F23" i="21" s="1"/>
  <c r="AA23" i="21" s="1"/>
  <c r="F8" i="21"/>
  <c r="AA8" i="21"/>
  <c r="C63" i="21"/>
  <c r="F9" i="21"/>
  <c r="AA9" i="21" s="1"/>
  <c r="F10" i="21"/>
  <c r="AA10" i="21" s="1"/>
  <c r="F11" i="21"/>
  <c r="AA11" i="21" s="1"/>
  <c r="B70" i="21"/>
  <c r="F12" i="21" s="1"/>
  <c r="AA12" i="21" s="1"/>
  <c r="B72" i="21"/>
  <c r="F13" i="21"/>
  <c r="AA13" i="21" s="1"/>
  <c r="B74" i="21"/>
  <c r="F14" i="21" s="1"/>
  <c r="AA14" i="21" s="1"/>
  <c r="F25" i="21"/>
  <c r="AA25" i="21"/>
  <c r="F26" i="21"/>
  <c r="AA26" i="21"/>
  <c r="B90" i="21"/>
  <c r="F27" i="21"/>
  <c r="AA27" i="21" s="1"/>
  <c r="B92" i="21"/>
  <c r="F28" i="21" s="1"/>
  <c r="AA28" i="21" s="1"/>
  <c r="B94" i="21"/>
  <c r="F29" i="21"/>
  <c r="AA29" i="21" s="1"/>
  <c r="B96" i="21"/>
  <c r="F30" i="21" s="1"/>
  <c r="AA30" i="21" s="1"/>
  <c r="B98" i="21"/>
  <c r="F31" i="21"/>
  <c r="AA31" i="21" s="1"/>
  <c r="F34" i="21"/>
  <c r="AA34" i="21" s="1"/>
  <c r="D113" i="21"/>
  <c r="E113" i="21" s="1"/>
  <c r="F113" i="21" s="1"/>
  <c r="G113" i="21" s="1"/>
  <c r="F40" i="21"/>
  <c r="AA40" i="21" s="1"/>
  <c r="F41" i="21"/>
  <c r="AA41" i="21" s="1"/>
  <c r="D125" i="21"/>
  <c r="F43" i="21"/>
  <c r="AA43" i="21" s="1"/>
  <c r="B126" i="21"/>
  <c r="F44" i="21" s="1"/>
  <c r="AA44" i="21" s="1"/>
  <c r="B128" i="21"/>
  <c r="F45" i="21"/>
  <c r="AA45" i="21" s="1"/>
  <c r="B130" i="21"/>
  <c r="F46" i="21" s="1"/>
  <c r="AA46" i="21" s="1"/>
  <c r="T47" i="21"/>
  <c r="H19" i="21"/>
  <c r="AB19" i="21" s="1"/>
  <c r="H33" i="21"/>
  <c r="AB33" i="21" s="1"/>
  <c r="H32" i="21"/>
  <c r="AB32" i="21" s="1"/>
  <c r="H35" i="21"/>
  <c r="AB35" i="21" s="1"/>
  <c r="H36" i="21"/>
  <c r="AB36" i="21" s="1"/>
  <c r="H15" i="21"/>
  <c r="AB15" i="21" s="1"/>
  <c r="H38" i="21"/>
  <c r="AB38" i="21"/>
  <c r="H8" i="21"/>
  <c r="AB8" i="21"/>
  <c r="H9" i="21"/>
  <c r="AB9" i="21"/>
  <c r="H10" i="21"/>
  <c r="AB10" i="21"/>
  <c r="H11" i="21"/>
  <c r="AB11" i="21"/>
  <c r="H13" i="21"/>
  <c r="AB13" i="21"/>
  <c r="H25" i="21"/>
  <c r="AB25" i="21"/>
  <c r="H26" i="21"/>
  <c r="AB26" i="21"/>
  <c r="H27" i="21"/>
  <c r="AB27" i="21"/>
  <c r="H29" i="21"/>
  <c r="AB29" i="21"/>
  <c r="H31" i="21"/>
  <c r="AB31" i="21"/>
  <c r="H34" i="21"/>
  <c r="AB34" i="21"/>
  <c r="H40" i="21"/>
  <c r="AB40" i="21"/>
  <c r="H41" i="21"/>
  <c r="AB41" i="21" s="1"/>
  <c r="H43" i="21"/>
  <c r="AB43" i="21" s="1"/>
  <c r="H44" i="21"/>
  <c r="AB44" i="21" s="1"/>
  <c r="H45" i="21"/>
  <c r="AB45" i="21" s="1"/>
  <c r="H46" i="21"/>
  <c r="AB46" i="21" s="1"/>
  <c r="I7" i="21"/>
  <c r="J17" i="21"/>
  <c r="AC17" i="21" s="1"/>
  <c r="J21" i="21"/>
  <c r="AC21" i="21" s="1"/>
  <c r="J33" i="21"/>
  <c r="AC33" i="21" s="1"/>
  <c r="J39" i="21"/>
  <c r="AC39" i="21" s="1"/>
  <c r="V47" i="21"/>
  <c r="J36" i="21"/>
  <c r="AC36" i="21"/>
  <c r="J38" i="21"/>
  <c r="AC38" i="21"/>
  <c r="J8" i="21"/>
  <c r="AC8" i="21"/>
  <c r="J9" i="21"/>
  <c r="AC9" i="21"/>
  <c r="J10" i="21"/>
  <c r="AC10" i="21"/>
  <c r="J11" i="21"/>
  <c r="AC11" i="21"/>
  <c r="J13" i="21"/>
  <c r="AC13" i="21"/>
  <c r="J25" i="21"/>
  <c r="AC25" i="21"/>
  <c r="J26" i="21"/>
  <c r="AC26" i="21"/>
  <c r="J27" i="21"/>
  <c r="AC27" i="21"/>
  <c r="J29" i="21"/>
  <c r="AC29" i="21"/>
  <c r="J31" i="21"/>
  <c r="AC31" i="21"/>
  <c r="J34" i="21"/>
  <c r="AC34" i="21"/>
  <c r="J40" i="21"/>
  <c r="AC40" i="21"/>
  <c r="J41" i="21"/>
  <c r="AC41" i="21" s="1"/>
  <c r="J43" i="21"/>
  <c r="AC43" i="21" s="1"/>
  <c r="J44" i="21"/>
  <c r="AC44" i="21" s="1"/>
  <c r="J45" i="21"/>
  <c r="AC45" i="21" s="1"/>
  <c r="J46" i="21"/>
  <c r="AC46" i="21" s="1"/>
  <c r="K8" i="1"/>
  <c r="M8" i="1" s="1"/>
  <c r="O8" i="1" s="1"/>
  <c r="P8" i="1" s="1"/>
  <c r="K10" i="1"/>
  <c r="M10" i="1" s="1"/>
  <c r="O10" i="1" s="1"/>
  <c r="P10" i="1" s="1"/>
  <c r="K12" i="1"/>
  <c r="M12" i="1" s="1"/>
  <c r="O12" i="1" s="1"/>
  <c r="P12" i="1" s="1"/>
  <c r="F14" i="12"/>
  <c r="F15" i="12"/>
  <c r="E16" i="12"/>
  <c r="F17" i="12"/>
  <c r="E19" i="12"/>
  <c r="BB5" i="3"/>
  <c r="BB11" i="3"/>
  <c r="E5" i="6" s="1"/>
  <c r="D21" i="12" s="1"/>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M5" i="3"/>
  <c r="BN5" i="3"/>
  <c r="BO5" i="3"/>
  <c r="BP5" i="3"/>
  <c r="E21" i="12"/>
  <c r="E22" i="12"/>
  <c r="F23" i="12"/>
  <c r="F24" i="12"/>
  <c r="B24" i="1"/>
  <c r="F29" i="12"/>
  <c r="F25" i="12"/>
  <c r="C30" i="31"/>
  <c r="C29" i="31"/>
  <c r="C28" i="31"/>
  <c r="C27" i="31"/>
  <c r="C26" i="31"/>
  <c r="C25" i="31"/>
  <c r="D19" i="4"/>
  <c r="F6" i="1" s="1"/>
  <c r="C15" i="31" s="1"/>
  <c r="E77" i="21"/>
  <c r="E81" i="21"/>
  <c r="D83" i="39"/>
  <c r="E83" i="39" s="1"/>
  <c r="D82" i="39"/>
  <c r="E82" i="39" s="1"/>
  <c r="F82" i="39"/>
  <c r="G82" i="39" s="1"/>
  <c r="H82" i="39" s="1"/>
  <c r="D119" i="39"/>
  <c r="D120" i="39"/>
  <c r="D122" i="39"/>
  <c r="E122" i="39"/>
  <c r="F122" i="39" s="1"/>
  <c r="F41" i="39"/>
  <c r="AA41" i="39" s="1"/>
  <c r="C9" i="39"/>
  <c r="C70" i="39" s="1"/>
  <c r="I3" i="59"/>
  <c r="AD3" i="59" s="1"/>
  <c r="J3" i="59"/>
  <c r="AE3" i="59" s="1"/>
  <c r="AF3" i="59"/>
  <c r="K3" i="59"/>
  <c r="AG3" i="59"/>
  <c r="L3" i="59"/>
  <c r="AH3" i="59"/>
  <c r="AD5" i="59"/>
  <c r="AE5" i="59"/>
  <c r="AF5" i="59" s="1"/>
  <c r="AG5" i="59"/>
  <c r="AH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R48" i="39"/>
  <c r="F10" i="39"/>
  <c r="AA10" i="39" s="1"/>
  <c r="F11" i="39"/>
  <c r="AA11" i="39" s="1"/>
  <c r="H41" i="39"/>
  <c r="AB41" i="39"/>
  <c r="T48" i="39"/>
  <c r="H10" i="39"/>
  <c r="AB10" i="39" s="1"/>
  <c r="H11" i="39"/>
  <c r="AB11" i="39" s="1"/>
  <c r="J41" i="39"/>
  <c r="AC41" i="39" s="1"/>
  <c r="V48" i="39"/>
  <c r="J10" i="39"/>
  <c r="AC10" i="39"/>
  <c r="J11" i="39"/>
  <c r="AC11" i="39" s="1"/>
  <c r="BB10" i="3"/>
  <c r="BC10" i="3"/>
  <c r="BD10" i="3"/>
  <c r="BE10" i="3"/>
  <c r="BF10" i="3"/>
  <c r="BG10" i="3"/>
  <c r="BH10" i="3"/>
  <c r="BI10" i="3"/>
  <c r="BJ10" i="3"/>
  <c r="BK10" i="3"/>
  <c r="C17" i="9"/>
  <c r="D17" i="9"/>
  <c r="C7" i="33"/>
  <c r="I7" i="33" s="1"/>
  <c r="Q6" i="59"/>
  <c r="Q5" i="59"/>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AA21" i="59" s="1"/>
  <c r="P22" i="59"/>
  <c r="AA5" i="59"/>
  <c r="O6" i="59"/>
  <c r="O5" i="59"/>
  <c r="O7" i="59"/>
  <c r="O8" i="59"/>
  <c r="O9" i="59"/>
  <c r="O10" i="59"/>
  <c r="C10" i="59" s="1"/>
  <c r="D10" i="59" s="1"/>
  <c r="O11" i="59"/>
  <c r="O12" i="59"/>
  <c r="C13" i="59" s="1"/>
  <c r="C14" i="59" s="1"/>
  <c r="O13" i="59"/>
  <c r="O14" i="59"/>
  <c r="O15" i="59"/>
  <c r="O16" i="59"/>
  <c r="O17" i="59"/>
  <c r="O18" i="59"/>
  <c r="O19" i="59"/>
  <c r="O20" i="59"/>
  <c r="O21" i="59"/>
  <c r="O22" i="59"/>
  <c r="Y22" i="59" s="1"/>
  <c r="N6" i="59"/>
  <c r="N5" i="59"/>
  <c r="N7" i="59"/>
  <c r="N8" i="59"/>
  <c r="N9" i="59"/>
  <c r="N10" i="59"/>
  <c r="N11" i="59"/>
  <c r="N12" i="59"/>
  <c r="N13" i="59"/>
  <c r="N14" i="59"/>
  <c r="N15" i="59"/>
  <c r="N16" i="59"/>
  <c r="N17" i="59"/>
  <c r="N18" i="59"/>
  <c r="N19" i="59"/>
  <c r="N20" i="59"/>
  <c r="N21" i="59"/>
  <c r="N22" i="59"/>
  <c r="F7" i="59"/>
  <c r="F6" i="59" s="1"/>
  <c r="F5" i="59"/>
  <c r="C7" i="59"/>
  <c r="B7" i="59"/>
  <c r="B6" i="59" s="1"/>
  <c r="B5" i="59" s="1"/>
  <c r="M19" i="46"/>
  <c r="D8" i="59"/>
  <c r="AB6" i="59"/>
  <c r="Y6" i="59"/>
  <c r="Z6" i="59" s="1"/>
  <c r="X6" i="59"/>
  <c r="K59" i="15"/>
  <c r="P62" i="15" s="1"/>
  <c r="Q74" i="44"/>
  <c r="Q61" i="44"/>
  <c r="Q60" i="44"/>
  <c r="Q53" i="44"/>
  <c r="J51" i="44"/>
  <c r="J52" i="44" s="1"/>
  <c r="M48" i="44"/>
  <c r="A16" i="55"/>
  <c r="A15" i="55"/>
  <c r="A10" i="55"/>
  <c r="A9" i="55"/>
  <c r="B60" i="63" s="1"/>
  <c r="A8" i="55"/>
  <c r="A6" i="54"/>
  <c r="B49" i="63" s="1"/>
  <c r="A8" i="54"/>
  <c r="A7" i="54"/>
  <c r="C57" i="10"/>
  <c r="A28" i="51"/>
  <c r="N4" i="63" s="1"/>
  <c r="A27" i="51"/>
  <c r="B20" i="63" s="1"/>
  <c r="D5" i="46"/>
  <c r="Y7" i="59"/>
  <c r="Z7" i="59" s="1"/>
  <c r="B11" i="59"/>
  <c r="B10" i="59" s="1"/>
  <c r="C11" i="59"/>
  <c r="D11" i="59"/>
  <c r="F11" i="59"/>
  <c r="V11" i="59" s="1"/>
  <c r="K75" i="9"/>
  <c r="K6" i="4"/>
  <c r="L76" i="9"/>
  <c r="B22" i="31"/>
  <c r="E21" i="66"/>
  <c r="F21" i="66"/>
  <c r="E22" i="66"/>
  <c r="F22" i="66"/>
  <c r="E23" i="66"/>
  <c r="F23" i="66"/>
  <c r="B3" i="66"/>
  <c r="T11" i="59"/>
  <c r="B9" i="59"/>
  <c r="F10" i="59"/>
  <c r="F9" i="59" s="1"/>
  <c r="V7" i="59"/>
  <c r="S7" i="59"/>
  <c r="C9" i="59"/>
  <c r="Y12" i="59"/>
  <c r="Z12" i="59" s="1"/>
  <c r="AA12" i="59"/>
  <c r="X13" i="59"/>
  <c r="AB13" i="59"/>
  <c r="Y14" i="59"/>
  <c r="Z14" i="59" s="1"/>
  <c r="AA14" i="59"/>
  <c r="Y16" i="59"/>
  <c r="Z16" i="59" s="1"/>
  <c r="AA16" i="59"/>
  <c r="X17" i="59"/>
  <c r="AB17" i="59"/>
  <c r="Y18" i="59"/>
  <c r="Z18" i="59" s="1"/>
  <c r="AA18" i="59"/>
  <c r="Y20" i="59"/>
  <c r="Z20" i="59" s="1"/>
  <c r="AA20" i="59"/>
  <c r="AB21" i="59"/>
  <c r="Y21" i="59"/>
  <c r="Z21" i="59" s="1"/>
  <c r="D9" i="59"/>
  <c r="S2" i="31"/>
  <c r="M2" i="31"/>
  <c r="N2" i="31"/>
  <c r="O2" i="31"/>
  <c r="P2" i="31"/>
  <c r="Q2" i="31"/>
  <c r="R2" i="31"/>
  <c r="C3" i="65"/>
  <c r="B76" i="63"/>
  <c r="M5" i="54"/>
  <c r="B41" i="63" s="1"/>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A21" i="64"/>
  <c r="B75" i="63" s="1"/>
  <c r="B73" i="63"/>
  <c r="A28" i="64"/>
  <c r="A27" i="64"/>
  <c r="A15" i="64"/>
  <c r="A14" i="64"/>
  <c r="A11" i="64"/>
  <c r="A3" i="64"/>
  <c r="A45" i="9"/>
  <c r="A44" i="9"/>
  <c r="K39" i="9" s="1"/>
  <c r="C56" i="10"/>
  <c r="C55" i="10"/>
  <c r="C54" i="10"/>
  <c r="B44" i="63"/>
  <c r="B40" i="63"/>
  <c r="B30" i="63"/>
  <c r="B27" i="63"/>
  <c r="B25" i="63"/>
  <c r="A11" i="51"/>
  <c r="B10" i="63" s="1"/>
  <c r="A26" i="64"/>
  <c r="A26" i="51"/>
  <c r="B19" i="63" s="1"/>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51" i="10"/>
  <c r="A15" i="51"/>
  <c r="B12" i="63" s="1"/>
  <c r="A14" i="51"/>
  <c r="B11" i="63" s="1"/>
  <c r="B66" i="63"/>
  <c r="A4" i="55"/>
  <c r="B57" i="63"/>
  <c r="G5" i="54"/>
  <c r="B34" i="63"/>
  <c r="E5" i="54"/>
  <c r="B32" i="63"/>
  <c r="R2" i="54"/>
  <c r="B24" i="63"/>
  <c r="B49" i="50"/>
  <c r="B5" i="63"/>
  <c r="B40" i="50"/>
  <c r="B3" i="63"/>
  <c r="B67" i="63"/>
  <c r="I19" i="46"/>
  <c r="D72" i="59"/>
  <c r="F71" i="59"/>
  <c r="F70" i="59" s="1"/>
  <c r="F69" i="59" s="1"/>
  <c r="E71" i="59"/>
  <c r="E70" i="59"/>
  <c r="E69" i="59" s="1"/>
  <c r="C71" i="59"/>
  <c r="D71" i="59" s="1"/>
  <c r="B71" i="59"/>
  <c r="B70" i="59" s="1"/>
  <c r="B69" i="59"/>
  <c r="D68" i="59"/>
  <c r="F67" i="59"/>
  <c r="F66" i="59" s="1"/>
  <c r="F65" i="59" s="1"/>
  <c r="E67" i="59"/>
  <c r="E66" i="59"/>
  <c r="E65" i="59" s="1"/>
  <c r="C67" i="59"/>
  <c r="B67" i="59"/>
  <c r="B66" i="59" s="1"/>
  <c r="B65" i="59"/>
  <c r="D64" i="59"/>
  <c r="Q63" i="59"/>
  <c r="P63" i="59"/>
  <c r="O63" i="59"/>
  <c r="N63" i="59"/>
  <c r="F63" i="59"/>
  <c r="V63" i="59" s="1"/>
  <c r="E63" i="59"/>
  <c r="U63" i="59" s="1"/>
  <c r="C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N50" i="59" s="1"/>
  <c r="D48" i="59"/>
  <c r="Q47" i="59"/>
  <c r="P47" i="59"/>
  <c r="O47" i="59"/>
  <c r="N47" i="59"/>
  <c r="Q46" i="59"/>
  <c r="P46" i="59"/>
  <c r="O46" i="59"/>
  <c r="N46" i="59"/>
  <c r="Q45" i="59"/>
  <c r="P45" i="59"/>
  <c r="O45" i="59"/>
  <c r="N45" i="59"/>
  <c r="Q44" i="59"/>
  <c r="F45" i="59"/>
  <c r="P44" i="59"/>
  <c r="E45" i="59"/>
  <c r="E46" i="59" s="1"/>
  <c r="E47" i="59"/>
  <c r="U47" i="59" s="1"/>
  <c r="O44" i="59"/>
  <c r="C45" i="59" s="1"/>
  <c r="D45" i="59" s="1"/>
  <c r="N44" i="59"/>
  <c r="B45" i="59" s="1"/>
  <c r="B46" i="59" s="1"/>
  <c r="B47" i="59" s="1"/>
  <c r="S47" i="59" s="1"/>
  <c r="D44" i="59"/>
  <c r="Q43" i="59"/>
  <c r="P43" i="59"/>
  <c r="O43" i="59"/>
  <c r="N43" i="59"/>
  <c r="Q42" i="59"/>
  <c r="P42" i="59"/>
  <c r="O42" i="59"/>
  <c r="N42" i="59"/>
  <c r="Q41" i="59"/>
  <c r="P41" i="59"/>
  <c r="O41" i="59"/>
  <c r="C42" i="59" s="1"/>
  <c r="N41" i="59"/>
  <c r="Q40" i="59"/>
  <c r="F41" i="59" s="1"/>
  <c r="F42" i="59" s="1"/>
  <c r="P40" i="59"/>
  <c r="E41" i="59" s="1"/>
  <c r="E42" i="59"/>
  <c r="E43" i="59" s="1"/>
  <c r="U43" i="59" s="1"/>
  <c r="O40" i="59"/>
  <c r="C41" i="59"/>
  <c r="D41" i="59" s="1"/>
  <c r="N40" i="59"/>
  <c r="B41" i="59"/>
  <c r="B42" i="59" s="1"/>
  <c r="B43" i="59"/>
  <c r="S43" i="59" s="1"/>
  <c r="D40" i="59"/>
  <c r="Q39" i="59"/>
  <c r="P39" i="59"/>
  <c r="O39" i="59"/>
  <c r="N39" i="59"/>
  <c r="Q38" i="59"/>
  <c r="P38" i="59"/>
  <c r="O38" i="59"/>
  <c r="N38" i="59"/>
  <c r="Q37" i="59"/>
  <c r="P37" i="59"/>
  <c r="O37" i="59"/>
  <c r="N37" i="59"/>
  <c r="Q36" i="59"/>
  <c r="F37" i="59"/>
  <c r="P36" i="59"/>
  <c r="E37" i="59"/>
  <c r="E38" i="59" s="1"/>
  <c r="E39" i="59"/>
  <c r="U39" i="59" s="1"/>
  <c r="O36" i="59"/>
  <c r="C37" i="59" s="1"/>
  <c r="D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O32" i="59"/>
  <c r="C33" i="59"/>
  <c r="D33" i="59" s="1"/>
  <c r="N32" i="59"/>
  <c r="B33" i="59"/>
  <c r="D32" i="59"/>
  <c r="T31" i="59"/>
  <c r="Q31" i="59"/>
  <c r="P31" i="59"/>
  <c r="O31" i="59"/>
  <c r="N31" i="59"/>
  <c r="D31" i="59"/>
  <c r="Q30" i="59"/>
  <c r="P30" i="59"/>
  <c r="O30" i="59"/>
  <c r="N30" i="59"/>
  <c r="Q29" i="59"/>
  <c r="P29" i="59"/>
  <c r="O29" i="59"/>
  <c r="N29" i="59"/>
  <c r="Q28" i="59"/>
  <c r="F29" i="59" s="1"/>
  <c r="F30" i="59" s="1"/>
  <c r="F31" i="59" s="1"/>
  <c r="V31" i="59" s="1"/>
  <c r="P28" i="59"/>
  <c r="E29" i="59" s="1"/>
  <c r="E30" i="59"/>
  <c r="E31" i="59" s="1"/>
  <c r="U31" i="59" s="1"/>
  <c r="O28" i="59"/>
  <c r="C29" i="59"/>
  <c r="N28" i="59"/>
  <c r="B29" i="59"/>
  <c r="B30" i="59" s="1"/>
  <c r="B31" i="59"/>
  <c r="S31" i="59" s="1"/>
  <c r="D28" i="59"/>
  <c r="Q27" i="59"/>
  <c r="P27" i="59"/>
  <c r="O27" i="59"/>
  <c r="N27" i="59"/>
  <c r="Q26" i="59"/>
  <c r="P26" i="59"/>
  <c r="O26" i="59"/>
  <c r="N26" i="59"/>
  <c r="Q25" i="59"/>
  <c r="P25" i="59"/>
  <c r="O25" i="59"/>
  <c r="N25" i="59"/>
  <c r="Q24" i="59"/>
  <c r="F25" i="59"/>
  <c r="P24" i="59"/>
  <c r="E25" i="59"/>
  <c r="E26" i="59" s="1"/>
  <c r="E27" i="59"/>
  <c r="U27" i="59" s="1"/>
  <c r="O24" i="59"/>
  <c r="C25" i="59" s="1"/>
  <c r="C26" i="59" s="1"/>
  <c r="C27" i="59" s="1"/>
  <c r="D27" i="59" s="1"/>
  <c r="N24" i="59"/>
  <c r="B25" i="59" s="1"/>
  <c r="B26" i="59" s="1"/>
  <c r="B27" i="59" s="1"/>
  <c r="S27" i="59" s="1"/>
  <c r="D24" i="59"/>
  <c r="Q23" i="59"/>
  <c r="P23" i="59"/>
  <c r="O23" i="59"/>
  <c r="N23" i="59"/>
  <c r="AB22" i="59"/>
  <c r="Z22" i="59"/>
  <c r="F21" i="59"/>
  <c r="F22" i="59" s="1"/>
  <c r="E21" i="59"/>
  <c r="E22" i="59"/>
  <c r="E23" i="59" s="1"/>
  <c r="U23" i="59" s="1"/>
  <c r="B21" i="59"/>
  <c r="B22" i="59" s="1"/>
  <c r="B23" i="59" s="1"/>
  <c r="S23" i="59" s="1"/>
  <c r="D20" i="59"/>
  <c r="E17" i="59"/>
  <c r="E18" i="59" s="1"/>
  <c r="E19" i="59"/>
  <c r="U19" i="59" s="1"/>
  <c r="C17" i="59"/>
  <c r="D17" i="59" s="1"/>
  <c r="D16" i="59"/>
  <c r="F13" i="59"/>
  <c r="F14" i="59" s="1"/>
  <c r="B13" i="59"/>
  <c r="B14" i="59" s="1"/>
  <c r="B15" i="59" s="1"/>
  <c r="S15" i="59" s="1"/>
  <c r="D12" i="59"/>
  <c r="X3" i="59"/>
  <c r="X9" i="59"/>
  <c r="X11" i="59"/>
  <c r="AA8" i="59"/>
  <c r="AA10" i="59"/>
  <c r="Y8" i="59"/>
  <c r="Z8" i="59" s="1"/>
  <c r="Y9" i="59"/>
  <c r="Z9" i="59" s="1"/>
  <c r="Y10" i="59"/>
  <c r="Z10" i="59" s="1"/>
  <c r="Y11" i="59"/>
  <c r="Z11" i="59" s="1"/>
  <c r="Y3" i="59"/>
  <c r="Z3" i="59" s="1"/>
  <c r="AB11" i="59"/>
  <c r="AB8" i="59"/>
  <c r="AB10" i="59"/>
  <c r="E13" i="59"/>
  <c r="E14" i="59" s="1"/>
  <c r="E15" i="59" s="1"/>
  <c r="U15" i="59" s="1"/>
  <c r="B34" i="59"/>
  <c r="B35" i="59" s="1"/>
  <c r="S35" i="59" s="1"/>
  <c r="E35" i="59"/>
  <c r="U35" i="59" s="1"/>
  <c r="S51" i="59"/>
  <c r="AA22" i="59"/>
  <c r="F15" i="59"/>
  <c r="V15" i="59" s="1"/>
  <c r="F23" i="59"/>
  <c r="V23" i="59" s="1"/>
  <c r="F26" i="59"/>
  <c r="F27" i="59" s="1"/>
  <c r="V27" i="59"/>
  <c r="F38" i="59"/>
  <c r="F39" i="59" s="1"/>
  <c r="V39" i="59" s="1"/>
  <c r="F43" i="59"/>
  <c r="V43" i="59" s="1"/>
  <c r="F46" i="59"/>
  <c r="F47" i="59" s="1"/>
  <c r="V47" i="59"/>
  <c r="D13" i="59"/>
  <c r="D25" i="59"/>
  <c r="C38" i="59"/>
  <c r="C39" i="59" s="1"/>
  <c r="D39" i="59" s="1"/>
  <c r="C46" i="59"/>
  <c r="C47" i="59" s="1"/>
  <c r="D47" i="59" s="1"/>
  <c r="C18" i="59"/>
  <c r="C19" i="59" s="1"/>
  <c r="D19" i="59" s="1"/>
  <c r="E49" i="59"/>
  <c r="P48" i="59" s="1"/>
  <c r="Q50" i="59"/>
  <c r="T51" i="59"/>
  <c r="D51" i="59"/>
  <c r="P51" i="59"/>
  <c r="U51" i="59"/>
  <c r="Q51" i="59"/>
  <c r="E54" i="59"/>
  <c r="E53" i="59" s="1"/>
  <c r="C58" i="59"/>
  <c r="E58" i="59"/>
  <c r="E57" i="59" s="1"/>
  <c r="D59" i="59"/>
  <c r="E62" i="59"/>
  <c r="E61" i="59" s="1"/>
  <c r="D63" i="59"/>
  <c r="C70" i="59"/>
  <c r="D70" i="59" s="1"/>
  <c r="U16" i="4"/>
  <c r="S16" i="4"/>
  <c r="Q16" i="4"/>
  <c r="O16" i="4"/>
  <c r="N16" i="4" s="1"/>
  <c r="M16" i="4"/>
  <c r="K16" i="4"/>
  <c r="P49" i="59"/>
  <c r="C69" i="59"/>
  <c r="D69" i="59" s="1"/>
  <c r="D58" i="59"/>
  <c r="C57" i="59"/>
  <c r="D57" i="59"/>
  <c r="D18" i="59"/>
  <c r="D26" i="59"/>
  <c r="D14" i="59"/>
  <c r="T27" i="59"/>
  <c r="T47" i="59"/>
  <c r="T19"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c r="F68" i="35" s="1"/>
  <c r="G68" i="35"/>
  <c r="Q21" i="37"/>
  <c r="Z21" i="37"/>
  <c r="F21" i="37"/>
  <c r="AA21" i="37"/>
  <c r="C21" i="37"/>
  <c r="D77" i="37"/>
  <c r="E77" i="37" s="1"/>
  <c r="F77" i="37" s="1"/>
  <c r="G77" i="37" s="1"/>
  <c r="Q21" i="34"/>
  <c r="Z21" i="34" s="1"/>
  <c r="C21" i="34"/>
  <c r="D84" i="34"/>
  <c r="F21" i="34"/>
  <c r="AA21" i="34" s="1"/>
  <c r="Q21" i="33"/>
  <c r="Z21" i="33" s="1"/>
  <c r="C21" i="33"/>
  <c r="D83" i="33"/>
  <c r="E83" i="33"/>
  <c r="F83" i="33" s="1"/>
  <c r="G83" i="33"/>
  <c r="Q21" i="21"/>
  <c r="Z21" i="21"/>
  <c r="E83" i="21"/>
  <c r="C21" i="21"/>
  <c r="Q27" i="40"/>
  <c r="Z27" i="40"/>
  <c r="D96" i="40"/>
  <c r="E96" i="40"/>
  <c r="F27" i="40"/>
  <c r="AA27" i="40"/>
  <c r="Q31" i="39"/>
  <c r="Z31" i="39"/>
  <c r="D105" i="39"/>
  <c r="E105" i="39" s="1"/>
  <c r="F105" i="39" s="1"/>
  <c r="G105" i="39" s="1"/>
  <c r="F31" i="39"/>
  <c r="AA31" i="39" s="1"/>
  <c r="G20" i="20"/>
  <c r="B85" i="46"/>
  <c r="C22" i="20"/>
  <c r="B65" i="46"/>
  <c r="S21" i="37"/>
  <c r="S21" i="34"/>
  <c r="S27" i="40"/>
  <c r="C27" i="40"/>
  <c r="C31" i="39"/>
  <c r="B54" i="46"/>
  <c r="B74" i="46"/>
  <c r="E66" i="36"/>
  <c r="H18" i="35"/>
  <c r="J18" i="35"/>
  <c r="H21" i="37"/>
  <c r="J21" i="37"/>
  <c r="E84" i="34"/>
  <c r="F84" i="34" s="1"/>
  <c r="G84" i="34" s="1"/>
  <c r="J21" i="34"/>
  <c r="H21" i="34"/>
  <c r="F21" i="33"/>
  <c r="H21" i="33"/>
  <c r="J21" i="33"/>
  <c r="F83" i="21"/>
  <c r="G83" i="21" s="1"/>
  <c r="F96" i="40"/>
  <c r="H27" i="40"/>
  <c r="H31" i="39"/>
  <c r="D22" i="15"/>
  <c r="G17" i="11"/>
  <c r="D2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J142" i="21"/>
  <c r="J140" i="21"/>
  <c r="M87" i="21"/>
  <c r="L87" i="21"/>
  <c r="K87" i="21"/>
  <c r="J87" i="21"/>
  <c r="I87" i="21"/>
  <c r="H87" i="21"/>
  <c r="G87" i="21"/>
  <c r="F87" i="21"/>
  <c r="E87" i="21"/>
  <c r="D87" i="21"/>
  <c r="G2" i="46"/>
  <c r="X7" i="46"/>
  <c r="E26" i="31"/>
  <c r="G26" i="31"/>
  <c r="I26" i="31"/>
  <c r="K26" i="31"/>
  <c r="M26" i="31"/>
  <c r="E27" i="31"/>
  <c r="G27" i="31"/>
  <c r="I27" i="31"/>
  <c r="K27" i="31"/>
  <c r="M27" i="31"/>
  <c r="E28" i="31"/>
  <c r="G28" i="31"/>
  <c r="I28" i="31"/>
  <c r="K28" i="31"/>
  <c r="M28" i="31"/>
  <c r="E29" i="31"/>
  <c r="G29" i="31"/>
  <c r="I29" i="31"/>
  <c r="K29" i="31"/>
  <c r="M29" i="31"/>
  <c r="E30" i="31"/>
  <c r="G30" i="31"/>
  <c r="I30" i="31"/>
  <c r="K30" i="31"/>
  <c r="M30" i="31"/>
  <c r="C31"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E25" i="31"/>
  <c r="G25" i="31"/>
  <c r="I25" i="31"/>
  <c r="K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c r="A2" i="9"/>
  <c r="T16" i="4"/>
  <c r="D14" i="4"/>
  <c r="M4" i="9"/>
  <c r="L4" i="9"/>
  <c r="G36" i="4"/>
  <c r="K2" i="54"/>
  <c r="B23" i="63" s="1"/>
  <c r="A3" i="51"/>
  <c r="R41" i="4"/>
  <c r="Q41" i="4"/>
  <c r="P41" i="4"/>
  <c r="O41" i="4"/>
  <c r="N41" i="4"/>
  <c r="M41" i="4"/>
  <c r="L41" i="4"/>
  <c r="K40" i="4"/>
  <c r="T40" i="4" s="1"/>
  <c r="F23" i="4"/>
  <c r="I19" i="4"/>
  <c r="H19" i="4"/>
  <c r="G19" i="4"/>
  <c r="F9" i="1"/>
  <c r="F19" i="4"/>
  <c r="F8"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D38" i="4"/>
  <c r="C39" i="4" s="1"/>
  <c r="C35" i="4"/>
  <c r="C43" i="9"/>
  <c r="K47" i="9" s="1"/>
  <c r="A14" i="55" s="1"/>
  <c r="B65" i="63" s="1"/>
  <c r="I73" i="9"/>
  <c r="F73" i="9"/>
  <c r="P73" i="9"/>
  <c r="D107" i="9"/>
  <c r="C107" i="9"/>
  <c r="C105" i="9" s="1"/>
  <c r="C110"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s="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80" i="31"/>
  <c r="O82" i="31"/>
  <c r="O84"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AC30" i="36" s="1"/>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F42" i="34"/>
  <c r="AA42" i="34" s="1"/>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78" i="40"/>
  <c r="E78" i="40" s="1"/>
  <c r="F13" i="40"/>
  <c r="S13" i="40"/>
  <c r="B122" i="40"/>
  <c r="F42" i="40"/>
  <c r="AA42" i="40" s="1"/>
  <c r="B120" i="40"/>
  <c r="H41" i="40" s="1"/>
  <c r="U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G100" i="40" s="1"/>
  <c r="H100" i="40" s="1"/>
  <c r="D98" i="40"/>
  <c r="E98" i="40"/>
  <c r="B97" i="40"/>
  <c r="D94" i="40"/>
  <c r="E94" i="40" s="1"/>
  <c r="D92" i="40"/>
  <c r="D90" i="40"/>
  <c r="E90" i="40" s="1"/>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2" i="39"/>
  <c r="H122" i="39"/>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D91" i="39"/>
  <c r="E91" i="39"/>
  <c r="F91" i="39" s="1"/>
  <c r="G91" i="39" s="1"/>
  <c r="B88" i="39"/>
  <c r="B86" i="39"/>
  <c r="F15" i="39" s="1"/>
  <c r="B84" i="39"/>
  <c r="M81" i="39"/>
  <c r="L81" i="39"/>
  <c r="K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F96" i="37" s="1"/>
  <c r="G96" i="37" s="1"/>
  <c r="D94" i="37"/>
  <c r="E94" i="37" s="1"/>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c r="F73" i="37" s="1"/>
  <c r="G73" i="37" s="1"/>
  <c r="D71" i="37"/>
  <c r="E71" i="37"/>
  <c r="F71" i="37" s="1"/>
  <c r="G71" i="37" s="1"/>
  <c r="F15" i="37"/>
  <c r="AA15" i="37"/>
  <c r="B68" i="37"/>
  <c r="H14" i="37"/>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B95" i="36"/>
  <c r="H34" i="36"/>
  <c r="U34" i="36" s="1"/>
  <c r="D83" i="36"/>
  <c r="E83" i="36"/>
  <c r="F83" i="36" s="1"/>
  <c r="G83" i="36"/>
  <c r="H83" i="36" s="1"/>
  <c r="I83" i="36" s="1"/>
  <c r="J83" i="36" s="1"/>
  <c r="K83" i="36" s="1"/>
  <c r="L83" i="36" s="1"/>
  <c r="M83" i="36" s="1"/>
  <c r="D78" i="36"/>
  <c r="J26" i="36"/>
  <c r="W26" i="36" s="1"/>
  <c r="B75" i="36"/>
  <c r="B73" i="36"/>
  <c r="J24" i="36"/>
  <c r="B71" i="36"/>
  <c r="D70" i="36"/>
  <c r="H22" i="36"/>
  <c r="AB22" i="36" s="1"/>
  <c r="D68" i="36"/>
  <c r="E68" i="36" s="1"/>
  <c r="D64" i="36"/>
  <c r="E64" i="36" s="1"/>
  <c r="F64" i="36" s="1"/>
  <c r="G64" i="36" s="1"/>
  <c r="J16" i="36"/>
  <c r="AC16" i="36" s="1"/>
  <c r="D62" i="36"/>
  <c r="E62" i="36"/>
  <c r="B59" i="36"/>
  <c r="B57" i="36"/>
  <c r="H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J24" i="35" s="1"/>
  <c r="W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9" i="35"/>
  <c r="W9" i="35" s="1"/>
  <c r="F9" i="35"/>
  <c r="AA9" i="35" s="1"/>
  <c r="J8" i="35"/>
  <c r="W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AB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AB9" i="33" s="1"/>
  <c r="F9" i="33"/>
  <c r="AA9" i="33" s="1"/>
  <c r="J8" i="33"/>
  <c r="W8" i="33" s="1"/>
  <c r="H8" i="33"/>
  <c r="AB8" i="33" s="1"/>
  <c r="F8" i="33"/>
  <c r="C58" i="33"/>
  <c r="D58" i="33" s="1"/>
  <c r="M102" i="21"/>
  <c r="D102" i="21"/>
  <c r="E102" i="21"/>
  <c r="F102" i="21"/>
  <c r="G102" i="21"/>
  <c r="H102" i="21"/>
  <c r="I102" i="21"/>
  <c r="J102" i="21"/>
  <c r="K102" i="21"/>
  <c r="L102" i="21"/>
  <c r="C102" i="21"/>
  <c r="S9" i="2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E125" i="21"/>
  <c r="G123" i="21"/>
  <c r="H123" i="21" s="1"/>
  <c r="I123" i="21"/>
  <c r="J123" i="21" s="1"/>
  <c r="K123" i="21" s="1"/>
  <c r="L123" i="21" s="1"/>
  <c r="M123" i="21" s="1"/>
  <c r="D119" i="21"/>
  <c r="E117" i="21"/>
  <c r="F117" i="21" s="1"/>
  <c r="G117" i="21" s="1"/>
  <c r="E115" i="21"/>
  <c r="F115" i="21"/>
  <c r="G115" i="21" s="1"/>
  <c r="H115" i="21"/>
  <c r="I115" i="21" s="1"/>
  <c r="J115" i="21" s="1"/>
  <c r="K115" i="21" s="1"/>
  <c r="L115" i="21" s="1"/>
  <c r="M115" i="21" s="1"/>
  <c r="H113" i="21"/>
  <c r="E110" i="21"/>
  <c r="F110" i="21"/>
  <c r="G110" i="21" s="1"/>
  <c r="H110" i="21"/>
  <c r="I110" i="21" s="1"/>
  <c r="J110" i="21" s="1"/>
  <c r="K110" i="21" s="1"/>
  <c r="L110" i="21" s="1"/>
  <c r="M110" i="21" s="1"/>
  <c r="W36" i="21"/>
  <c r="D106" i="21"/>
  <c r="E106" i="21"/>
  <c r="F106" i="21" s="1"/>
  <c r="G106" i="21"/>
  <c r="H106" i="21" s="1"/>
  <c r="I106" i="21" s="1"/>
  <c r="J106" i="21" s="1"/>
  <c r="K106" i="21" s="1"/>
  <c r="L106" i="21" s="1"/>
  <c r="M106" i="21" s="1"/>
  <c r="F101" i="21"/>
  <c r="G101" i="21"/>
  <c r="H101" i="21" s="1"/>
  <c r="I101" i="2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F81" i="21"/>
  <c r="G81"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26" i="21"/>
  <c r="W41" i="21"/>
  <c r="S10" i="39"/>
  <c r="U30" i="37"/>
  <c r="E103" i="37"/>
  <c r="F103" i="37"/>
  <c r="G103" i="37" s="1"/>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9" i="33"/>
  <c r="W38" i="33"/>
  <c r="S33" i="33"/>
  <c r="U38" i="33"/>
  <c r="S8" i="21"/>
  <c r="W8" i="21"/>
  <c r="H39" i="37"/>
  <c r="AB39" i="37"/>
  <c r="AB27" i="35"/>
  <c r="S10" i="40"/>
  <c r="W10" i="40"/>
  <c r="S11" i="40"/>
  <c r="U11" i="40"/>
  <c r="S36" i="40"/>
  <c r="U36" i="40"/>
  <c r="S36" i="39"/>
  <c r="S11" i="21"/>
  <c r="C23" i="39"/>
  <c r="U36" i="39"/>
  <c r="S42" i="39"/>
  <c r="H32" i="33"/>
  <c r="AB32" i="33"/>
  <c r="U11" i="21"/>
  <c r="W11" i="21"/>
  <c r="F86" i="40"/>
  <c r="G86" i="40" s="1"/>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24" i="36"/>
  <c r="AA24" i="36"/>
  <c r="F34" i="36"/>
  <c r="S34" i="36"/>
  <c r="AB8" i="36"/>
  <c r="H16" i="35"/>
  <c r="U16" i="35"/>
  <c r="H33" i="35"/>
  <c r="AB33" i="35"/>
  <c r="AC8" i="35"/>
  <c r="F35" i="37"/>
  <c r="E101" i="37"/>
  <c r="F101" i="37" s="1"/>
  <c r="G101" i="37"/>
  <c r="H101" i="37" s="1"/>
  <c r="I101" i="37" s="1"/>
  <c r="J101" i="37" s="1"/>
  <c r="K101" i="37" s="1"/>
  <c r="L101" i="37" s="1"/>
  <c r="M101" i="37" s="1"/>
  <c r="J34" i="37"/>
  <c r="W34" i="37"/>
  <c r="AA39" i="37"/>
  <c r="H43" i="34"/>
  <c r="U43" i="34" s="1"/>
  <c r="E114" i="34"/>
  <c r="F114" i="34" s="1"/>
  <c r="H36" i="34"/>
  <c r="U36" i="34"/>
  <c r="F37" i="34"/>
  <c r="AA37" i="34"/>
  <c r="F33" i="34"/>
  <c r="S33" i="34"/>
  <c r="F19" i="34"/>
  <c r="AA19" i="34" s="1"/>
  <c r="J10" i="34"/>
  <c r="AC10" i="34" s="1"/>
  <c r="U9" i="34"/>
  <c r="W8" i="34"/>
  <c r="J28" i="34"/>
  <c r="W28" i="34" s="1"/>
  <c r="S38" i="33"/>
  <c r="E113" i="33"/>
  <c r="F36" i="33"/>
  <c r="S36" i="33" s="1"/>
  <c r="F19" i="33"/>
  <c r="S19" i="33" s="1"/>
  <c r="J19" i="33"/>
  <c r="AC19" i="33" s="1"/>
  <c r="S10" i="21"/>
  <c r="W40" i="33"/>
  <c r="F125" i="21"/>
  <c r="G125" i="21"/>
  <c r="AB30" i="36"/>
  <c r="AC34" i="36"/>
  <c r="S22" i="35"/>
  <c r="H29" i="35"/>
  <c r="U34" i="37"/>
  <c r="S34" i="37"/>
  <c r="AA34" i="37"/>
  <c r="AC43" i="34"/>
  <c r="AB42" i="34"/>
  <c r="W36" i="34"/>
  <c r="J19" i="34"/>
  <c r="AC19" i="34"/>
  <c r="F113" i="33"/>
  <c r="G113" i="33"/>
  <c r="H113" i="33" s="1"/>
  <c r="I113" i="33" s="1"/>
  <c r="J113" i="33" s="1"/>
  <c r="K113" i="33" s="1"/>
  <c r="L113" i="33" s="1"/>
  <c r="M113" i="33" s="1"/>
  <c r="H37" i="33"/>
  <c r="AB37" i="33"/>
  <c r="W43" i="34"/>
  <c r="AC42" i="34"/>
  <c r="W42" i="34"/>
  <c r="S42" i="34"/>
  <c r="AC38" i="34"/>
  <c r="W38" i="34"/>
  <c r="AA38" i="34"/>
  <c r="S38" i="34"/>
  <c r="J37" i="33"/>
  <c r="W37" i="33"/>
  <c r="J44" i="34"/>
  <c r="AC44" i="34"/>
  <c r="F44" i="34"/>
  <c r="S44" i="34"/>
  <c r="J10" i="35"/>
  <c r="W10" i="35"/>
  <c r="S30" i="21"/>
  <c r="U44" i="21"/>
  <c r="W46" i="21"/>
  <c r="H26" i="33"/>
  <c r="U26" i="33" s="1"/>
  <c r="H28" i="33"/>
  <c r="U28" i="33" s="1"/>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U13" i="21"/>
  <c r="W27" i="21"/>
  <c r="U29" i="21"/>
  <c r="S29" i="21"/>
  <c r="U31" i="21"/>
  <c r="S31" i="21"/>
  <c r="W45" i="21"/>
  <c r="U45" i="21"/>
  <c r="J27" i="33"/>
  <c r="F27" i="33"/>
  <c r="S27" i="33" s="1"/>
  <c r="F13" i="33"/>
  <c r="J29" i="33"/>
  <c r="J31" i="33"/>
  <c r="AC31" i="33" s="1"/>
  <c r="H31" i="33"/>
  <c r="S31" i="33"/>
  <c r="J45" i="33"/>
  <c r="W45" i="33"/>
  <c r="F45" i="33"/>
  <c r="S45" i="33"/>
  <c r="H28" i="36"/>
  <c r="U28" i="36"/>
  <c r="J11" i="36"/>
  <c r="H13" i="36"/>
  <c r="AB13" i="36" s="1"/>
  <c r="J13" i="36"/>
  <c r="F13" i="36"/>
  <c r="S13" i="36" s="1"/>
  <c r="E89" i="37"/>
  <c r="F89" i="37" s="1"/>
  <c r="G89" i="37"/>
  <c r="H89" i="37" s="1"/>
  <c r="I89" i="37" s="1"/>
  <c r="J89" i="37" s="1"/>
  <c r="K89" i="37" s="1"/>
  <c r="L89" i="37" s="1"/>
  <c r="M89" i="37" s="1"/>
  <c r="J29" i="37"/>
  <c r="W29" i="37"/>
  <c r="F29" i="37"/>
  <c r="AA29" i="37"/>
  <c r="AB36" i="37"/>
  <c r="J37" i="37"/>
  <c r="H37" i="37"/>
  <c r="U37" i="37" s="1"/>
  <c r="H40" i="37"/>
  <c r="J40" i="37"/>
  <c r="AC40" i="37" s="1"/>
  <c r="F40" i="37"/>
  <c r="AA40" i="37"/>
  <c r="H44" i="33"/>
  <c r="J44" i="33"/>
  <c r="F44" i="33"/>
  <c r="S44" i="33" s="1"/>
  <c r="J46" i="33"/>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AA38" i="37"/>
  <c r="AB13" i="35"/>
  <c r="J36" i="37"/>
  <c r="AC36" i="37" s="1"/>
  <c r="G105" i="37"/>
  <c r="AB28" i="36"/>
  <c r="S46" i="21"/>
  <c r="U46" i="21"/>
  <c r="S28" i="21"/>
  <c r="W31" i="34"/>
  <c r="U36" i="37"/>
  <c r="AB45" i="33"/>
  <c r="AA27" i="33"/>
  <c r="S45" i="21"/>
  <c r="AC28" i="33"/>
  <c r="S19" i="21"/>
  <c r="S505" i="31"/>
  <c r="S503" i="31"/>
  <c r="S501" i="31"/>
  <c r="S499" i="31"/>
  <c r="O27" i="31"/>
  <c r="O28" i="31"/>
  <c r="O26" i="31"/>
  <c r="Q26" i="31"/>
  <c r="Q27" i="31"/>
  <c r="Q28" i="31"/>
  <c r="AC28" i="34"/>
  <c r="S12" i="21"/>
  <c r="U25" i="21"/>
  <c r="S25" i="21"/>
  <c r="E125" i="33"/>
  <c r="F125" i="33" s="1"/>
  <c r="G125" i="33" s="1"/>
  <c r="H43" i="33"/>
  <c r="U43" i="33"/>
  <c r="H17" i="37"/>
  <c r="U17" i="37"/>
  <c r="F23" i="37"/>
  <c r="S23" i="37"/>
  <c r="AB27" i="37"/>
  <c r="F39" i="33"/>
  <c r="AA39"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W23" i="35"/>
  <c r="AC23" i="37"/>
  <c r="S27" i="37"/>
  <c r="U39" i="37"/>
  <c r="AC8" i="37"/>
  <c r="AC36" i="34"/>
  <c r="AB8" i="34"/>
  <c r="AC37" i="33"/>
  <c r="AC45" i="33"/>
  <c r="U19" i="21"/>
  <c r="S39" i="33"/>
  <c r="F43" i="33"/>
  <c r="AA43" i="33"/>
  <c r="AA23" i="37"/>
  <c r="S10" i="35"/>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F21" i="40"/>
  <c r="S21" i="40" s="1"/>
  <c r="W36" i="40"/>
  <c r="F90" i="40"/>
  <c r="G90" i="40" s="1"/>
  <c r="J21" i="40"/>
  <c r="AC21" i="40"/>
  <c r="J57" i="39"/>
  <c r="H13" i="40"/>
  <c r="U13" i="40"/>
  <c r="H12" i="48"/>
  <c r="I4" i="4"/>
  <c r="K143" i="21"/>
  <c r="I59" i="40"/>
  <c r="C59" i="40" s="1"/>
  <c r="I60" i="40"/>
  <c r="C60" i="40" s="1"/>
  <c r="W9" i="33"/>
  <c r="H7" i="48"/>
  <c r="H113" i="46"/>
  <c r="H17" i="46"/>
  <c r="F33" i="46"/>
  <c r="F35" i="46"/>
  <c r="F37" i="46"/>
  <c r="H16" i="48"/>
  <c r="H9" i="48"/>
  <c r="H8" i="48"/>
  <c r="C12" i="46"/>
  <c r="AB16" i="35"/>
  <c r="AB15" i="37"/>
  <c r="U43" i="21"/>
  <c r="AA13" i="40"/>
  <c r="F78" i="40"/>
  <c r="G78" i="40" s="1"/>
  <c r="H78" i="40"/>
  <c r="I78" i="40" s="1"/>
  <c r="J78" i="40" s="1"/>
  <c r="K78" i="40" s="1"/>
  <c r="L78" i="40" s="1"/>
  <c r="M78" i="40" s="1"/>
  <c r="R16" i="4"/>
  <c r="P16" i="4"/>
  <c r="D3" i="35"/>
  <c r="G4" i="4"/>
  <c r="S37" i="34"/>
  <c r="J16" i="35"/>
  <c r="W16" i="35"/>
  <c r="AC26" i="36"/>
  <c r="AA36" i="35"/>
  <c r="H11" i="37"/>
  <c r="AB11" i="37"/>
  <c r="S42" i="33"/>
  <c r="U32" i="33"/>
  <c r="AB17" i="37"/>
  <c r="AA45" i="33"/>
  <c r="AC10" i="36"/>
  <c r="AC14" i="37"/>
  <c r="S25" i="35"/>
  <c r="AC29" i="37"/>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103" i="37"/>
  <c r="I103" i="37" s="1"/>
  <c r="J103" i="37"/>
  <c r="K103" i="37" s="1"/>
  <c r="L103" i="37" s="1"/>
  <c r="M103" i="37" s="1"/>
  <c r="H35" i="37"/>
  <c r="AB35" i="37" s="1"/>
  <c r="S26" i="21"/>
  <c r="U32" i="21"/>
  <c r="U26" i="21"/>
  <c r="S33" i="21"/>
  <c r="W9" i="21"/>
  <c r="S17" i="21"/>
  <c r="S40" i="21"/>
  <c r="E119" i="21"/>
  <c r="F119" i="21"/>
  <c r="G119" i="21" s="1"/>
  <c r="H119" i="21" s="1"/>
  <c r="I119" i="21" s="1"/>
  <c r="J119" i="21" s="1"/>
  <c r="K119" i="21" s="1"/>
  <c r="L119" i="21" s="1"/>
  <c r="M119" i="21" s="1"/>
  <c r="AA8" i="33"/>
  <c r="S8" i="33"/>
  <c r="AC8" i="33"/>
  <c r="F10" i="33"/>
  <c r="AA10" i="33" s="1"/>
  <c r="F11" i="33"/>
  <c r="J15" i="33"/>
  <c r="W15" i="33" s="1"/>
  <c r="H19" i="33"/>
  <c r="AB19" i="33" s="1"/>
  <c r="F32" i="33"/>
  <c r="AA32" i="33" s="1"/>
  <c r="J32" i="33"/>
  <c r="AC32" i="33" s="1"/>
  <c r="F35" i="33"/>
  <c r="AA35" i="33" s="1"/>
  <c r="AB39" i="34"/>
  <c r="F11" i="34"/>
  <c r="S11" i="34"/>
  <c r="F80" i="34"/>
  <c r="H17" i="34"/>
  <c r="AB17" i="34"/>
  <c r="AB28" i="35"/>
  <c r="U28" i="35"/>
  <c r="J13" i="33"/>
  <c r="H13" i="33"/>
  <c r="H29" i="33"/>
  <c r="AB29" i="33" s="1"/>
  <c r="F29" i="33"/>
  <c r="AA29" i="33" s="1"/>
  <c r="J12" i="34"/>
  <c r="H12" i="34"/>
  <c r="AB12" i="34" s="1"/>
  <c r="F12" i="34"/>
  <c r="S12" i="34" s="1"/>
  <c r="J14" i="34"/>
  <c r="F14" i="34"/>
  <c r="S14" i="34" s="1"/>
  <c r="H14" i="34"/>
  <c r="AB14" i="34" s="1"/>
  <c r="H30" i="34"/>
  <c r="AB30" i="34" s="1"/>
  <c r="F30" i="34"/>
  <c r="S30" i="34" s="1"/>
  <c r="J30" i="34"/>
  <c r="H32" i="34"/>
  <c r="F32" i="34"/>
  <c r="AA32" i="34" s="1"/>
  <c r="J32" i="34"/>
  <c r="W32" i="34" s="1"/>
  <c r="H46" i="34"/>
  <c r="AB46" i="34" s="1"/>
  <c r="F46" i="34"/>
  <c r="AA46" i="34" s="1"/>
  <c r="J46" i="34"/>
  <c r="AC46" i="34" s="1"/>
  <c r="H11" i="35"/>
  <c r="AB11" i="35" s="1"/>
  <c r="H32" i="37"/>
  <c r="AB32" i="37" s="1"/>
  <c r="F99" i="37"/>
  <c r="U25" i="35"/>
  <c r="U31" i="34"/>
  <c r="W40" i="37"/>
  <c r="S28" i="33"/>
  <c r="S14" i="21"/>
  <c r="AA44" i="34"/>
  <c r="AB29" i="35"/>
  <c r="U29" i="35"/>
  <c r="W19" i="33"/>
  <c r="AB43" i="34"/>
  <c r="AC34" i="37"/>
  <c r="S35" i="37"/>
  <c r="AA35" i="37"/>
  <c r="AB10" i="35"/>
  <c r="S32" i="21"/>
  <c r="U38" i="21"/>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AC32" i="35" s="1"/>
  <c r="H11" i="36"/>
  <c r="F11" i="36"/>
  <c r="W16" i="36"/>
  <c r="E78" i="36"/>
  <c r="F78" i="36" s="1"/>
  <c r="G78" i="36"/>
  <c r="H78" i="36" s="1"/>
  <c r="I78" i="36" s="1"/>
  <c r="J78" i="36" s="1"/>
  <c r="K78" i="36" s="1"/>
  <c r="L78" i="36" s="1"/>
  <c r="M78" i="36" s="1"/>
  <c r="F26" i="36"/>
  <c r="S26" i="36"/>
  <c r="AB34" i="36"/>
  <c r="H33" i="36"/>
  <c r="U33" i="36"/>
  <c r="F33" i="36"/>
  <c r="AA33" i="36"/>
  <c r="H27" i="36"/>
  <c r="AB27" i="36"/>
  <c r="AA31" i="36"/>
  <c r="W26" i="37"/>
  <c r="AA30" i="37"/>
  <c r="S30" i="37"/>
  <c r="AC30" i="37"/>
  <c r="W31" i="37"/>
  <c r="F17" i="39"/>
  <c r="AA17" i="39" s="1"/>
  <c r="H17" i="39"/>
  <c r="U17" i="39" s="1"/>
  <c r="J17" i="39"/>
  <c r="W17" i="39" s="1"/>
  <c r="F21" i="39"/>
  <c r="S21" i="39" s="1"/>
  <c r="H21" i="39"/>
  <c r="U21" i="39" s="1"/>
  <c r="J21" i="39"/>
  <c r="W21" i="39" s="1"/>
  <c r="F33" i="39"/>
  <c r="S33" i="39" s="1"/>
  <c r="H33" i="39"/>
  <c r="U33" i="39"/>
  <c r="J33" i="39"/>
  <c r="F44" i="39"/>
  <c r="S44" i="39" s="1"/>
  <c r="H44" i="39"/>
  <c r="J44" i="39"/>
  <c r="W44" i="39" s="1"/>
  <c r="E128" i="39"/>
  <c r="F128" i="39" s="1"/>
  <c r="G128" i="39"/>
  <c r="H128" i="39" s="1"/>
  <c r="I128" i="39" s="1"/>
  <c r="J128" i="39" s="1"/>
  <c r="K128" i="39" s="1"/>
  <c r="L128" i="39" s="1"/>
  <c r="M128" i="39" s="1"/>
  <c r="S46" i="39"/>
  <c r="E103" i="39"/>
  <c r="F29" i="39"/>
  <c r="AA29" i="39" s="1"/>
  <c r="F103" i="39"/>
  <c r="G103" i="39"/>
  <c r="H29" i="39"/>
  <c r="U29" i="39" s="1"/>
  <c r="F34" i="39"/>
  <c r="AA34" i="39" s="1"/>
  <c r="H34" i="39"/>
  <c r="J34" i="39"/>
  <c r="AC34" i="39" s="1"/>
  <c r="F39" i="39"/>
  <c r="AA39" i="39" s="1"/>
  <c r="AB39" i="39"/>
  <c r="J29" i="35"/>
  <c r="AC29" i="35" s="1"/>
  <c r="F29" i="35"/>
  <c r="W30" i="36"/>
  <c r="F37" i="39"/>
  <c r="H37" i="39"/>
  <c r="U37" i="39" s="1"/>
  <c r="J37" i="39"/>
  <c r="W37" i="39" s="1"/>
  <c r="F36" i="44"/>
  <c r="G114" i="34"/>
  <c r="H114" i="34" s="1"/>
  <c r="I114" i="34" s="1"/>
  <c r="J114" i="34" s="1"/>
  <c r="K114" i="34" s="1"/>
  <c r="L114" i="34" s="1"/>
  <c r="M114" i="34" s="1"/>
  <c r="H38" i="34"/>
  <c r="U38" i="34"/>
  <c r="H30" i="40"/>
  <c r="AB30" i="40"/>
  <c r="J30" i="40"/>
  <c r="AC30" i="40" s="1"/>
  <c r="F38" i="40"/>
  <c r="AA38" i="40" s="1"/>
  <c r="AA36" i="34"/>
  <c r="S35" i="21"/>
  <c r="U8" i="21"/>
  <c r="S34" i="21"/>
  <c r="U8" i="33"/>
  <c r="E106" i="33"/>
  <c r="H34" i="33"/>
  <c r="U34" i="33" s="1"/>
  <c r="F34" i="33"/>
  <c r="E121" i="33"/>
  <c r="F121" i="33" s="1"/>
  <c r="F41" i="33"/>
  <c r="S41" i="33"/>
  <c r="AC34" i="34"/>
  <c r="W34" i="34"/>
  <c r="S39" i="34"/>
  <c r="E78" i="34"/>
  <c r="F15" i="34"/>
  <c r="AC28" i="35"/>
  <c r="J20" i="35"/>
  <c r="AC20" i="35" s="1"/>
  <c r="E72" i="35"/>
  <c r="F72" i="35" s="1"/>
  <c r="G72" i="35" s="1"/>
  <c r="H22" i="35"/>
  <c r="AB22" i="35"/>
  <c r="H23" i="35"/>
  <c r="F23" i="35"/>
  <c r="AA23" i="35" s="1"/>
  <c r="AB36" i="35"/>
  <c r="U31" i="36"/>
  <c r="S8" i="37"/>
  <c r="AA8" i="37"/>
  <c r="F14" i="39"/>
  <c r="AA14" i="39"/>
  <c r="H14" i="39"/>
  <c r="AB14" i="39"/>
  <c r="J14" i="39"/>
  <c r="AC14" i="39"/>
  <c r="F16" i="39"/>
  <c r="AA16" i="39"/>
  <c r="H16" i="39"/>
  <c r="U16" i="39"/>
  <c r="J16" i="39"/>
  <c r="AC16" i="39"/>
  <c r="E97" i="39"/>
  <c r="F97" i="39" s="1"/>
  <c r="F15" i="40"/>
  <c r="AA15" i="40" s="1"/>
  <c r="J15" i="40"/>
  <c r="AC15" i="40" s="1"/>
  <c r="H15" i="40"/>
  <c r="AB15" i="40"/>
  <c r="E92" i="40"/>
  <c r="F92" i="40"/>
  <c r="H23" i="40"/>
  <c r="U23" i="40"/>
  <c r="AB41" i="40"/>
  <c r="H36" i="33"/>
  <c r="AB36" i="33" s="1"/>
  <c r="H37" i="34"/>
  <c r="U37" i="34" s="1"/>
  <c r="AA15" i="39"/>
  <c r="F45" i="39"/>
  <c r="AA45" i="39"/>
  <c r="H45" i="39"/>
  <c r="U45" i="39"/>
  <c r="J45" i="39"/>
  <c r="AC45" i="39"/>
  <c r="F47" i="39"/>
  <c r="AA47" i="39"/>
  <c r="H47" i="39"/>
  <c r="AB47" i="39"/>
  <c r="J47" i="39"/>
  <c r="W47" i="39"/>
  <c r="J25" i="40"/>
  <c r="AC25" i="40" s="1"/>
  <c r="J32" i="40"/>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J42" i="40"/>
  <c r="AC42" i="40"/>
  <c r="J40" i="40"/>
  <c r="AC40" i="40"/>
  <c r="J34" i="40"/>
  <c r="AC34" i="40"/>
  <c r="F32" i="40"/>
  <c r="AA32" i="40"/>
  <c r="M1" i="46"/>
  <c r="M6" i="46"/>
  <c r="M10" i="46"/>
  <c r="N2" i="46"/>
  <c r="N5" i="46"/>
  <c r="F58" i="46"/>
  <c r="F47" i="46"/>
  <c r="H49" i="46"/>
  <c r="N7" i="46"/>
  <c r="M7" i="46"/>
  <c r="M11" i="46"/>
  <c r="N3" i="46"/>
  <c r="N6" i="46"/>
  <c r="N10" i="46"/>
  <c r="H47" i="46"/>
  <c r="J13" i="40"/>
  <c r="W13" i="40" s="1"/>
  <c r="W40" i="40"/>
  <c r="F34" i="44"/>
  <c r="F27" i="43"/>
  <c r="F66" i="9"/>
  <c r="P72" i="9" s="1"/>
  <c r="F71" i="9"/>
  <c r="F72" i="9"/>
  <c r="S33" i="40"/>
  <c r="AC47" i="39"/>
  <c r="S47" i="39"/>
  <c r="AB37" i="34"/>
  <c r="J23" i="40"/>
  <c r="AC23" i="40" s="1"/>
  <c r="G92" i="40"/>
  <c r="F23" i="40"/>
  <c r="S23" i="40"/>
  <c r="W15" i="40"/>
  <c r="AB16" i="39"/>
  <c r="W14" i="39"/>
  <c r="U23" i="35"/>
  <c r="AB23" i="35"/>
  <c r="H20" i="35"/>
  <c r="F20" i="35"/>
  <c r="S20" i="35" s="1"/>
  <c r="H15" i="34"/>
  <c r="AB15" i="34" s="1"/>
  <c r="F78" i="34"/>
  <c r="G78" i="34" s="1"/>
  <c r="J15" i="34"/>
  <c r="H41" i="33"/>
  <c r="U41" i="33"/>
  <c r="G121" i="33"/>
  <c r="H121" i="33" s="1"/>
  <c r="I121" i="33" s="1"/>
  <c r="J121" i="33" s="1"/>
  <c r="K121" i="33" s="1"/>
  <c r="L121" i="33" s="1"/>
  <c r="M121" i="33" s="1"/>
  <c r="F30" i="40"/>
  <c r="AA30" i="40"/>
  <c r="I100" i="40"/>
  <c r="J100" i="40" s="1"/>
  <c r="K100" i="40" s="1"/>
  <c r="L100" i="40" s="1"/>
  <c r="M100" i="40" s="1"/>
  <c r="AB38" i="34"/>
  <c r="AB37" i="39"/>
  <c r="U39" i="39"/>
  <c r="J29" i="39"/>
  <c r="AC29" i="39" s="1"/>
  <c r="AB21" i="39"/>
  <c r="AB17" i="39"/>
  <c r="AB33" i="36"/>
  <c r="AA14" i="35"/>
  <c r="S14" i="35"/>
  <c r="G99" i="37"/>
  <c r="F33" i="37"/>
  <c r="U46" i="34"/>
  <c r="AA14" i="34"/>
  <c r="U29" i="33"/>
  <c r="U17" i="34"/>
  <c r="AA11" i="34"/>
  <c r="W32" i="33"/>
  <c r="H15" i="33"/>
  <c r="U15" i="33"/>
  <c r="W34" i="40"/>
  <c r="AB34" i="40"/>
  <c r="AB42" i="40"/>
  <c r="AC16" i="40"/>
  <c r="H25" i="40"/>
  <c r="AB25" i="40" s="1"/>
  <c r="F94" i="40"/>
  <c r="G94" i="40" s="1"/>
  <c r="U47" i="39"/>
  <c r="J37" i="34"/>
  <c r="AC37" i="34" s="1"/>
  <c r="J36" i="33"/>
  <c r="W36" i="33" s="1"/>
  <c r="AB23" i="40"/>
  <c r="J23" i="39"/>
  <c r="AC23" i="39" s="1"/>
  <c r="G97" i="39"/>
  <c r="S16" i="39"/>
  <c r="S15" i="34"/>
  <c r="AA15" i="34"/>
  <c r="AA41" i="33"/>
  <c r="F106" i="33"/>
  <c r="G106" i="33" s="1"/>
  <c r="H106" i="33" s="1"/>
  <c r="I106" i="33" s="1"/>
  <c r="J106" i="33" s="1"/>
  <c r="K106" i="33" s="1"/>
  <c r="L106" i="33" s="1"/>
  <c r="M106" i="33" s="1"/>
  <c r="J34" i="33"/>
  <c r="AC34" i="33" s="1"/>
  <c r="U30" i="40"/>
  <c r="W29" i="35"/>
  <c r="S39" i="39"/>
  <c r="AC33" i="39"/>
  <c r="W33" i="39"/>
  <c r="AA33" i="39"/>
  <c r="S17" i="39"/>
  <c r="F80" i="35"/>
  <c r="G80" i="35" s="1"/>
  <c r="H80" i="35" s="1"/>
  <c r="I80" i="35" s="1"/>
  <c r="J80" i="35" s="1"/>
  <c r="K80" i="35" s="1"/>
  <c r="L80" i="35" s="1"/>
  <c r="M80" i="35" s="1"/>
  <c r="W14" i="35"/>
  <c r="F90" i="34"/>
  <c r="G90" i="34"/>
  <c r="H90" i="34" s="1"/>
  <c r="I90" i="34" s="1"/>
  <c r="J90" i="34" s="1"/>
  <c r="K90" i="34" s="1"/>
  <c r="L90" i="34" s="1"/>
  <c r="M90" i="34" s="1"/>
  <c r="H96" i="37"/>
  <c r="I96" i="37" s="1"/>
  <c r="J96" i="37"/>
  <c r="K96" i="37" s="1"/>
  <c r="L96" i="37" s="1"/>
  <c r="M96" i="37" s="1"/>
  <c r="F32" i="37"/>
  <c r="S32" i="37" s="1"/>
  <c r="U11" i="35"/>
  <c r="S46" i="34"/>
  <c r="U14" i="34"/>
  <c r="U12" i="34"/>
  <c r="G80" i="34"/>
  <c r="F17" i="34"/>
  <c r="AA17" i="34"/>
  <c r="J17" i="34"/>
  <c r="AC17" i="34"/>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c r="AP11" i="1"/>
  <c r="B11" i="1"/>
  <c r="E11" i="1" s="1"/>
  <c r="B9" i="1"/>
  <c r="E9" i="1" s="1"/>
  <c r="B7" i="1"/>
  <c r="E7" i="1" s="1"/>
  <c r="C20" i="43"/>
  <c r="AP6" i="1"/>
  <c r="G11" i="1"/>
  <c r="M22" i="44"/>
  <c r="F59" i="15"/>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W10" i="33"/>
  <c r="AC21" i="33"/>
  <c r="W21" i="33"/>
  <c r="AB10" i="33"/>
  <c r="AB21" i="33"/>
  <c r="U21" i="33"/>
  <c r="AA21" i="33"/>
  <c r="S21" i="33"/>
  <c r="AA44" i="33"/>
  <c r="AA36" i="33"/>
  <c r="S44" i="21"/>
  <c r="W39" i="21"/>
  <c r="U35" i="21"/>
  <c r="W43" i="21"/>
  <c r="F85" i="21"/>
  <c r="G85" i="21"/>
  <c r="W17" i="21"/>
  <c r="S15" i="21"/>
  <c r="F77" i="21"/>
  <c r="G77" i="21" s="1"/>
  <c r="W13" i="21"/>
  <c r="W21" i="21"/>
  <c r="W44" i="21"/>
  <c r="W10"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C38" i="39"/>
  <c r="AC21" i="39"/>
  <c r="S14" i="39"/>
  <c r="U11" i="39"/>
  <c r="U41" i="39"/>
  <c r="AB38" i="39"/>
  <c r="U31" i="39"/>
  <c r="AB31" i="39"/>
  <c r="S38" i="39"/>
  <c r="M20" i="15"/>
  <c r="D96" i="9"/>
  <c r="M18" i="15"/>
  <c r="A18" i="64"/>
  <c r="B74" i="63" s="1"/>
  <c r="C53" i="10"/>
  <c r="A25" i="64" s="1"/>
  <c r="A18" i="51"/>
  <c r="B14" i="63"/>
  <c r="F3" i="35"/>
  <c r="K1" i="43"/>
  <c r="K1" i="12"/>
  <c r="G1" i="44"/>
  <c r="I4" i="6"/>
  <c r="G3" i="46" s="1"/>
  <c r="AD11" i="46" s="1"/>
  <c r="AD13"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U12" i="35"/>
  <c r="AB12" i="35"/>
  <c r="S14" i="37"/>
  <c r="U13" i="37"/>
  <c r="S13" i="21"/>
  <c r="C24" i="9"/>
  <c r="C25" i="9"/>
  <c r="AP7" i="1"/>
  <c r="G7" i="1"/>
  <c r="AP9" i="1"/>
  <c r="G9" i="1"/>
  <c r="AP8" i="1"/>
  <c r="G8" i="1"/>
  <c r="I20" i="46"/>
  <c r="C20" i="46" s="1"/>
  <c r="L5" i="54"/>
  <c r="B39" i="63"/>
  <c r="K5" i="54"/>
  <c r="B38" i="63"/>
  <c r="T41" i="4"/>
  <c r="A17" i="64"/>
  <c r="B46" i="50"/>
  <c r="B4" i="63"/>
  <c r="C46" i="36"/>
  <c r="D46" i="36"/>
  <c r="C59" i="34"/>
  <c r="D59" i="34"/>
  <c r="E59" i="34" s="1"/>
  <c r="F59" i="34" s="1"/>
  <c r="C48" i="35"/>
  <c r="D48" i="35" s="1"/>
  <c r="C52" i="37"/>
  <c r="D52" i="37" s="1"/>
  <c r="C67" i="40"/>
  <c r="D65" i="40"/>
  <c r="H77" i="46"/>
  <c r="H73" i="46"/>
  <c r="H69" i="46"/>
  <c r="H74" i="46"/>
  <c r="H86" i="46"/>
  <c r="H82" i="46"/>
  <c r="H63" i="46"/>
  <c r="H59" i="46"/>
  <c r="H64" i="46"/>
  <c r="H60" i="46"/>
  <c r="H10" i="48"/>
  <c r="H87" i="46"/>
  <c r="H85" i="46"/>
  <c r="H83" i="46"/>
  <c r="R11" i="1"/>
  <c r="R13" i="1"/>
  <c r="B6" i="1"/>
  <c r="E6" i="1" s="1"/>
  <c r="B10" i="1"/>
  <c r="E10" i="1" s="1"/>
  <c r="B8" i="1"/>
  <c r="E8" i="1" s="1"/>
  <c r="B12" i="1"/>
  <c r="E12" i="1" s="1"/>
  <c r="F66" i="36"/>
  <c r="H18" i="36"/>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W25" i="21"/>
  <c r="U27" i="21"/>
  <c r="W31" i="21"/>
  <c r="S27" i="21"/>
  <c r="W29" i="21"/>
  <c r="G96" i="40"/>
  <c r="J27" i="40"/>
  <c r="W37" i="40"/>
  <c r="S17" i="40"/>
  <c r="W30" i="40"/>
  <c r="S34" i="40"/>
  <c r="U17" i="40"/>
  <c r="U38" i="40"/>
  <c r="S40" i="40"/>
  <c r="S42" i="40"/>
  <c r="J31" i="39"/>
  <c r="W31" i="39" s="1"/>
  <c r="S45" i="39"/>
  <c r="W41" i="39"/>
  <c r="AB33" i="39"/>
  <c r="S34" i="39"/>
  <c r="W42" i="39"/>
  <c r="W36" i="39"/>
  <c r="AC37" i="39"/>
  <c r="U14" i="39"/>
  <c r="W16" i="39"/>
  <c r="S1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G6" i="1"/>
  <c r="F29"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AT6" i="3"/>
  <c r="G29" i="6"/>
  <c r="H70" i="46"/>
  <c r="H72" i="46"/>
  <c r="A9" i="64"/>
  <c r="A9" i="51"/>
  <c r="B9" i="63" s="1"/>
  <c r="A25" i="51"/>
  <c r="B18" i="63" s="1"/>
  <c r="A3" i="55"/>
  <c r="B56" i="63" s="1"/>
  <c r="E52" i="37"/>
  <c r="F52" i="37" s="1"/>
  <c r="G52" i="37" s="1"/>
  <c r="E46" i="36"/>
  <c r="F46" i="36" s="1"/>
  <c r="D67" i="40"/>
  <c r="E65" i="40"/>
  <c r="E67" i="40" s="1"/>
  <c r="E4" i="4"/>
  <c r="C4" i="4"/>
  <c r="G66" i="36"/>
  <c r="J18" i="36"/>
  <c r="W18" i="36" s="1"/>
  <c r="AE8" i="1"/>
  <c r="AE6" i="1"/>
  <c r="AC18" i="36"/>
  <c r="AG6" i="1"/>
  <c r="D12" i="11"/>
  <c r="C12" i="11" s="1"/>
  <c r="E29" i="6"/>
  <c r="K15" i="1"/>
  <c r="B21" i="55"/>
  <c r="B72" i="63"/>
  <c r="B20" i="55"/>
  <c r="B70" i="63"/>
  <c r="R9" i="1"/>
  <c r="R8" i="1"/>
  <c r="N76" i="9"/>
  <c r="C46" i="9"/>
  <c r="K33" i="9" s="1"/>
  <c r="A30" i="51"/>
  <c r="B22" i="63"/>
  <c r="A30" i="64"/>
  <c r="G30" i="6"/>
  <c r="G31" i="6" s="1"/>
  <c r="E30" i="6"/>
  <c r="E10" i="6"/>
  <c r="G101" i="46"/>
  <c r="G106" i="46" s="1"/>
  <c r="F101" i="46"/>
  <c r="F104" i="46" s="1"/>
  <c r="M101" i="46"/>
  <c r="M106" i="46" s="1"/>
  <c r="J101" i="46"/>
  <c r="E48" i="35"/>
  <c r="F48" i="35" s="1"/>
  <c r="G48" i="35" s="1"/>
  <c r="H48" i="35" s="1"/>
  <c r="I48" i="35" s="1"/>
  <c r="F109" i="46"/>
  <c r="F105" i="46"/>
  <c r="G105" i="46"/>
  <c r="J107" i="46"/>
  <c r="M102" i="46"/>
  <c r="G59" i="34"/>
  <c r="H59" i="34" s="1"/>
  <c r="I59" i="34" s="1"/>
  <c r="J59" i="34" s="1"/>
  <c r="K59" i="34" s="1"/>
  <c r="L59" i="34" s="1"/>
  <c r="M59" i="34" s="1"/>
  <c r="S7" i="46"/>
  <c r="S4" i="46"/>
  <c r="S6" i="46"/>
  <c r="S2" i="46"/>
  <c r="S3" i="46"/>
  <c r="S5" i="46"/>
  <c r="J22" i="46"/>
  <c r="E11" i="6"/>
  <c r="E63" i="39" s="1"/>
  <c r="E12" i="6"/>
  <c r="E64" i="39" s="1"/>
  <c r="E13" i="6"/>
  <c r="E65" i="39" s="1"/>
  <c r="E14" i="6"/>
  <c r="E66" i="39" s="1"/>
  <c r="E15" i="6"/>
  <c r="E67" i="39" s="1"/>
  <c r="E59" i="40"/>
  <c r="E61" i="40"/>
  <c r="R25" i="31"/>
  <c r="S25" i="31" s="1"/>
  <c r="R26" i="31"/>
  <c r="S26" i="31" s="1"/>
  <c r="R27" i="31"/>
  <c r="S27" i="31" s="1"/>
  <c r="R28" i="31"/>
  <c r="S28" i="31" s="1"/>
  <c r="R29" i="31"/>
  <c r="S29" i="31" s="1"/>
  <c r="R30" i="31"/>
  <c r="S30" i="31" s="1"/>
  <c r="S24" i="31"/>
  <c r="F20" i="66"/>
  <c r="E20" i="66"/>
  <c r="F19" i="66"/>
  <c r="E19" i="66"/>
  <c r="F18" i="66"/>
  <c r="E18" i="66"/>
  <c r="F17" i="66"/>
  <c r="E17" i="66"/>
  <c r="F16" i="66"/>
  <c r="E16" i="66"/>
  <c r="F15" i="66"/>
  <c r="E15" i="66"/>
  <c r="F45" i="44"/>
  <c r="B14" i="67"/>
  <c r="B8" i="67"/>
  <c r="F10" i="67"/>
  <c r="F8" i="44"/>
  <c r="J15" i="15"/>
  <c r="E13" i="67"/>
  <c r="F40" i="44"/>
  <c r="F16" i="15"/>
  <c r="F6" i="15"/>
  <c r="M23" i="15"/>
  <c r="F42" i="15"/>
  <c r="F14" i="67"/>
  <c r="F38" i="15"/>
  <c r="F11" i="44"/>
  <c r="M9" i="15"/>
  <c r="F10" i="44"/>
  <c r="E12" i="67"/>
  <c r="B10" i="67"/>
  <c r="M11" i="44"/>
  <c r="F39" i="44"/>
  <c r="M24" i="15"/>
  <c r="F46" i="44"/>
  <c r="L47" i="15"/>
  <c r="B11" i="67"/>
  <c r="M29" i="44"/>
  <c r="F26" i="15"/>
  <c r="C19" i="44"/>
  <c r="F43" i="44"/>
  <c r="E10" i="67"/>
  <c r="L48" i="44"/>
  <c r="J17" i="44"/>
  <c r="F8" i="15"/>
  <c r="J36" i="15"/>
  <c r="L49" i="44"/>
  <c r="F36" i="15"/>
  <c r="E9" i="67"/>
  <c r="F37" i="44"/>
  <c r="M31" i="44"/>
  <c r="B12" i="67"/>
  <c r="E14" i="67"/>
  <c r="F15" i="44"/>
  <c r="F13" i="67"/>
  <c r="M27" i="15"/>
  <c r="M10" i="44"/>
  <c r="M24" i="44"/>
  <c r="B9" i="67"/>
  <c r="M26" i="15"/>
  <c r="E11" i="67"/>
  <c r="F9" i="15"/>
  <c r="M23" i="44"/>
  <c r="F12" i="67"/>
  <c r="M6" i="15"/>
  <c r="M28" i="44"/>
  <c r="E8" i="67"/>
  <c r="F40" i="15"/>
  <c r="B13" i="67"/>
  <c r="F13" i="15"/>
  <c r="F8" i="67"/>
  <c r="M26" i="44"/>
  <c r="F9" i="44"/>
  <c r="F11" i="67"/>
  <c r="M25" i="44"/>
  <c r="M28" i="15"/>
  <c r="F38" i="44"/>
  <c r="L48" i="15"/>
  <c r="F28" i="44"/>
  <c r="M22" i="15"/>
  <c r="M8" i="44"/>
  <c r="M8" i="15"/>
  <c r="F18" i="44"/>
  <c r="F9" i="67"/>
  <c r="F37" i="15"/>
  <c r="M30" i="44"/>
  <c r="K34" i="9" l="1"/>
  <c r="O41" i="9"/>
  <c r="R8" i="54" s="1"/>
  <c r="B54" i="63" s="1"/>
  <c r="I14" i="66"/>
  <c r="B8" i="66" s="1"/>
  <c r="B21" i="63"/>
  <c r="U12" i="36"/>
  <c r="AB12" i="36"/>
  <c r="U25" i="33"/>
  <c r="AC14" i="40"/>
  <c r="AC32" i="40"/>
  <c r="W32" i="40"/>
  <c r="S34" i="33"/>
  <c r="AA34" i="33"/>
  <c r="AB34" i="39"/>
  <c r="U34" i="39"/>
  <c r="U44" i="39"/>
  <c r="AB44" i="39"/>
  <c r="S11" i="36"/>
  <c r="AA11" i="36"/>
  <c r="AB32" i="34"/>
  <c r="U32" i="34"/>
  <c r="W14" i="34"/>
  <c r="AC14" i="34"/>
  <c r="U13" i="33"/>
  <c r="AB13" i="33"/>
  <c r="S11" i="33"/>
  <c r="AA11" i="33"/>
  <c r="U31" i="37"/>
  <c r="S36" i="37"/>
  <c r="AA36" i="37"/>
  <c r="W41" i="34"/>
  <c r="AC41" i="34"/>
  <c r="AC25" i="35"/>
  <c r="W25" i="35"/>
  <c r="AA46" i="33"/>
  <c r="S46" i="33"/>
  <c r="U44" i="33"/>
  <c r="AB44" i="33"/>
  <c r="S13" i="33"/>
  <c r="AA13" i="33"/>
  <c r="AC27" i="33"/>
  <c r="W27" i="33"/>
  <c r="S12" i="33"/>
  <c r="AA12" i="33"/>
  <c r="AB33" i="33"/>
  <c r="U33" i="33"/>
  <c r="AC39" i="34"/>
  <c r="W39" i="34"/>
  <c r="AA43" i="34"/>
  <c r="S43" i="34"/>
  <c r="J27" i="34"/>
  <c r="F27" i="34"/>
  <c r="U40" i="34"/>
  <c r="AB40" i="34"/>
  <c r="J12" i="35"/>
  <c r="H14" i="33"/>
  <c r="F14" i="33"/>
  <c r="J14" i="33"/>
  <c r="H30" i="33"/>
  <c r="F30" i="33"/>
  <c r="J30" i="33"/>
  <c r="J34" i="35"/>
  <c r="H34" i="35"/>
  <c r="F34" i="35"/>
  <c r="AC23" i="36"/>
  <c r="W23" i="36"/>
  <c r="AB24" i="36"/>
  <c r="U24" i="36"/>
  <c r="W24" i="36"/>
  <c r="AC24" i="36"/>
  <c r="F32" i="36"/>
  <c r="H32" i="36"/>
  <c r="J32" i="36"/>
  <c r="U29" i="37"/>
  <c r="AB29" i="37"/>
  <c r="U14" i="37"/>
  <c r="AB14" i="37"/>
  <c r="K141" i="21"/>
  <c r="K144" i="21"/>
  <c r="K145" i="21"/>
  <c r="D42" i="59"/>
  <c r="C43" i="59"/>
  <c r="AC35" i="40"/>
  <c r="W35" i="40"/>
  <c r="U32" i="40"/>
  <c r="AB32" i="40"/>
  <c r="S37" i="39"/>
  <c r="AA37" i="39"/>
  <c r="S29" i="35"/>
  <c r="AA29" i="35"/>
  <c r="AB11" i="36"/>
  <c r="U11" i="36"/>
  <c r="W30" i="34"/>
  <c r="AC30" i="34"/>
  <c r="AC12" i="34"/>
  <c r="W12" i="34"/>
  <c r="W13" i="33"/>
  <c r="AC13" i="33"/>
  <c r="W27" i="37"/>
  <c r="AC27" i="37"/>
  <c r="U35" i="35"/>
  <c r="AB35" i="35"/>
  <c r="AC35" i="35"/>
  <c r="W35" i="35"/>
  <c r="AA45" i="34"/>
  <c r="S45" i="34"/>
  <c r="U45" i="34"/>
  <c r="AB45" i="34"/>
  <c r="AC46" i="33"/>
  <c r="W46" i="33"/>
  <c r="AC44" i="33"/>
  <c r="W44" i="33"/>
  <c r="U40" i="37"/>
  <c r="AB40" i="37"/>
  <c r="AC37" i="37"/>
  <c r="W37" i="37"/>
  <c r="W13" i="36"/>
  <c r="AC13" i="36"/>
  <c r="W11" i="36"/>
  <c r="AC11" i="36"/>
  <c r="U31" i="33"/>
  <c r="AB31" i="33"/>
  <c r="W29" i="33"/>
  <c r="AC29" i="33"/>
  <c r="B73" i="46"/>
  <c r="C29" i="39"/>
  <c r="AC33" i="33"/>
  <c r="W33" i="33"/>
  <c r="S28" i="34"/>
  <c r="AA28" i="34"/>
  <c r="AA12" i="35"/>
  <c r="S12" i="35"/>
  <c r="F11" i="35"/>
  <c r="J11" i="35"/>
  <c r="AA10" i="36"/>
  <c r="S10" i="36"/>
  <c r="AB26" i="36"/>
  <c r="U26" i="36"/>
  <c r="J12" i="36"/>
  <c r="F12" i="36"/>
  <c r="I82" i="39"/>
  <c r="G81" i="39"/>
  <c r="D1" i="57"/>
  <c r="E10" i="57" s="1"/>
  <c r="S18" i="35"/>
  <c r="T55" i="59"/>
  <c r="C54" i="59"/>
  <c r="T63" i="59"/>
  <c r="C62" i="59"/>
  <c r="AI10" i="46"/>
  <c r="AI12" i="46"/>
  <c r="AE10" i="46"/>
  <c r="AE12" i="46"/>
  <c r="AA10" i="46"/>
  <c r="AA12" i="46"/>
  <c r="C6" i="59"/>
  <c r="T7" i="59"/>
  <c r="X21" i="59"/>
  <c r="X22" i="59"/>
  <c r="X20" i="59"/>
  <c r="X18" i="59"/>
  <c r="X16" i="59"/>
  <c r="B17" i="59"/>
  <c r="B18" i="59" s="1"/>
  <c r="B19" i="59" s="1"/>
  <c r="S19" i="59" s="1"/>
  <c r="X14" i="59"/>
  <c r="X12" i="59"/>
  <c r="X10" i="59"/>
  <c r="X8" i="59"/>
  <c r="X5" i="59"/>
  <c r="AB20" i="59"/>
  <c r="AB18" i="59"/>
  <c r="AB16" i="59"/>
  <c r="F17" i="59"/>
  <c r="F18" i="59" s="1"/>
  <c r="F19" i="59" s="1"/>
  <c r="V19" i="59" s="1"/>
  <c r="AB14" i="59"/>
  <c r="AB12" i="59"/>
  <c r="AB9" i="59"/>
  <c r="AB7" i="59"/>
  <c r="AB5" i="59"/>
  <c r="AB3" i="59"/>
  <c r="C21" i="12"/>
  <c r="S21" i="21"/>
  <c r="AA21" i="21"/>
  <c r="G5" i="3"/>
  <c r="B3" i="3" s="1"/>
  <c r="H23" i="39"/>
  <c r="AB23" i="39" s="1"/>
  <c r="H14" i="40"/>
  <c r="H16" i="40"/>
  <c r="F25" i="39"/>
  <c r="J25" i="39"/>
  <c r="H25" i="39"/>
  <c r="J15" i="39"/>
  <c r="H15" i="39"/>
  <c r="J41" i="40"/>
  <c r="F41" i="40"/>
  <c r="J27" i="39"/>
  <c r="AC27" i="39" s="1"/>
  <c r="H27" i="39"/>
  <c r="F27" i="39"/>
  <c r="J39" i="39"/>
  <c r="J46" i="39"/>
  <c r="H46" i="39"/>
  <c r="S37" i="33"/>
  <c r="S40" i="33"/>
  <c r="W39" i="37"/>
  <c r="F25" i="37"/>
  <c r="J25" i="37"/>
  <c r="D108" i="46"/>
  <c r="D100" i="46"/>
  <c r="AA18" i="36"/>
  <c r="S18" i="36"/>
  <c r="T39" i="59"/>
  <c r="D38" i="59"/>
  <c r="D46" i="59"/>
  <c r="D55" i="59"/>
  <c r="B49" i="59"/>
  <c r="C34" i="59"/>
  <c r="C30" i="59"/>
  <c r="D30" i="59" s="1"/>
  <c r="D29" i="59"/>
  <c r="Q49" i="59"/>
  <c r="Q48" i="59"/>
  <c r="O51" i="59"/>
  <c r="C50" i="59"/>
  <c r="D67" i="59"/>
  <c r="C66" i="59"/>
  <c r="AG12" i="46"/>
  <c r="D7" i="59"/>
  <c r="AB19" i="59"/>
  <c r="X19" i="59"/>
  <c r="AB15" i="59"/>
  <c r="X15" i="59"/>
  <c r="S11" i="59"/>
  <c r="O76" i="9"/>
  <c r="K76" i="9"/>
  <c r="K77" i="9" s="1"/>
  <c r="K79" i="9" s="1"/>
  <c r="K81" i="9" s="1"/>
  <c r="X7" i="59"/>
  <c r="Y19" i="59"/>
  <c r="Z19" i="59" s="1"/>
  <c r="C21" i="59"/>
  <c r="Y17" i="59"/>
  <c r="Z17" i="59" s="1"/>
  <c r="Y15" i="59"/>
  <c r="Z15" i="59" s="1"/>
  <c r="Y13" i="59"/>
  <c r="Z13" i="59" s="1"/>
  <c r="C15" i="59"/>
  <c r="Y5" i="59"/>
  <c r="Z5" i="59" s="1"/>
  <c r="AA19" i="59"/>
  <c r="AA17" i="59"/>
  <c r="AA15" i="59"/>
  <c r="AA13" i="59"/>
  <c r="E11" i="59"/>
  <c r="AA11" i="59"/>
  <c r="AA9" i="59"/>
  <c r="E7" i="59"/>
  <c r="AA7" i="59"/>
  <c r="AA6" i="59"/>
  <c r="AA3" i="59"/>
  <c r="E120" i="39"/>
  <c r="F120" i="39" s="1"/>
  <c r="G120" i="39" s="1"/>
  <c r="H120" i="39" s="1"/>
  <c r="I120" i="39" s="1"/>
  <c r="J120" i="39" s="1"/>
  <c r="F40" i="39"/>
  <c r="H40" i="39"/>
  <c r="J40" i="39"/>
  <c r="H37" i="21"/>
  <c r="J37" i="21"/>
  <c r="F37" i="21"/>
  <c r="F42" i="21"/>
  <c r="H42" i="21"/>
  <c r="J42" i="21"/>
  <c r="BA489" i="3"/>
  <c r="AZ489" i="3" s="1"/>
  <c r="BL486" i="3"/>
  <c r="AZ486" i="3" s="1"/>
  <c r="BA485" i="3"/>
  <c r="AZ485" i="3" s="1"/>
  <c r="C18" i="9"/>
  <c r="G19" i="46"/>
  <c r="E79" i="21"/>
  <c r="F79" i="21" s="1"/>
  <c r="G79" i="21" s="1"/>
  <c r="K13" i="1"/>
  <c r="M13" i="1" s="1"/>
  <c r="O13" i="1" s="1"/>
  <c r="P13" i="1" s="1"/>
  <c r="K11" i="1"/>
  <c r="M11" i="1" s="1"/>
  <c r="O11" i="1" s="1"/>
  <c r="P11" i="1" s="1"/>
  <c r="K9" i="1"/>
  <c r="M9" i="1" s="1"/>
  <c r="O9" i="1" s="1"/>
  <c r="P9" i="1" s="1"/>
  <c r="J30" i="21"/>
  <c r="J28" i="21"/>
  <c r="J14" i="21"/>
  <c r="J12" i="21"/>
  <c r="J23" i="21"/>
  <c r="J32" i="21"/>
  <c r="J19" i="21"/>
  <c r="J15" i="21"/>
  <c r="H30" i="21"/>
  <c r="H28" i="21"/>
  <c r="H14" i="21"/>
  <c r="H12" i="21"/>
  <c r="H23" i="21"/>
  <c r="H39" i="21"/>
  <c r="H21" i="21"/>
  <c r="H17" i="21"/>
  <c r="G7" i="21"/>
  <c r="BL488" i="3"/>
  <c r="AZ488" i="3" s="1"/>
  <c r="BA487" i="3"/>
  <c r="AZ487" i="3" s="1"/>
  <c r="AZ147" i="3"/>
  <c r="BA154" i="3"/>
  <c r="AZ154" i="3" s="1"/>
  <c r="BL151" i="3"/>
  <c r="AZ151" i="3" s="1"/>
  <c r="BA150" i="3"/>
  <c r="AZ150" i="3" s="1"/>
  <c r="BL147" i="3"/>
  <c r="BA146" i="3"/>
  <c r="AZ146" i="3" s="1"/>
  <c r="BL143" i="3"/>
  <c r="AZ143" i="3" s="1"/>
  <c r="BL153" i="3"/>
  <c r="AZ153" i="3" s="1"/>
  <c r="BA152" i="3"/>
  <c r="AZ152" i="3" s="1"/>
  <c r="BL149" i="3"/>
  <c r="AZ149" i="3" s="1"/>
  <c r="BA148" i="3"/>
  <c r="AZ148" i="3" s="1"/>
  <c r="BL145" i="3"/>
  <c r="AZ145" i="3" s="1"/>
  <c r="BA144" i="3"/>
  <c r="AZ144"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4" i="3"/>
  <c r="AZ14" i="3" s="1"/>
  <c r="BA16" i="3"/>
  <c r="AZ16"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5" i="3"/>
  <c r="AZ15" i="3" s="1"/>
  <c r="BA13" i="3"/>
  <c r="F19" i="39"/>
  <c r="H19" i="39"/>
  <c r="F93" i="39"/>
  <c r="G93" i="39" s="1"/>
  <c r="J19" i="39"/>
  <c r="W19" i="39" s="1"/>
  <c r="D18" i="9"/>
  <c r="M44" i="9" s="1"/>
  <c r="M43" i="9"/>
  <c r="S41" i="21"/>
  <c r="U15" i="21"/>
  <c r="E11" i="52"/>
  <c r="AC31" i="39"/>
  <c r="S31" i="39"/>
  <c r="G126" i="39"/>
  <c r="H126" i="39" s="1"/>
  <c r="I126" i="39" s="1"/>
  <c r="J126" i="39" s="1"/>
  <c r="K126" i="39" s="1"/>
  <c r="L126" i="39" s="1"/>
  <c r="M126" i="39" s="1"/>
  <c r="F43" i="39"/>
  <c r="J43" i="39"/>
  <c r="H43" i="39"/>
  <c r="U43" i="39" s="1"/>
  <c r="F83" i="39"/>
  <c r="H13" i="39" s="1"/>
  <c r="W27" i="39"/>
  <c r="AC19" i="39"/>
  <c r="G7" i="33"/>
  <c r="F65" i="40"/>
  <c r="E7" i="33"/>
  <c r="W29" i="39"/>
  <c r="S29" i="39"/>
  <c r="AB29" i="39"/>
  <c r="AA21" i="39"/>
  <c r="AC17" i="39"/>
  <c r="J48" i="35"/>
  <c r="K48" i="35" s="1"/>
  <c r="L48" i="35" s="1"/>
  <c r="M48" i="35" s="1"/>
  <c r="N48" i="35" s="1"/>
  <c r="O48" i="35" s="1"/>
  <c r="F7" i="35"/>
  <c r="N59" i="34"/>
  <c r="O59" i="34" s="1"/>
  <c r="H52" i="37"/>
  <c r="I52" i="37" s="1"/>
  <c r="J52" i="37" s="1"/>
  <c r="K52" i="37" s="1"/>
  <c r="L52" i="37" s="1"/>
  <c r="M52" i="37" s="1"/>
  <c r="N52" i="37" s="1"/>
  <c r="O52" i="37" s="1"/>
  <c r="G46" i="36"/>
  <c r="C72" i="39"/>
  <c r="D70" i="39"/>
  <c r="F58" i="21"/>
  <c r="G58" i="21" s="1"/>
  <c r="H58" i="21" s="1"/>
  <c r="I58" i="21" s="1"/>
  <c r="J58" i="21" s="1"/>
  <c r="K58" i="21" s="1"/>
  <c r="L58" i="21" s="1"/>
  <c r="M58" i="21" s="1"/>
  <c r="N58" i="21" s="1"/>
  <c r="O58" i="21" s="1"/>
  <c r="J7" i="35"/>
  <c r="F67" i="40"/>
  <c r="G65" i="40"/>
  <c r="H7" i="37"/>
  <c r="E58" i="33"/>
  <c r="J7" i="21"/>
  <c r="H7" i="21"/>
  <c r="C28" i="15"/>
  <c r="C25" i="12"/>
  <c r="C30" i="44"/>
  <c r="C31" i="43"/>
  <c r="C27" i="43"/>
  <c r="N1" i="65"/>
  <c r="H1" i="65"/>
  <c r="W23" i="39"/>
  <c r="U23" i="39"/>
  <c r="S23" i="39"/>
  <c r="J35" i="21"/>
  <c r="F108" i="21"/>
  <c r="G108" i="21" s="1"/>
  <c r="H108" i="21" s="1"/>
  <c r="I108" i="21" s="1"/>
  <c r="J108" i="21" s="1"/>
  <c r="K108" i="21" s="1"/>
  <c r="L108" i="21" s="1"/>
  <c r="M108" i="21" s="1"/>
  <c r="S22" i="31"/>
  <c r="R22" i="31" s="1"/>
  <c r="B21" i="31" s="1"/>
  <c r="L16" i="4"/>
  <c r="K17" i="4" s="1"/>
  <c r="A22" i="51" s="1"/>
  <c r="B16" i="63" s="1"/>
  <c r="B20" i="31"/>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30" i="31"/>
  <c r="O32" i="31"/>
  <c r="O34" i="31"/>
  <c r="O36" i="31"/>
  <c r="O38" i="31"/>
  <c r="O40" i="31"/>
  <c r="O42" i="31"/>
  <c r="O44" i="31"/>
  <c r="O46" i="31"/>
  <c r="O48" i="31"/>
  <c r="O50" i="31"/>
  <c r="O52" i="31"/>
  <c r="O54" i="31"/>
  <c r="O56" i="31"/>
  <c r="O58" i="31"/>
  <c r="O60" i="31"/>
  <c r="O62" i="31"/>
  <c r="O64" i="31"/>
  <c r="O66" i="31"/>
  <c r="O68" i="31"/>
  <c r="O70" i="31"/>
  <c r="O72" i="31"/>
  <c r="O74" i="31"/>
  <c r="O76" i="31"/>
  <c r="O78" i="31"/>
  <c r="B5" i="52"/>
  <c r="M104" i="46"/>
  <c r="J105" i="46"/>
  <c r="J104" i="46"/>
  <c r="G104" i="46"/>
  <c r="G109" i="46"/>
  <c r="AZ13" i="3"/>
  <c r="BA5" i="3"/>
  <c r="I101" i="46"/>
  <c r="K101" i="46"/>
  <c r="E8" i="6"/>
  <c r="E58" i="39"/>
  <c r="E53" i="40"/>
  <c r="C9" i="12"/>
  <c r="D3" i="21"/>
  <c r="K6" i="1"/>
  <c r="M6" i="1" s="1"/>
  <c r="E32" i="6"/>
  <c r="L19" i="6" s="1"/>
  <c r="L27" i="6" s="1"/>
  <c r="E60" i="40"/>
  <c r="E58" i="40"/>
  <c r="I105" i="46"/>
  <c r="F27" i="6"/>
  <c r="F31" i="6" s="1"/>
  <c r="E68" i="39"/>
  <c r="E62" i="40"/>
  <c r="E16" i="6"/>
  <c r="O14" i="1"/>
  <c r="P14" i="1" s="1"/>
  <c r="K7" i="1"/>
  <c r="E22" i="1" s="1"/>
  <c r="E27" i="6"/>
  <c r="K20" i="6" s="1"/>
  <c r="D9" i="12"/>
  <c r="K103" i="46"/>
  <c r="K109" i="46"/>
  <c r="I109" i="46"/>
  <c r="J109" i="46"/>
  <c r="J103" i="46"/>
  <c r="J106" i="46"/>
  <c r="J102" i="46"/>
  <c r="M107" i="46"/>
  <c r="M109" i="46"/>
  <c r="M103" i="46"/>
  <c r="M105" i="46"/>
  <c r="F107" i="46"/>
  <c r="F106" i="46"/>
  <c r="F103" i="46"/>
  <c r="F102" i="46"/>
  <c r="G107" i="46"/>
  <c r="G103" i="46"/>
  <c r="G102" i="46"/>
  <c r="H22" i="46"/>
  <c r="N101" i="46"/>
  <c r="E101" i="46"/>
  <c r="L101" i="46"/>
  <c r="B113" i="46"/>
  <c r="AI11" i="46"/>
  <c r="AI13" i="46" s="1"/>
  <c r="C23" i="46"/>
  <c r="C21" i="46" s="1"/>
  <c r="H101" i="46"/>
  <c r="D101" i="46"/>
  <c r="G22" i="46"/>
  <c r="C101" i="46"/>
  <c r="AB11" i="46"/>
  <c r="AB13" i="46" s="1"/>
  <c r="AE11" i="46"/>
  <c r="AE13" i="46" s="1"/>
  <c r="AJ11" i="46"/>
  <c r="AJ13" i="46" s="1"/>
  <c r="AF11" i="46"/>
  <c r="AF13" i="46" s="1"/>
  <c r="AA11" i="46"/>
  <c r="AA13" i="46" s="1"/>
  <c r="AH11" i="46"/>
  <c r="AH13" i="46" s="1"/>
  <c r="Z11" i="46"/>
  <c r="Z13" i="46" s="1"/>
  <c r="Y11" i="46"/>
  <c r="Y13" i="46" s="1"/>
  <c r="AG11" i="46"/>
  <c r="AG13" i="46" s="1"/>
  <c r="AC11" i="46"/>
  <c r="AC13" i="46" s="1"/>
  <c r="E22" i="46"/>
  <c r="Z7" i="46"/>
  <c r="F22" i="46"/>
  <c r="N104" i="45"/>
  <c r="I104" i="46"/>
  <c r="I106" i="46"/>
  <c r="I107" i="46"/>
  <c r="K105" i="46"/>
  <c r="K107" i="46"/>
  <c r="K106" i="46"/>
  <c r="B23" i="52"/>
  <c r="B14" i="52"/>
  <c r="E4" i="52"/>
  <c r="B4" i="52"/>
  <c r="E7" i="52"/>
  <c r="B22" i="52"/>
  <c r="B11" i="52"/>
  <c r="B6" i="52"/>
  <c r="E9" i="52"/>
  <c r="B10" i="52"/>
  <c r="E6" i="52"/>
  <c r="E21" i="52"/>
  <c r="B13" i="52"/>
  <c r="E8" i="52"/>
  <c r="E16" i="52"/>
  <c r="E5" i="52"/>
  <c r="B16" i="52"/>
  <c r="E10" i="52"/>
  <c r="B8" i="52"/>
  <c r="B9" i="52"/>
  <c r="B7" i="52"/>
  <c r="P75" i="15"/>
  <c r="C36" i="44"/>
  <c r="Q73" i="44"/>
  <c r="J22" i="44"/>
  <c r="L60" i="44"/>
  <c r="L59" i="44"/>
  <c r="J54" i="44"/>
  <c r="J60" i="44"/>
  <c r="J58" i="44"/>
  <c r="J56" i="44" s="1"/>
  <c r="J59" i="44" s="1"/>
  <c r="Q52" i="44" s="1"/>
  <c r="J61" i="44"/>
  <c r="Q50" i="44" s="1"/>
  <c r="L57" i="44"/>
  <c r="I55" i="44"/>
  <c r="L58" i="15"/>
  <c r="L59" i="15"/>
  <c r="M9" i="44"/>
  <c r="C8" i="44"/>
  <c r="C29" i="44"/>
  <c r="Q72" i="15"/>
  <c r="F67" i="15"/>
  <c r="F50" i="15"/>
  <c r="J53" i="15"/>
  <c r="J60" i="15"/>
  <c r="Q49" i="15" s="1"/>
  <c r="I54" i="15"/>
  <c r="J57" i="15"/>
  <c r="J55" i="15" s="1"/>
  <c r="J58" i="15" s="1"/>
  <c r="Q51" i="15" s="1"/>
  <c r="J59" i="15"/>
  <c r="L56" i="15"/>
  <c r="L60" i="15"/>
  <c r="L57" i="15"/>
  <c r="F65" i="15"/>
  <c r="F64" i="15"/>
  <c r="F63" i="15"/>
  <c r="C27" i="15"/>
  <c r="M29" i="15"/>
  <c r="I7" i="65"/>
  <c r="J4" i="65"/>
  <c r="F7" i="15"/>
  <c r="N6" i="65"/>
  <c r="I6" i="65"/>
  <c r="M19" i="44"/>
  <c r="N5" i="65"/>
  <c r="I5" i="65"/>
  <c r="I3" i="65"/>
  <c r="J5" i="65"/>
  <c r="N7" i="65"/>
  <c r="C18" i="44"/>
  <c r="F33" i="44"/>
  <c r="J3" i="65"/>
  <c r="N4" i="65"/>
  <c r="J6" i="65"/>
  <c r="I4" i="65"/>
  <c r="N3" i="65"/>
  <c r="J7" i="65"/>
  <c r="F43" i="15"/>
  <c r="AZ5" i="3" l="1"/>
  <c r="AB17" i="21"/>
  <c r="U17" i="21"/>
  <c r="AB39" i="21"/>
  <c r="U39" i="21"/>
  <c r="AB12" i="21"/>
  <c r="U12" i="21"/>
  <c r="AB28" i="21"/>
  <c r="U28" i="21"/>
  <c r="AC15" i="21"/>
  <c r="W15" i="21"/>
  <c r="AC32" i="21"/>
  <c r="W32" i="21"/>
  <c r="AC12" i="21"/>
  <c r="W12" i="21"/>
  <c r="AC28" i="21"/>
  <c r="W28" i="21"/>
  <c r="P25" i="46"/>
  <c r="B73" i="39" s="1"/>
  <c r="P24" i="46"/>
  <c r="B68" i="40" s="1"/>
  <c r="P21" i="46"/>
  <c r="O19" i="46"/>
  <c r="P23" i="46"/>
  <c r="P22" i="46"/>
  <c r="AB42" i="21"/>
  <c r="U42" i="21"/>
  <c r="AA37" i="21"/>
  <c r="S37" i="21"/>
  <c r="AB37" i="21"/>
  <c r="U37" i="21"/>
  <c r="U40" i="39"/>
  <c r="AB40" i="39"/>
  <c r="U7" i="59"/>
  <c r="E6" i="59"/>
  <c r="E5" i="59" s="1"/>
  <c r="N48" i="59"/>
  <c r="N49" i="59"/>
  <c r="S25" i="37"/>
  <c r="AA25" i="37"/>
  <c r="AB46" i="39"/>
  <c r="U46" i="39"/>
  <c r="AC39" i="39"/>
  <c r="W39" i="39"/>
  <c r="U27" i="39"/>
  <c r="AB27" i="39"/>
  <c r="S41" i="40"/>
  <c r="AA41" i="40"/>
  <c r="U15" i="39"/>
  <c r="AB15" i="39"/>
  <c r="U25" i="39"/>
  <c r="AB25" i="39"/>
  <c r="AA25" i="39"/>
  <c r="S25" i="39"/>
  <c r="AB14" i="40"/>
  <c r="U14" i="40"/>
  <c r="C61" i="59"/>
  <c r="D61" i="59" s="1"/>
  <c r="D62" i="59"/>
  <c r="D54" i="59"/>
  <c r="C53" i="59"/>
  <c r="D53" i="59" s="1"/>
  <c r="J82" i="39"/>
  <c r="J81" i="39" s="1"/>
  <c r="AC12" i="36"/>
  <c r="W12" i="36"/>
  <c r="S11" i="35"/>
  <c r="AA11" i="35"/>
  <c r="W32" i="36"/>
  <c r="AC32" i="36"/>
  <c r="S32" i="36"/>
  <c r="AA32" i="36"/>
  <c r="AB34" i="35"/>
  <c r="U34" i="35"/>
  <c r="W30" i="33"/>
  <c r="AC30" i="33"/>
  <c r="AB30" i="33"/>
  <c r="U30" i="33"/>
  <c r="AA14" i="33"/>
  <c r="S14" i="33"/>
  <c r="W12" i="35"/>
  <c r="AC12" i="35"/>
  <c r="AC27" i="34"/>
  <c r="W27" i="34"/>
  <c r="BL5" i="3"/>
  <c r="AB21" i="21"/>
  <c r="U21" i="21"/>
  <c r="AB23" i="21"/>
  <c r="U23" i="21"/>
  <c r="AB14" i="21"/>
  <c r="U14" i="21"/>
  <c r="AB30" i="21"/>
  <c r="U30" i="21"/>
  <c r="AC19" i="21"/>
  <c r="W19" i="21"/>
  <c r="AC23" i="21"/>
  <c r="W23" i="21"/>
  <c r="AC14" i="21"/>
  <c r="W14" i="21"/>
  <c r="AC30" i="21"/>
  <c r="W30" i="21"/>
  <c r="AC42" i="21"/>
  <c r="W42" i="21"/>
  <c r="AA42" i="21"/>
  <c r="S42" i="21"/>
  <c r="AC37" i="21"/>
  <c r="W37" i="21"/>
  <c r="AC40" i="39"/>
  <c r="W40" i="39"/>
  <c r="AA40" i="39"/>
  <c r="S40" i="39"/>
  <c r="E10" i="59"/>
  <c r="E9" i="59" s="1"/>
  <c r="U11" i="59"/>
  <c r="D15" i="59"/>
  <c r="T15" i="59"/>
  <c r="C22" i="59"/>
  <c r="D21" i="59"/>
  <c r="D66" i="59"/>
  <c r="C65" i="59"/>
  <c r="D65" i="59" s="1"/>
  <c r="O50" i="59"/>
  <c r="C49" i="59"/>
  <c r="D50" i="59"/>
  <c r="C35" i="59"/>
  <c r="D34" i="59"/>
  <c r="W25" i="37"/>
  <c r="AC25" i="37"/>
  <c r="W46" i="39"/>
  <c r="AC46" i="39"/>
  <c r="AA27" i="39"/>
  <c r="S27" i="39"/>
  <c r="AC41" i="40"/>
  <c r="W41" i="40"/>
  <c r="W15" i="39"/>
  <c r="AC15" i="39"/>
  <c r="AC25" i="39"/>
  <c r="W25" i="39"/>
  <c r="U16" i="40"/>
  <c r="AB16" i="40"/>
  <c r="E297" i="3"/>
  <c r="E395" i="3"/>
  <c r="AN6" i="3"/>
  <c r="E280" i="3"/>
  <c r="E59" i="3"/>
  <c r="E270" i="3"/>
  <c r="E464" i="3"/>
  <c r="E157" i="3"/>
  <c r="E209" i="3"/>
  <c r="E161" i="3"/>
  <c r="E450" i="3"/>
  <c r="E492" i="3"/>
  <c r="E127" i="3"/>
  <c r="E266" i="3"/>
  <c r="E215" i="3"/>
  <c r="I6" i="3"/>
  <c r="E548" i="3"/>
  <c r="Z6" i="3"/>
  <c r="E64" i="3"/>
  <c r="E423" i="3"/>
  <c r="AH6" i="3"/>
  <c r="E452" i="3"/>
  <c r="E140" i="3"/>
  <c r="E435" i="3"/>
  <c r="P6" i="3"/>
  <c r="E343" i="3"/>
  <c r="E84" i="3"/>
  <c r="E142" i="3"/>
  <c r="AP6" i="3"/>
  <c r="E410" i="3"/>
  <c r="E431" i="3"/>
  <c r="E468" i="3"/>
  <c r="E70" i="3"/>
  <c r="E109" i="3"/>
  <c r="E38" i="3"/>
  <c r="E185" i="3"/>
  <c r="E151" i="3"/>
  <c r="E148" i="3"/>
  <c r="E313" i="3"/>
  <c r="E27" i="3"/>
  <c r="E53" i="3"/>
  <c r="E412"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23" i="3"/>
  <c r="E265" i="3"/>
  <c r="AM6" i="3"/>
  <c r="E337" i="3"/>
  <c r="E158" i="3"/>
  <c r="E472" i="3"/>
  <c r="E124" i="3"/>
  <c r="E388" i="3"/>
  <c r="E146" i="3"/>
  <c r="E99" i="3"/>
  <c r="E262" i="3"/>
  <c r="E101" i="3"/>
  <c r="E274" i="3"/>
  <c r="E32" i="3"/>
  <c r="E547" i="3"/>
  <c r="E447" i="3"/>
  <c r="E33" i="3"/>
  <c r="Q6" i="3"/>
  <c r="E119" i="3"/>
  <c r="E500" i="3"/>
  <c r="E97" i="3"/>
  <c r="E407" i="3"/>
  <c r="E383" i="3"/>
  <c r="E550" i="3"/>
  <c r="E247" i="3"/>
  <c r="E136" i="3"/>
  <c r="E568" i="3"/>
  <c r="E85" i="3"/>
  <c r="E539" i="3"/>
  <c r="E332" i="3"/>
  <c r="E245" i="3"/>
  <c r="E139" i="3"/>
  <c r="E52" i="3"/>
  <c r="E445" i="3"/>
  <c r="E451" i="3"/>
  <c r="E556" i="3"/>
  <c r="U6" i="3"/>
  <c r="E291" i="3"/>
  <c r="E305" i="3"/>
  <c r="E527" i="3"/>
  <c r="E73" i="3"/>
  <c r="E381" i="3"/>
  <c r="E411" i="3"/>
  <c r="E250" i="3"/>
  <c r="E41" i="3"/>
  <c r="E471" i="3"/>
  <c r="E418" i="3"/>
  <c r="E408" i="3"/>
  <c r="E92" i="3"/>
  <c r="E238" i="3"/>
  <c r="E414" i="3"/>
  <c r="E44" i="3"/>
  <c r="E202" i="3"/>
  <c r="AA6" i="3"/>
  <c r="AD6" i="3"/>
  <c r="E299" i="3"/>
  <c r="E327" i="3"/>
  <c r="E103" i="3"/>
  <c r="E200" i="3"/>
  <c r="E100" i="3"/>
  <c r="E460" i="3"/>
  <c r="E404" i="3"/>
  <c r="E170" i="3"/>
  <c r="E374" i="3"/>
  <c r="I3" i="6"/>
  <c r="E30" i="3"/>
  <c r="E213" i="3"/>
  <c r="E490" i="3"/>
  <c r="E536" i="3"/>
  <c r="E218" i="3"/>
  <c r="E397" i="3"/>
  <c r="E442" i="3"/>
  <c r="E462" i="3"/>
  <c r="E110" i="3"/>
  <c r="E47" i="3"/>
  <c r="E63" i="3"/>
  <c r="E545" i="3"/>
  <c r="E174" i="3"/>
  <c r="E184" i="3"/>
  <c r="E129" i="3"/>
  <c r="E482" i="3"/>
  <c r="E98" i="3"/>
  <c r="E473" i="3"/>
  <c r="E413" i="3"/>
  <c r="AO6"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561" i="3"/>
  <c r="E443" i="3"/>
  <c r="E194" i="3"/>
  <c r="E78" i="3"/>
  <c r="E390" i="3"/>
  <c r="E296" i="3"/>
  <c r="E83" i="3"/>
  <c r="E222" i="3"/>
  <c r="E430" i="3"/>
  <c r="E77" i="3"/>
  <c r="E434" i="3"/>
  <c r="E552" i="3"/>
  <c r="E57" i="3"/>
  <c r="E463" i="3"/>
  <c r="E292" i="3"/>
  <c r="E426" i="3"/>
  <c r="E60" i="3"/>
  <c r="E75" i="3"/>
  <c r="E178" i="3"/>
  <c r="J6" i="3"/>
  <c r="E48" i="3"/>
  <c r="E438" i="3"/>
  <c r="AE6" i="3"/>
  <c r="E455" i="3"/>
  <c r="E289" i="3"/>
  <c r="E363" i="3"/>
  <c r="E113" i="3"/>
  <c r="E79" i="3"/>
  <c r="E425" i="3"/>
  <c r="E401" i="3"/>
  <c r="E257" i="3"/>
  <c r="E272" i="3"/>
  <c r="E166" i="3"/>
  <c r="E102" i="3"/>
  <c r="O6" i="3"/>
  <c r="E25" i="3"/>
  <c r="E204" i="3"/>
  <c r="E258" i="3"/>
  <c r="E207" i="3"/>
  <c r="E479" i="3"/>
  <c r="E449" i="3"/>
  <c r="E535" i="3"/>
  <c r="E427" i="3"/>
  <c r="E94" i="3"/>
  <c r="E424" i="3"/>
  <c r="E454" i="3"/>
  <c r="AK6" i="3"/>
  <c r="E205" i="3"/>
  <c r="E478" i="3"/>
  <c r="E357" i="3"/>
  <c r="AS6" i="3"/>
  <c r="E405" i="3"/>
  <c r="W6" i="3"/>
  <c r="E190" i="3"/>
  <c r="E420" i="3"/>
  <c r="E283" i="3"/>
  <c r="E49" i="3"/>
  <c r="E104" i="3"/>
  <c r="E186" i="3"/>
  <c r="E82" i="3"/>
  <c r="E389" i="3"/>
  <c r="E143" i="3"/>
  <c r="E367" i="3"/>
  <c r="E80" i="3"/>
  <c r="E141" i="3"/>
  <c r="E34" i="3"/>
  <c r="N6" i="3"/>
  <c r="E232" i="3"/>
  <c r="E189" i="3"/>
  <c r="E278" i="3"/>
  <c r="E164" i="3"/>
  <c r="E223" i="3"/>
  <c r="E317" i="3"/>
  <c r="E444" i="3"/>
  <c r="E293" i="3"/>
  <c r="E111" i="3"/>
  <c r="E193" i="3"/>
  <c r="E263" i="3"/>
  <c r="E230" i="3"/>
  <c r="E415" i="3"/>
  <c r="E168" i="3"/>
  <c r="E398" i="3"/>
  <c r="E37" i="3"/>
  <c r="E303" i="3"/>
  <c r="L6" i="3"/>
  <c r="E429" i="3"/>
  <c r="E116" i="3"/>
  <c r="E372" i="3"/>
  <c r="E465"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39" i="3"/>
  <c r="E288"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18" i="3"/>
  <c r="E358" i="3"/>
  <c r="E509" i="3"/>
  <c r="E20" i="3"/>
  <c r="E564" i="3"/>
  <c r="E261" i="3"/>
  <c r="E402" i="3"/>
  <c r="E255"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175" i="3"/>
  <c r="E318" i="3"/>
  <c r="E565" i="3"/>
  <c r="E380" i="3"/>
  <c r="E503" i="3"/>
  <c r="E311" i="3"/>
  <c r="E520" i="3"/>
  <c r="E399" i="3"/>
  <c r="E179" i="3"/>
  <c r="E469" i="3"/>
  <c r="E560" i="3"/>
  <c r="E156" i="3"/>
  <c r="E534" i="3"/>
  <c r="E62" i="3"/>
  <c r="E441" i="3"/>
  <c r="E28" i="3"/>
  <c r="E422" i="3"/>
  <c r="E533" i="3"/>
  <c r="E507" i="3"/>
  <c r="E275" i="3"/>
  <c r="E467" i="3"/>
  <c r="E67" i="3"/>
  <c r="E214" i="3"/>
  <c r="E486"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233" i="3"/>
  <c r="E107" i="3"/>
  <c r="E393"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382" i="3"/>
  <c r="E484" i="3"/>
  <c r="E326" i="3"/>
  <c r="E356" i="3"/>
  <c r="E481" i="3"/>
  <c r="E203" i="3"/>
  <c r="E172" i="3"/>
  <c r="E417"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346" i="3"/>
  <c r="E544" i="3"/>
  <c r="E541" i="3"/>
  <c r="E523" i="3"/>
  <c r="E557" i="3"/>
  <c r="E13" i="3"/>
  <c r="D6" i="59"/>
  <c r="C5" i="59"/>
  <c r="D5" i="59" s="1"/>
  <c r="H81" i="39"/>
  <c r="S12" i="36"/>
  <c r="AA12" i="36"/>
  <c r="AC11" i="35"/>
  <c r="W11" i="35"/>
  <c r="D43" i="59"/>
  <c r="T43" i="59"/>
  <c r="U32" i="36"/>
  <c r="AB32" i="36"/>
  <c r="S34" i="35"/>
  <c r="AA34" i="35"/>
  <c r="AC34" i="35"/>
  <c r="W34" i="35"/>
  <c r="S30" i="33"/>
  <c r="AA30" i="33"/>
  <c r="AC14" i="33"/>
  <c r="W14" i="33"/>
  <c r="U14" i="33"/>
  <c r="AB14" i="33"/>
  <c r="S27" i="34"/>
  <c r="AA27" i="34"/>
  <c r="AB19" i="39"/>
  <c r="U19" i="39"/>
  <c r="S19" i="39"/>
  <c r="AA19" i="39"/>
  <c r="L47" i="44"/>
  <c r="AA43" i="39"/>
  <c r="S43" i="39"/>
  <c r="AB43" i="39"/>
  <c r="W43" i="39"/>
  <c r="AC43" i="39"/>
  <c r="U13" i="39"/>
  <c r="AB13" i="39"/>
  <c r="F13" i="39"/>
  <c r="J13" i="39"/>
  <c r="G83" i="39"/>
  <c r="H83" i="39" s="1"/>
  <c r="I83" i="39" s="1"/>
  <c r="J83" i="39" s="1"/>
  <c r="K83" i="39" s="1"/>
  <c r="L83" i="39" s="1"/>
  <c r="M83" i="39" s="1"/>
  <c r="F7" i="21"/>
  <c r="J7" i="34"/>
  <c r="F7" i="34"/>
  <c r="H7" i="35"/>
  <c r="E20" i="46"/>
  <c r="O17" i="46" s="1"/>
  <c r="J1" i="65"/>
  <c r="C4" i="65"/>
  <c r="B39" i="1" s="1"/>
  <c r="M11" i="15" s="1"/>
  <c r="J10" i="15" s="1"/>
  <c r="AC7" i="21"/>
  <c r="W7" i="21"/>
  <c r="F58" i="33"/>
  <c r="H65" i="40"/>
  <c r="G67" i="40"/>
  <c r="W7" i="35"/>
  <c r="AC7" i="35"/>
  <c r="V38" i="35" s="1"/>
  <c r="I38" i="35" s="1"/>
  <c r="J7" i="37"/>
  <c r="F7" i="37"/>
  <c r="H7" i="34"/>
  <c r="AB7" i="35"/>
  <c r="T38" i="35" s="1"/>
  <c r="G38" i="35" s="1"/>
  <c r="U7" i="35"/>
  <c r="AB7" i="21"/>
  <c r="T48" i="21" s="1"/>
  <c r="G48" i="21" s="1"/>
  <c r="G52" i="21" s="1"/>
  <c r="H52" i="21" s="1"/>
  <c r="U7" i="21"/>
  <c r="AB7" i="37"/>
  <c r="T42" i="37" s="1"/>
  <c r="G42" i="37" s="1"/>
  <c r="U7" i="37"/>
  <c r="AA7" i="21"/>
  <c r="R48" i="21" s="1"/>
  <c r="E48" i="21" s="1"/>
  <c r="E52" i="21" s="1"/>
  <c r="F52" i="21" s="1"/>
  <c r="S7" i="21"/>
  <c r="D72" i="39"/>
  <c r="E70" i="39"/>
  <c r="H46" i="36"/>
  <c r="W7" i="34"/>
  <c r="AC7" i="34"/>
  <c r="V49" i="34" s="1"/>
  <c r="I49" i="34" s="1"/>
  <c r="S7" i="34"/>
  <c r="AA7" i="34"/>
  <c r="R49" i="34" s="1"/>
  <c r="AA7" i="35"/>
  <c r="R38" i="35" s="1"/>
  <c r="S7" i="35"/>
  <c r="AC35" i="21"/>
  <c r="V48" i="21" s="1"/>
  <c r="I48" i="21" s="1"/>
  <c r="W35" i="21"/>
  <c r="I103" i="46"/>
  <c r="I102" i="46"/>
  <c r="K104" i="46"/>
  <c r="K102" i="46"/>
  <c r="O6" i="1"/>
  <c r="P6" i="1" s="1"/>
  <c r="C15" i="12" s="1"/>
  <c r="C15" i="43"/>
  <c r="F70" i="15"/>
  <c r="M7" i="15"/>
  <c r="C6" i="15"/>
  <c r="F49" i="15"/>
  <c r="C48" i="15" s="1"/>
  <c r="S7" i="1"/>
  <c r="M20" i="6"/>
  <c r="I20" i="6" s="1"/>
  <c r="Q16" i="1"/>
  <c r="M7" i="1"/>
  <c r="H16" i="1"/>
  <c r="AP16" i="1"/>
  <c r="F22" i="11" s="1"/>
  <c r="K16" i="1"/>
  <c r="G16" i="1"/>
  <c r="K24" i="6"/>
  <c r="M24" i="6" s="1"/>
  <c r="I24" i="6" s="1"/>
  <c r="S24" i="6" s="1"/>
  <c r="E31" i="6"/>
  <c r="K22" i="6"/>
  <c r="M22" i="6" s="1"/>
  <c r="I22" i="6" s="1"/>
  <c r="S22" i="6" s="1"/>
  <c r="K23" i="6"/>
  <c r="M23" i="6" s="1"/>
  <c r="I23" i="6" s="1"/>
  <c r="S23" i="6" s="1"/>
  <c r="K25" i="6"/>
  <c r="M25" i="6" s="1"/>
  <c r="I25" i="6" s="1"/>
  <c r="S25" i="6" s="1"/>
  <c r="K26" i="6"/>
  <c r="M26" i="6" s="1"/>
  <c r="I26" i="6" s="1"/>
  <c r="S26" i="6" s="1"/>
  <c r="K21" i="6"/>
  <c r="M21" i="6" s="1"/>
  <c r="I21" i="6" s="1"/>
  <c r="S21" i="6" s="1"/>
  <c r="K19" i="6"/>
  <c r="C104" i="46"/>
  <c r="C103" i="46"/>
  <c r="C102" i="46"/>
  <c r="C105" i="46"/>
  <c r="C109" i="46"/>
  <c r="C106" i="46"/>
  <c r="C107" i="46"/>
  <c r="D105" i="46"/>
  <c r="D104" i="46"/>
  <c r="D102" i="46"/>
  <c r="D106" i="46"/>
  <c r="D103" i="46"/>
  <c r="D107" i="46"/>
  <c r="D109" i="46"/>
  <c r="D118" i="46"/>
  <c r="E118" i="46" s="1"/>
  <c r="F118" i="46" s="1"/>
  <c r="I115" i="46"/>
  <c r="J115" i="46" s="1"/>
  <c r="K115" i="46" s="1"/>
  <c r="L115" i="46" s="1"/>
  <c r="M115" i="46" s="1"/>
  <c r="I118" i="46"/>
  <c r="J118" i="46" s="1"/>
  <c r="K118" i="46" s="1"/>
  <c r="L118" i="46" s="1"/>
  <c r="M118" i="46" s="1"/>
  <c r="B115" i="46"/>
  <c r="D115" i="46"/>
  <c r="E115" i="46" s="1"/>
  <c r="F115" i="46" s="1"/>
  <c r="G115" i="46" s="1"/>
  <c r="H115" i="46" s="1"/>
  <c r="B117" i="46"/>
  <c r="C117" i="46" s="1"/>
  <c r="D116" i="46"/>
  <c r="E116" i="46" s="1"/>
  <c r="F116" i="46" s="1"/>
  <c r="G116" i="46" s="1"/>
  <c r="H116" i="46" s="1"/>
  <c r="D117" i="46"/>
  <c r="E117" i="46" s="1"/>
  <c r="F117" i="46" s="1"/>
  <c r="G117" i="46" s="1"/>
  <c r="H117" i="46" s="1"/>
  <c r="B118" i="46"/>
  <c r="C118" i="46" s="1"/>
  <c r="I116" i="46"/>
  <c r="J116" i="46" s="1"/>
  <c r="K116" i="46" s="1"/>
  <c r="L116" i="46" s="1"/>
  <c r="M116" i="46" s="1"/>
  <c r="I117" i="46"/>
  <c r="J117" i="46" s="1"/>
  <c r="K117" i="46" s="1"/>
  <c r="L117" i="46" s="1"/>
  <c r="M117" i="46" s="1"/>
  <c r="B116" i="46"/>
  <c r="C116" i="46" s="1"/>
  <c r="G118" i="46"/>
  <c r="H118" i="46" s="1"/>
  <c r="E107" i="46"/>
  <c r="E104" i="46"/>
  <c r="E106" i="46"/>
  <c r="E103" i="46"/>
  <c r="E102" i="46"/>
  <c r="E105" i="46"/>
  <c r="E109" i="46"/>
  <c r="D22" i="46"/>
  <c r="H102" i="46"/>
  <c r="H103" i="46"/>
  <c r="H106" i="46"/>
  <c r="H109" i="46"/>
  <c r="H107" i="46"/>
  <c r="H105" i="46"/>
  <c r="H104" i="46"/>
  <c r="L106" i="46"/>
  <c r="L109" i="46"/>
  <c r="L105" i="46"/>
  <c r="L104" i="46"/>
  <c r="L107" i="46"/>
  <c r="L103" i="46"/>
  <c r="L102" i="46"/>
  <c r="N109" i="46"/>
  <c r="N104" i="46"/>
  <c r="N105" i="46"/>
  <c r="N102" i="46"/>
  <c r="N103" i="46"/>
  <c r="N106" i="46"/>
  <c r="N107" i="46"/>
  <c r="I52" i="21"/>
  <c r="J52" i="21" s="1"/>
  <c r="G53" i="21"/>
  <c r="H53" i="21" s="1"/>
  <c r="F1" i="15"/>
  <c r="Q53" i="15"/>
  <c r="J8" i="44"/>
  <c r="Q74" i="15"/>
  <c r="Q61" i="15"/>
  <c r="F1" i="44"/>
  <c r="Q54" i="44"/>
  <c r="Q76" i="44"/>
  <c r="Q63" i="44"/>
  <c r="Q67" i="15"/>
  <c r="Q58" i="15"/>
  <c r="L46" i="15"/>
  <c r="P17" i="46"/>
  <c r="Q75" i="15"/>
  <c r="Q62" i="15"/>
  <c r="Q75" i="44"/>
  <c r="Q62" i="44"/>
  <c r="C16" i="15"/>
  <c r="M17" i="15"/>
  <c r="F58" i="15"/>
  <c r="AE7" i="1"/>
  <c r="F31" i="15"/>
  <c r="E2" i="65"/>
  <c r="C17" i="15"/>
  <c r="E3" i="65"/>
  <c r="AC6" i="3" l="1"/>
  <c r="H6" i="3"/>
  <c r="E6" i="3" s="1"/>
  <c r="C23" i="59"/>
  <c r="D22" i="59"/>
  <c r="I81" i="39"/>
  <c r="D35" i="59"/>
  <c r="T35" i="59"/>
  <c r="D49" i="59"/>
  <c r="O48" i="59"/>
  <c r="O49" i="59"/>
  <c r="E3" i="6"/>
  <c r="AY6" i="3"/>
  <c r="F11" i="15"/>
  <c r="C52" i="15" s="1"/>
  <c r="C47" i="15" s="1"/>
  <c r="C65" i="15" s="1"/>
  <c r="B40" i="1"/>
  <c r="F24" i="15" s="1"/>
  <c r="C24" i="15" s="1"/>
  <c r="I53" i="21"/>
  <c r="J53" i="21" s="1"/>
  <c r="E53" i="21"/>
  <c r="F53" i="21" s="1"/>
  <c r="N17" i="46"/>
  <c r="M13" i="44"/>
  <c r="J12" i="44" s="1"/>
  <c r="J7" i="44" s="1"/>
  <c r="J20" i="44" s="1"/>
  <c r="AC13" i="39"/>
  <c r="W13" i="39"/>
  <c r="S13" i="39"/>
  <c r="AA13" i="39"/>
  <c r="M17" i="46"/>
  <c r="F13" i="44"/>
  <c r="C12" i="44" s="1"/>
  <c r="C7" i="44" s="1"/>
  <c r="C40" i="44" s="1"/>
  <c r="F17" i="11"/>
  <c r="C17" i="11" s="1"/>
  <c r="E49" i="34"/>
  <c r="R50" i="34"/>
  <c r="I54" i="34"/>
  <c r="J54" i="34" s="1"/>
  <c r="I53" i="34"/>
  <c r="J53" i="34" s="1"/>
  <c r="E72" i="39"/>
  <c r="F70" i="39"/>
  <c r="G46" i="37"/>
  <c r="H46" i="37" s="1"/>
  <c r="G42" i="35"/>
  <c r="H42" i="35" s="1"/>
  <c r="G43" i="35"/>
  <c r="H43" i="35" s="1"/>
  <c r="S7" i="37"/>
  <c r="AA7" i="37"/>
  <c r="R42" i="37" s="1"/>
  <c r="I65" i="40"/>
  <c r="H67" i="40"/>
  <c r="R39" i="35"/>
  <c r="E38" i="35"/>
  <c r="I46" i="36"/>
  <c r="U7" i="34"/>
  <c r="AB7" i="34"/>
  <c r="T49" i="34" s="1"/>
  <c r="G49" i="34" s="1"/>
  <c r="W7" i="37"/>
  <c r="AC7" i="37"/>
  <c r="V42" i="37" s="1"/>
  <c r="I42" i="37" s="1"/>
  <c r="I42" i="35"/>
  <c r="J42" i="35" s="1"/>
  <c r="I43" i="35"/>
  <c r="J43" i="35" s="1"/>
  <c r="G58" i="33"/>
  <c r="R49" i="21"/>
  <c r="F26" i="44"/>
  <c r="C26" i="44" s="1"/>
  <c r="F12" i="39"/>
  <c r="J12" i="39"/>
  <c r="H12" i="40"/>
  <c r="J12" i="40"/>
  <c r="H12" i="39"/>
  <c r="F12" i="40"/>
  <c r="O7" i="1"/>
  <c r="M16" i="1"/>
  <c r="S20" i="6"/>
  <c r="J6" i="15"/>
  <c r="J5" i="15" s="1"/>
  <c r="S6" i="1"/>
  <c r="K27" i="6"/>
  <c r="M19" i="6"/>
  <c r="F33" i="12"/>
  <c r="C34" i="12" s="1"/>
  <c r="D33" i="12" s="1"/>
  <c r="F18" i="11"/>
  <c r="C18" i="11" s="1"/>
  <c r="F24" i="43"/>
  <c r="C26" i="43" s="1"/>
  <c r="D24" i="43" s="1"/>
  <c r="C115" i="46"/>
  <c r="D113" i="46" s="1"/>
  <c r="F41" i="15"/>
  <c r="L52" i="44"/>
  <c r="E6" i="6" l="1"/>
  <c r="L38" i="9"/>
  <c r="B14" i="66" s="1"/>
  <c r="B1" i="66" s="1"/>
  <c r="C21" i="4"/>
  <c r="O5" i="54" s="1"/>
  <c r="B45" i="63" s="1"/>
  <c r="D16" i="12"/>
  <c r="D10" i="11"/>
  <c r="D46" i="9"/>
  <c r="D16" i="43"/>
  <c r="C16" i="43" s="1"/>
  <c r="D3" i="6"/>
  <c r="AY92" i="3"/>
  <c r="AY55" i="3"/>
  <c r="AY44" i="3"/>
  <c r="AY318" i="3"/>
  <c r="AY561" i="3"/>
  <c r="AY22" i="3"/>
  <c r="AY406" i="3"/>
  <c r="AY127" i="3"/>
  <c r="AY518" i="3"/>
  <c r="AY503" i="3"/>
  <c r="AY417" i="3"/>
  <c r="AY363" i="3"/>
  <c r="AY189" i="3"/>
  <c r="AY545" i="3"/>
  <c r="AY393" i="3"/>
  <c r="AY339" i="3"/>
  <c r="BO6" i="3"/>
  <c r="AY181" i="3"/>
  <c r="AY520" i="3"/>
  <c r="AY184" i="3"/>
  <c r="AY531" i="3"/>
  <c r="AY553" i="3"/>
  <c r="AY299" i="3"/>
  <c r="AY504" i="3"/>
  <c r="AY209" i="3"/>
  <c r="AY356" i="3"/>
  <c r="AY288" i="3"/>
  <c r="AY147" i="3"/>
  <c r="AY162" i="3"/>
  <c r="AY562" i="3"/>
  <c r="AY303" i="3"/>
  <c r="AY498" i="3"/>
  <c r="AY415" i="3"/>
  <c r="AY242" i="3"/>
  <c r="AY192" i="3"/>
  <c r="AY478" i="3"/>
  <c r="AY387" i="3"/>
  <c r="AY418" i="3"/>
  <c r="AY410" i="3"/>
  <c r="AY434" i="3"/>
  <c r="AY31" i="3"/>
  <c r="AY131" i="3"/>
  <c r="AY453" i="3"/>
  <c r="AY151" i="3"/>
  <c r="AY565" i="3"/>
  <c r="AY78" i="3"/>
  <c r="AY250" i="3"/>
  <c r="BA6" i="3"/>
  <c r="AY211" i="3"/>
  <c r="AY32" i="3"/>
  <c r="AY20" i="3"/>
  <c r="AY345" i="3"/>
  <c r="AY470" i="3"/>
  <c r="AY119" i="3"/>
  <c r="AY329" i="3"/>
  <c r="BQ6" i="3"/>
  <c r="AY208" i="3"/>
  <c r="AY351" i="3"/>
  <c r="AY328" i="3"/>
  <c r="AY505" i="3"/>
  <c r="AY17" i="3"/>
  <c r="AY563" i="3"/>
  <c r="AY68" i="3"/>
  <c r="AY357" i="3"/>
  <c r="AY133" i="3"/>
  <c r="AY84" i="3"/>
  <c r="AY468" i="3"/>
  <c r="AY377" i="3"/>
  <c r="BI6" i="3"/>
  <c r="AY164" i="3"/>
  <c r="AY469" i="3"/>
  <c r="AY177" i="3"/>
  <c r="AY263" i="3"/>
  <c r="AY524" i="3"/>
  <c r="AY231" i="3"/>
  <c r="AY300" i="3"/>
  <c r="AY365" i="3"/>
  <c r="AY569" i="3"/>
  <c r="AY396" i="3"/>
  <c r="AY325" i="3"/>
  <c r="AY460" i="3"/>
  <c r="AY206" i="3"/>
  <c r="AY174" i="3"/>
  <c r="AY185" i="3"/>
  <c r="AY223" i="3"/>
  <c r="AY190" i="3"/>
  <c r="AY235" i="3"/>
  <c r="AY421" i="3"/>
  <c r="AY205" i="3"/>
  <c r="BM6" i="3"/>
  <c r="AY423" i="3"/>
  <c r="AY18" i="3"/>
  <c r="AY471" i="3"/>
  <c r="AY367" i="3"/>
  <c r="BT6" i="3"/>
  <c r="AY485" i="3"/>
  <c r="AY480" i="3"/>
  <c r="AY163" i="3"/>
  <c r="AY492" i="3"/>
  <c r="AY355" i="3"/>
  <c r="AY433" i="3"/>
  <c r="AY490" i="3"/>
  <c r="AY547" i="3"/>
  <c r="AY210" i="3"/>
  <c r="AY455" i="3"/>
  <c r="AY297" i="3"/>
  <c r="AY332" i="3"/>
  <c r="AY462" i="3"/>
  <c r="AY51" i="3"/>
  <c r="AY94" i="3"/>
  <c r="AY511" i="3"/>
  <c r="AY536" i="3"/>
  <c r="AY517" i="3"/>
  <c r="AY523" i="3"/>
  <c r="AY482" i="3"/>
  <c r="AY491" i="3"/>
  <c r="AY175" i="3"/>
  <c r="AY139" i="3"/>
  <c r="AY416" i="3"/>
  <c r="AY380" i="3"/>
  <c r="AY247" i="3"/>
  <c r="AY353" i="3"/>
  <c r="AY317" i="3"/>
  <c r="BP6" i="3"/>
  <c r="AY375" i="3"/>
  <c r="AY483" i="3"/>
  <c r="AY108" i="3"/>
  <c r="AY60" i="3"/>
  <c r="AY334" i="3"/>
  <c r="AY270" i="3"/>
  <c r="AY571" i="3"/>
  <c r="AY554" i="3"/>
  <c r="AY532" i="3"/>
  <c r="AY402" i="3"/>
  <c r="AY29" i="3"/>
  <c r="AY319" i="3"/>
  <c r="AY388" i="3"/>
  <c r="AY199" i="3"/>
  <c r="BF6" i="3"/>
  <c r="AY390" i="3"/>
  <c r="AY484" i="3"/>
  <c r="AY284" i="3"/>
  <c r="AY444" i="3"/>
  <c r="AY79" i="3"/>
  <c r="AY134" i="3"/>
  <c r="AY419" i="3"/>
  <c r="AY261" i="3"/>
  <c r="AY243" i="3"/>
  <c r="AY426" i="3"/>
  <c r="AY373" i="3"/>
  <c r="AY301" i="3"/>
  <c r="AY466" i="3"/>
  <c r="AY496" i="3"/>
  <c r="AY477" i="3"/>
  <c r="AY452" i="3"/>
  <c r="AY354" i="3"/>
  <c r="AY121" i="3"/>
  <c r="AY515" i="3"/>
  <c r="AY479" i="3"/>
  <c r="AY123" i="3"/>
  <c r="AY337" i="3"/>
  <c r="AY341" i="3"/>
  <c r="AY76" i="3"/>
  <c r="AY465" i="3"/>
  <c r="AY86" i="3"/>
  <c r="AY500" i="3"/>
  <c r="AY489" i="3"/>
  <c r="AY154" i="3"/>
  <c r="AY142" i="3"/>
  <c r="AY34" i="3"/>
  <c r="AY218" i="3"/>
  <c r="AY309" i="3"/>
  <c r="AY392" i="3"/>
  <c r="AY176" i="3"/>
  <c r="AY74" i="3"/>
  <c r="AY136" i="3"/>
  <c r="AY448" i="3"/>
  <c r="AY381" i="3"/>
  <c r="AY560" i="3"/>
  <c r="AY141" i="3"/>
  <c r="AY310" i="3"/>
  <c r="AY459" i="3"/>
  <c r="AY226" i="3"/>
  <c r="AY400" i="3"/>
  <c r="AY340" i="3"/>
  <c r="AY272" i="3"/>
  <c r="AY405" i="3"/>
  <c r="AY442" i="3"/>
  <c r="AY572" i="3"/>
  <c r="AY99" i="3"/>
  <c r="AY207" i="3"/>
  <c r="AY40" i="3"/>
  <c r="AY281" i="3"/>
  <c r="AY322" i="3"/>
  <c r="AY395" i="3"/>
  <c r="AY37" i="3"/>
  <c r="AY100" i="3"/>
  <c r="AY384" i="3"/>
  <c r="AY304" i="3"/>
  <c r="AY227" i="3"/>
  <c r="AY120" i="3"/>
  <c r="AY257" i="3"/>
  <c r="AY359" i="3"/>
  <c r="AY493" i="3"/>
  <c r="AY152" i="3"/>
  <c r="AY129" i="3"/>
  <c r="AY259" i="3"/>
  <c r="AY409" i="3"/>
  <c r="AY53" i="3"/>
  <c r="AY349" i="3"/>
  <c r="AY364" i="3"/>
  <c r="AY238" i="3"/>
  <c r="AY115" i="3"/>
  <c r="AY230" i="3"/>
  <c r="AY420" i="3"/>
  <c r="AY157" i="3"/>
  <c r="AY516" i="3"/>
  <c r="AY538" i="3"/>
  <c r="AY557" i="3"/>
  <c r="AY58" i="3"/>
  <c r="AY271" i="3"/>
  <c r="AY111" i="3"/>
  <c r="AY369" i="3"/>
  <c r="AY430" i="3"/>
  <c r="AY320" i="3"/>
  <c r="AY407" i="3"/>
  <c r="AY461" i="3"/>
  <c r="AY103" i="3"/>
  <c r="AY159" i="3"/>
  <c r="AY105" i="3"/>
  <c r="AY293" i="3"/>
  <c r="AY386" i="3"/>
  <c r="AY411" i="3"/>
  <c r="AY187" i="3"/>
  <c r="AY537" i="3"/>
  <c r="AY45" i="3"/>
  <c r="AY383" i="3"/>
  <c r="AY170" i="3"/>
  <c r="AY324" i="3"/>
  <c r="AY39" i="3"/>
  <c r="AY258" i="3"/>
  <c r="AY315" i="3"/>
  <c r="AY168" i="3"/>
  <c r="AY464" i="3"/>
  <c r="BS6" i="3"/>
  <c r="AY282" i="3"/>
  <c r="AY24" i="3"/>
  <c r="AY546" i="3"/>
  <c r="AY529" i="3"/>
  <c r="AY248" i="3"/>
  <c r="AY96" i="3"/>
  <c r="AY144" i="3"/>
  <c r="AY397" i="3"/>
  <c r="AY398" i="3"/>
  <c r="AY348" i="3"/>
  <c r="AY241" i="3"/>
  <c r="AY542" i="3"/>
  <c r="AY555" i="3"/>
  <c r="AY308" i="3"/>
  <c r="BD6" i="3"/>
  <c r="AY436" i="3"/>
  <c r="AY486" i="3"/>
  <c r="AY160" i="3"/>
  <c r="AY445" i="3"/>
  <c r="AY224" i="3"/>
  <c r="AY156" i="3"/>
  <c r="AY378" i="3"/>
  <c r="AY27" i="3"/>
  <c r="AY552" i="3"/>
  <c r="AY519" i="3"/>
  <c r="AY21" i="3"/>
  <c r="AY128" i="3"/>
  <c r="AY36" i="3"/>
  <c r="AY246" i="3"/>
  <c r="AY333" i="3"/>
  <c r="AY408" i="3"/>
  <c r="AY117" i="3"/>
  <c r="AY73" i="3"/>
  <c r="AY106" i="3"/>
  <c r="AY361" i="3"/>
  <c r="AY146" i="3"/>
  <c r="AY326" i="3"/>
  <c r="AY178" i="3"/>
  <c r="AY294" i="3"/>
  <c r="AY550" i="3"/>
  <c r="AY269" i="3"/>
  <c r="AY389" i="3"/>
  <c r="AY302" i="3"/>
  <c r="AY122" i="3"/>
  <c r="AY457" i="3"/>
  <c r="BC6" i="3"/>
  <c r="AY543" i="3"/>
  <c r="AY91" i="3"/>
  <c r="AY273" i="3"/>
  <c r="AY566" i="3"/>
  <c r="AY488" i="3"/>
  <c r="AY568" i="3"/>
  <c r="AY451" i="3"/>
  <c r="AY69" i="3"/>
  <c r="AY26" i="3"/>
  <c r="AY194" i="3"/>
  <c r="AY278" i="3"/>
  <c r="AY35" i="3"/>
  <c r="AY526" i="3"/>
  <c r="AY513" i="3"/>
  <c r="AY87" i="3"/>
  <c r="AY81" i="3"/>
  <c r="AY279" i="3"/>
  <c r="AY336" i="3"/>
  <c r="AY124" i="3"/>
  <c r="AY48" i="3"/>
  <c r="AY61" i="3"/>
  <c r="AY97" i="3"/>
  <c r="AY118" i="3"/>
  <c r="AY148" i="3"/>
  <c r="AY446" i="3"/>
  <c r="AY221" i="3"/>
  <c r="AY112" i="3"/>
  <c r="AY23" i="3"/>
  <c r="AY237" i="3"/>
  <c r="AY173" i="3"/>
  <c r="AY83" i="3"/>
  <c r="AY249" i="3"/>
  <c r="AY137" i="3"/>
  <c r="AY90" i="3"/>
  <c r="AY358" i="3"/>
  <c r="AY344" i="3"/>
  <c r="AY220" i="3"/>
  <c r="BR6" i="3"/>
  <c r="AY497" i="3"/>
  <c r="AY285" i="3"/>
  <c r="AY404" i="3"/>
  <c r="AY327" i="3"/>
  <c r="AY213" i="3"/>
  <c r="AY502" i="3"/>
  <c r="AY110" i="3"/>
  <c r="AY298" i="3"/>
  <c r="AY403" i="3"/>
  <c r="AY514" i="3"/>
  <c r="AY454" i="3"/>
  <c r="AY499" i="3"/>
  <c r="AY391" i="3"/>
  <c r="AY507" i="3"/>
  <c r="AY234" i="3"/>
  <c r="AY191" i="3"/>
  <c r="AY283" i="3"/>
  <c r="AY456" i="3"/>
  <c r="AY54" i="3"/>
  <c r="AY312" i="3"/>
  <c r="AY360" i="3"/>
  <c r="AY447" i="3"/>
  <c r="AY63" i="3"/>
  <c r="AY71" i="3"/>
  <c r="AY440" i="3"/>
  <c r="AY195" i="3"/>
  <c r="AY362" i="3"/>
  <c r="AY252" i="3"/>
  <c r="AY260" i="3"/>
  <c r="AY228" i="3"/>
  <c r="AY204" i="3"/>
  <c r="AY316" i="3"/>
  <c r="AY413" i="3"/>
  <c r="AY370" i="3"/>
  <c r="AY399" i="3"/>
  <c r="AY287" i="3"/>
  <c r="AY385" i="3"/>
  <c r="AY15" i="3"/>
  <c r="AY56" i="3"/>
  <c r="AY289" i="3"/>
  <c r="AY512" i="3"/>
  <c r="AY93" i="3"/>
  <c r="AY313" i="3"/>
  <c r="AY130" i="3"/>
  <c r="AY125" i="3"/>
  <c r="AY473" i="3"/>
  <c r="AY551" i="3"/>
  <c r="AY541" i="3"/>
  <c r="AY167" i="3"/>
  <c r="AY439" i="3"/>
  <c r="BJ6" i="3"/>
  <c r="AY535" i="3"/>
  <c r="AY474" i="3"/>
  <c r="AY441" i="3"/>
  <c r="AY47" i="3"/>
  <c r="AY467" i="3"/>
  <c r="AY311" i="3"/>
  <c r="AY371" i="3"/>
  <c r="AY245" i="3"/>
  <c r="AY296" i="3"/>
  <c r="AY338" i="3"/>
  <c r="AY225" i="3"/>
  <c r="AY153" i="3"/>
  <c r="AY559" i="3"/>
  <c r="AY506" i="3"/>
  <c r="AY240" i="3"/>
  <c r="AY475" i="3"/>
  <c r="AY331" i="3"/>
  <c r="AY487" i="3"/>
  <c r="AY509" i="3"/>
  <c r="AY539" i="3"/>
  <c r="AY564" i="3"/>
  <c r="AY138" i="3"/>
  <c r="AY166" i="3"/>
  <c r="AY323" i="3"/>
  <c r="AY244" i="3"/>
  <c r="AY186" i="3"/>
  <c r="AY222" i="3"/>
  <c r="AY540" i="3"/>
  <c r="AY59" i="3"/>
  <c r="AY533" i="3"/>
  <c r="AY522" i="3"/>
  <c r="AY89" i="3"/>
  <c r="AY306" i="3"/>
  <c r="AY102" i="3"/>
  <c r="AY33" i="3"/>
  <c r="BG6" i="3"/>
  <c r="AY196" i="3"/>
  <c r="AY165" i="3"/>
  <c r="AY570" i="3"/>
  <c r="AY255" i="3"/>
  <c r="AY180" i="3"/>
  <c r="AY292" i="3"/>
  <c r="AY521" i="3"/>
  <c r="BE6" i="3"/>
  <c r="AY508" i="3"/>
  <c r="AY264" i="3"/>
  <c r="AY374" i="3"/>
  <c r="AY183" i="3"/>
  <c r="AY25" i="3"/>
  <c r="AY197" i="3"/>
  <c r="AY321" i="3"/>
  <c r="BH6" i="3"/>
  <c r="AY431" i="3"/>
  <c r="AY458" i="3"/>
  <c r="BL6" i="3"/>
  <c r="AY198" i="3"/>
  <c r="AY77" i="3"/>
  <c r="AY158" i="3"/>
  <c r="AY290" i="3"/>
  <c r="AY443" i="3"/>
  <c r="AY46" i="3"/>
  <c r="AY219" i="3"/>
  <c r="AY98" i="3"/>
  <c r="AY232" i="3"/>
  <c r="AY49" i="3"/>
  <c r="AY343" i="3"/>
  <c r="AY65" i="3"/>
  <c r="AY265" i="3"/>
  <c r="AY350" i="3"/>
  <c r="AY50" i="3"/>
  <c r="AY346" i="3"/>
  <c r="AY161" i="3"/>
  <c r="AY101" i="3"/>
  <c r="AY305" i="3"/>
  <c r="AY429" i="3"/>
  <c r="AY43" i="3"/>
  <c r="AY501" i="3"/>
  <c r="AY481" i="3"/>
  <c r="AY510" i="3"/>
  <c r="AY401" i="3"/>
  <c r="AY495" i="3"/>
  <c r="AY267" i="3"/>
  <c r="AY82" i="3"/>
  <c r="AY41" i="3"/>
  <c r="AY75" i="3"/>
  <c r="AY202" i="3"/>
  <c r="AY38" i="3"/>
  <c r="AY558" i="3"/>
  <c r="AY424" i="3"/>
  <c r="AY254" i="3"/>
  <c r="AY437" i="3"/>
  <c r="AY239" i="3"/>
  <c r="AY64" i="3"/>
  <c r="AY104" i="3"/>
  <c r="AY368" i="3"/>
  <c r="AY171" i="3"/>
  <c r="AY57" i="3"/>
  <c r="AY149" i="3"/>
  <c r="AY70" i="3"/>
  <c r="BK6" i="3"/>
  <c r="AY435" i="3"/>
  <c r="AY132" i="3"/>
  <c r="AY188" i="3"/>
  <c r="AY528" i="3"/>
  <c r="AY567" i="3"/>
  <c r="AY534" i="3"/>
  <c r="AY80" i="3"/>
  <c r="AY277" i="3"/>
  <c r="AY200" i="3"/>
  <c r="AY85" i="3"/>
  <c r="AY229" i="3"/>
  <c r="AY314" i="3"/>
  <c r="AY268" i="3"/>
  <c r="AY140" i="3"/>
  <c r="AY66" i="3"/>
  <c r="AY52" i="3"/>
  <c r="AY179" i="3"/>
  <c r="AY274" i="3"/>
  <c r="AY275" i="3"/>
  <c r="AY556" i="3"/>
  <c r="AY414" i="3"/>
  <c r="AY114" i="3"/>
  <c r="AY182" i="3"/>
  <c r="AY217" i="3"/>
  <c r="AY427" i="3"/>
  <c r="AY214" i="3"/>
  <c r="AY476" i="3"/>
  <c r="AY116" i="3"/>
  <c r="AY366" i="3"/>
  <c r="AY548" i="3"/>
  <c r="AY256" i="3"/>
  <c r="AY172" i="3"/>
  <c r="AY394" i="3"/>
  <c r="AY544" i="3"/>
  <c r="AY107" i="3"/>
  <c r="AY42" i="3"/>
  <c r="AY145" i="3"/>
  <c r="AY472" i="3"/>
  <c r="AY233" i="3"/>
  <c r="AY262" i="3"/>
  <c r="AY286" i="3"/>
  <c r="AY169" i="3"/>
  <c r="AY72" i="3"/>
  <c r="AY30" i="3"/>
  <c r="AY382" i="3"/>
  <c r="AY143" i="3"/>
  <c r="AY236" i="3"/>
  <c r="AY276" i="3"/>
  <c r="AY113" i="3"/>
  <c r="AY67" i="3"/>
  <c r="AY425" i="3"/>
  <c r="AY335" i="3"/>
  <c r="AY266" i="3"/>
  <c r="AY14" i="3"/>
  <c r="AY193" i="3"/>
  <c r="BN6" i="3"/>
  <c r="AY527" i="3"/>
  <c r="AY13" i="3"/>
  <c r="AY203" i="3"/>
  <c r="AY95" i="3"/>
  <c r="AY150" i="3"/>
  <c r="AY216" i="3"/>
  <c r="AY432" i="3"/>
  <c r="AY28" i="3"/>
  <c r="AY280" i="3"/>
  <c r="AY126" i="3"/>
  <c r="AY291" i="3"/>
  <c r="AY422" i="3"/>
  <c r="AY379" i="3"/>
  <c r="AY463" i="3"/>
  <c r="AY135" i="3"/>
  <c r="AY372" i="3"/>
  <c r="AY62" i="3"/>
  <c r="AY376" i="3"/>
  <c r="AY155" i="3"/>
  <c r="AY450" i="3"/>
  <c r="AY307" i="3"/>
  <c r="AY412" i="3"/>
  <c r="AY201" i="3"/>
  <c r="AY330" i="3"/>
  <c r="AY449" i="3"/>
  <c r="AY494" i="3"/>
  <c r="AY212" i="3"/>
  <c r="BB6" i="3"/>
  <c r="AY251" i="3"/>
  <c r="AY549" i="3"/>
  <c r="AY88" i="3"/>
  <c r="AY295" i="3"/>
  <c r="AY16" i="3"/>
  <c r="AY253" i="3"/>
  <c r="AY525" i="3"/>
  <c r="AY19" i="3"/>
  <c r="AY347" i="3"/>
  <c r="AY109" i="3"/>
  <c r="AY342" i="3"/>
  <c r="AY438" i="3"/>
  <c r="AY352" i="3"/>
  <c r="AY428" i="3"/>
  <c r="AY215" i="3"/>
  <c r="AY530" i="3"/>
  <c r="D23" i="59"/>
  <c r="M20" i="46" s="1"/>
  <c r="C19" i="46" s="1"/>
  <c r="T23" i="59"/>
  <c r="C19" i="11"/>
  <c r="C20" i="11" s="1"/>
  <c r="C21" i="11" s="1"/>
  <c r="C22" i="11" s="1"/>
  <c r="C23" i="11" s="1"/>
  <c r="B2" i="11" s="1"/>
  <c r="B5" i="11" s="1"/>
  <c r="C10" i="15"/>
  <c r="C5" i="15" s="1"/>
  <c r="C33" i="15" s="1"/>
  <c r="F21" i="43"/>
  <c r="C23" i="43" s="1"/>
  <c r="D21" i="43" s="1"/>
  <c r="F26" i="12"/>
  <c r="C27" i="12" s="1"/>
  <c r="D26" i="12" s="1"/>
  <c r="C32" i="12" s="1"/>
  <c r="D30" i="12" s="1"/>
  <c r="C34" i="44"/>
  <c r="I46" i="37"/>
  <c r="J46" i="37" s="1"/>
  <c r="G53" i="34"/>
  <c r="H53" i="34" s="1"/>
  <c r="G54" i="34"/>
  <c r="H54" i="34" s="1"/>
  <c r="E43" i="35"/>
  <c r="F43" i="35" s="1"/>
  <c r="E42" i="35"/>
  <c r="F42" i="35" s="1"/>
  <c r="I67" i="40"/>
  <c r="J65" i="40"/>
  <c r="G47" i="37"/>
  <c r="H47" i="37" s="1"/>
  <c r="E54" i="34"/>
  <c r="F54" i="34" s="1"/>
  <c r="E53" i="34"/>
  <c r="F53" i="34" s="1"/>
  <c r="H58" i="33"/>
  <c r="J46" i="36"/>
  <c r="C38" i="35"/>
  <c r="C39" i="35"/>
  <c r="B3" i="35" s="1"/>
  <c r="B2" i="35" s="1"/>
  <c r="R43" i="37"/>
  <c r="E42" i="37"/>
  <c r="F72" i="39"/>
  <c r="G70" i="39"/>
  <c r="C49" i="34"/>
  <c r="C50" i="34"/>
  <c r="B3" i="34" s="1"/>
  <c r="B2" i="34" s="1"/>
  <c r="C48" i="21"/>
  <c r="C49" i="21"/>
  <c r="B3" i="21" s="1"/>
  <c r="C59" i="15"/>
  <c r="C60" i="15"/>
  <c r="J26" i="15"/>
  <c r="J29" i="15" s="1"/>
  <c r="J18" i="15"/>
  <c r="J24" i="15"/>
  <c r="N16" i="1"/>
  <c r="C29" i="43" s="1"/>
  <c r="L16" i="1"/>
  <c r="C13" i="43"/>
  <c r="S12" i="40"/>
  <c r="AA12" i="40"/>
  <c r="AC12" i="40"/>
  <c r="W12" i="40"/>
  <c r="AC12" i="39"/>
  <c r="W12" i="39"/>
  <c r="M27" i="6"/>
  <c r="I19" i="6"/>
  <c r="S16" i="1"/>
  <c r="P7" i="1"/>
  <c r="P16" i="1" s="1"/>
  <c r="C13" i="12" s="1"/>
  <c r="O16" i="1"/>
  <c r="AB12" i="39"/>
  <c r="U12" i="39"/>
  <c r="AB12" i="40"/>
  <c r="U12" i="40"/>
  <c r="S12" i="39"/>
  <c r="AA12" i="39"/>
  <c r="J28" i="44"/>
  <c r="J31" i="44" s="1"/>
  <c r="Q49" i="44" s="1"/>
  <c r="Q55" i="44" s="1"/>
  <c r="J26" i="44"/>
  <c r="F68" i="15"/>
  <c r="Q69" i="44"/>
  <c r="L58" i="44"/>
  <c r="L61" i="44" s="1"/>
  <c r="B4" i="11" l="1"/>
  <c r="B3" i="11"/>
  <c r="C32" i="15"/>
  <c r="C38" i="15"/>
  <c r="D20" i="6"/>
  <c r="D24" i="6"/>
  <c r="D25" i="6"/>
  <c r="D9" i="6"/>
  <c r="C22" i="4"/>
  <c r="D14" i="6"/>
  <c r="D22" i="6"/>
  <c r="D19" i="6"/>
  <c r="K38" i="9"/>
  <c r="C14" i="66" s="1"/>
  <c r="B2" i="66" s="1"/>
  <c r="D29" i="6"/>
  <c r="D6" i="6"/>
  <c r="D11" i="6"/>
  <c r="D15" i="6"/>
  <c r="E46" i="9"/>
  <c r="D23" i="6"/>
  <c r="F46" i="9"/>
  <c r="E63" i="40"/>
  <c r="D12" i="6"/>
  <c r="D21" i="6"/>
  <c r="D5" i="6"/>
  <c r="D28" i="6"/>
  <c r="D30" i="6" s="1"/>
  <c r="D26" i="6"/>
  <c r="D10" i="6"/>
  <c r="D8" i="6"/>
  <c r="D16" i="6" s="1"/>
  <c r="D13" i="6"/>
  <c r="H24" i="6"/>
  <c r="H21" i="6"/>
  <c r="R21" i="6" s="1"/>
  <c r="H23" i="6"/>
  <c r="R23" i="6" s="1"/>
  <c r="H26" i="6"/>
  <c r="R26" i="6" s="1"/>
  <c r="H22" i="6"/>
  <c r="R22" i="6" s="1"/>
  <c r="H25" i="6"/>
  <c r="H20" i="6"/>
  <c r="D19" i="12"/>
  <c r="C19" i="12" s="1"/>
  <c r="C16" i="12"/>
  <c r="C8" i="66"/>
  <c r="C33" i="46"/>
  <c r="C35" i="46"/>
  <c r="T4" i="46"/>
  <c r="V4" i="46" s="1"/>
  <c r="T2" i="46"/>
  <c r="V2" i="46" s="1"/>
  <c r="T6" i="46"/>
  <c r="V6" i="46" s="1"/>
  <c r="T15" i="46"/>
  <c r="V15" i="46" s="1"/>
  <c r="T11" i="46"/>
  <c r="V11" i="46" s="1"/>
  <c r="T16" i="46"/>
  <c r="V16" i="46" s="1"/>
  <c r="T12" i="46"/>
  <c r="V12" i="46" s="1"/>
  <c r="T8" i="46"/>
  <c r="V8" i="46" s="1"/>
  <c r="C36" i="46"/>
  <c r="C38" i="46"/>
  <c r="C39" i="46"/>
  <c r="C37" i="46"/>
  <c r="T5" i="46"/>
  <c r="V5" i="46" s="1"/>
  <c r="T3" i="46"/>
  <c r="V3" i="46" s="1"/>
  <c r="T7" i="46"/>
  <c r="V7" i="46" s="1"/>
  <c r="T13" i="46"/>
  <c r="V13" i="46" s="1"/>
  <c r="T9" i="46"/>
  <c r="V9" i="46" s="1"/>
  <c r="T14" i="46"/>
  <c r="V14" i="46" s="1"/>
  <c r="T10" i="46"/>
  <c r="V10" i="46" s="1"/>
  <c r="C34" i="46"/>
  <c r="C29" i="46"/>
  <c r="D22" i="12"/>
  <c r="C22" i="12" s="1"/>
  <c r="C20" i="12" s="1"/>
  <c r="D13" i="11"/>
  <c r="C13" i="11" s="1"/>
  <c r="G72" i="39"/>
  <c r="H70" i="39"/>
  <c r="E46" i="37"/>
  <c r="F46" i="37" s="1"/>
  <c r="E47" i="37"/>
  <c r="F47" i="37" s="1"/>
  <c r="C42" i="37"/>
  <c r="C43" i="37"/>
  <c r="B3" i="37" s="1"/>
  <c r="B2" i="37" s="1"/>
  <c r="K46" i="36"/>
  <c r="I58" i="33"/>
  <c r="K65" i="40"/>
  <c r="J67" i="40"/>
  <c r="I47" i="37"/>
  <c r="J47" i="37" s="1"/>
  <c r="C8" i="12"/>
  <c r="C10" i="12" s="1"/>
  <c r="B2" i="21"/>
  <c r="C17" i="12"/>
  <c r="C14" i="12"/>
  <c r="T11" i="1"/>
  <c r="T8" i="1"/>
  <c r="T13" i="1"/>
  <c r="T9" i="1"/>
  <c r="T12" i="1"/>
  <c r="T10" i="1"/>
  <c r="T7" i="1"/>
  <c r="Q67" i="44"/>
  <c r="T6" i="1"/>
  <c r="I27" i="6"/>
  <c r="S19" i="6"/>
  <c r="S27" i="6" s="1"/>
  <c r="H19" i="6"/>
  <c r="C17" i="43"/>
  <c r="C14" i="43"/>
  <c r="Q58" i="44"/>
  <c r="Q59" i="44"/>
  <c r="Q68" i="44"/>
  <c r="C14" i="15"/>
  <c r="C16" i="44"/>
  <c r="C30" i="46" l="1"/>
  <c r="E30" i="46" s="1"/>
  <c r="E29" i="46"/>
  <c r="E39" i="46"/>
  <c r="G39" i="46"/>
  <c r="I39" i="46" s="1"/>
  <c r="G36" i="46"/>
  <c r="I36" i="46" s="1"/>
  <c r="E36" i="46"/>
  <c r="G33" i="46"/>
  <c r="I33" i="46" s="1"/>
  <c r="E33" i="46"/>
  <c r="D8" i="66"/>
  <c r="R24" i="6"/>
  <c r="G34" i="46"/>
  <c r="I34" i="46" s="1"/>
  <c r="E34" i="46"/>
  <c r="G37" i="46"/>
  <c r="I37" i="46" s="1"/>
  <c r="E37" i="46"/>
  <c r="E38" i="46"/>
  <c r="G38" i="46"/>
  <c r="I38" i="46" s="1"/>
  <c r="E35" i="46"/>
  <c r="G35" i="46"/>
  <c r="I35" i="46" s="1"/>
  <c r="D31" i="6"/>
  <c r="D27" i="6"/>
  <c r="A6" i="51"/>
  <c r="B7" i="63" s="1"/>
  <c r="A20" i="51"/>
  <c r="B15" i="63" s="1"/>
  <c r="A6" i="64"/>
  <c r="A20" i="64"/>
  <c r="N5" i="54"/>
  <c r="B43" i="63" s="1"/>
  <c r="R25" i="6"/>
  <c r="R20" i="6"/>
  <c r="R7" i="1" s="1"/>
  <c r="K67" i="40"/>
  <c r="L65" i="40"/>
  <c r="J58" i="33"/>
  <c r="L46" i="36"/>
  <c r="H72" i="39"/>
  <c r="I70" i="39"/>
  <c r="Q77" i="44"/>
  <c r="C18" i="12"/>
  <c r="C23" i="12" s="1"/>
  <c r="C18" i="43"/>
  <c r="C19" i="43" s="1"/>
  <c r="C25" i="43" s="1"/>
  <c r="C24" i="43" s="1"/>
  <c r="Q64" i="44"/>
  <c r="T16" i="1"/>
  <c r="C15" i="15"/>
  <c r="C18" i="15"/>
  <c r="C20" i="44"/>
  <c r="C17" i="44"/>
  <c r="R19" i="6"/>
  <c r="H27" i="6"/>
  <c r="M21" i="15"/>
  <c r="F35" i="15"/>
  <c r="F7" i="67"/>
  <c r="E4" i="67" l="1"/>
  <c r="C34" i="15"/>
  <c r="C31" i="15" s="1"/>
  <c r="F62" i="15"/>
  <c r="C61" i="15" s="1"/>
  <c r="C58" i="15" s="1"/>
  <c r="J20" i="15"/>
  <c r="C26" i="46"/>
  <c r="I5" i="6"/>
  <c r="I6" i="6"/>
  <c r="C27" i="46"/>
  <c r="M46" i="36"/>
  <c r="K58" i="33"/>
  <c r="I72" i="39"/>
  <c r="J70" i="39"/>
  <c r="M65" i="40"/>
  <c r="L67" i="40"/>
  <c r="C19" i="15"/>
  <c r="C20" i="15" s="1"/>
  <c r="C26" i="15" s="1"/>
  <c r="C21" i="44"/>
  <c r="C22" i="44" s="1"/>
  <c r="C28" i="44" s="1"/>
  <c r="R6" i="1"/>
  <c r="R16" i="1" s="1"/>
  <c r="R27" i="6"/>
  <c r="C22" i="43"/>
  <c r="C21" i="43" s="1"/>
  <c r="C28" i="43" s="1"/>
  <c r="C30" i="43" s="1"/>
  <c r="C32" i="43" s="1"/>
  <c r="B2" i="43" s="1"/>
  <c r="E7" i="67"/>
  <c r="E3" i="67" l="1"/>
  <c r="B2" i="46"/>
  <c r="H9" i="40"/>
  <c r="J72" i="39"/>
  <c r="K70" i="39"/>
  <c r="L58" i="33"/>
  <c r="N46" i="36"/>
  <c r="N65" i="40"/>
  <c r="N67" i="40" s="1"/>
  <c r="M67" i="40"/>
  <c r="F9" i="40" s="1"/>
  <c r="C23" i="15"/>
  <c r="C29" i="15" s="1"/>
  <c r="C25" i="44"/>
  <c r="C31" i="44" s="1"/>
  <c r="B3" i="43"/>
  <c r="B4" i="43"/>
  <c r="B5" i="43"/>
  <c r="B7" i="67"/>
  <c r="B2" i="67" l="1"/>
  <c r="B4" i="46"/>
  <c r="D4" i="46"/>
  <c r="B3" i="46"/>
  <c r="AA9" i="40"/>
  <c r="R44" i="40" s="1"/>
  <c r="S9" i="40"/>
  <c r="U9" i="40"/>
  <c r="AB9" i="40"/>
  <c r="T44" i="40" s="1"/>
  <c r="G44" i="40" s="1"/>
  <c r="O46" i="36"/>
  <c r="J7" i="36" s="1"/>
  <c r="M58" i="33"/>
  <c r="J9" i="40"/>
  <c r="K72" i="39"/>
  <c r="L70" i="39"/>
  <c r="Q50" i="15"/>
  <c r="C36" i="15"/>
  <c r="J14" i="15"/>
  <c r="C13" i="15"/>
  <c r="C56" i="15"/>
  <c r="C63" i="15" s="1"/>
  <c r="J19" i="15"/>
  <c r="J17" i="15" s="1"/>
  <c r="J21" i="44"/>
  <c r="J19" i="44" s="1"/>
  <c r="C35" i="44"/>
  <c r="C33" i="44" s="1"/>
  <c r="C15" i="44"/>
  <c r="C38" i="44"/>
  <c r="J16" i="44"/>
  <c r="Q51" i="44"/>
  <c r="B4" i="67" l="1"/>
  <c r="B3" i="67"/>
  <c r="W7" i="36"/>
  <c r="AC7" i="36"/>
  <c r="V36" i="36" s="1"/>
  <c r="I36" i="36" s="1"/>
  <c r="L72" i="39"/>
  <c r="M70" i="39"/>
  <c r="G48" i="40"/>
  <c r="H48" i="40" s="1"/>
  <c r="AC9" i="40"/>
  <c r="V44" i="40" s="1"/>
  <c r="I44" i="40" s="1"/>
  <c r="G49" i="40" s="1"/>
  <c r="H49" i="40" s="1"/>
  <c r="W9" i="40"/>
  <c r="N58" i="33"/>
  <c r="O58" i="33" s="1"/>
  <c r="H7" i="33"/>
  <c r="F7" i="36"/>
  <c r="H7" i="36"/>
  <c r="R45" i="40"/>
  <c r="E44" i="40"/>
  <c r="Q72" i="44"/>
  <c r="C43" i="44"/>
  <c r="C39" i="44"/>
  <c r="C32" i="44" s="1"/>
  <c r="C42" i="44" s="1"/>
  <c r="C37" i="15"/>
  <c r="C30" i="15" s="1"/>
  <c r="C39" i="15" s="1"/>
  <c r="Q71" i="15"/>
  <c r="J35" i="15"/>
  <c r="C55" i="15"/>
  <c r="C64" i="15" s="1"/>
  <c r="C57" i="15" s="1"/>
  <c r="C66" i="15" s="1"/>
  <c r="C67" i="15" s="1"/>
  <c r="J13" i="15"/>
  <c r="J23" i="15" s="1"/>
  <c r="J22" i="15"/>
  <c r="J15" i="44"/>
  <c r="J25" i="44" s="1"/>
  <c r="J24" i="44"/>
  <c r="L51" i="15"/>
  <c r="C45" i="40" l="1"/>
  <c r="C44" i="40"/>
  <c r="E49" i="40"/>
  <c r="F49" i="40" s="1"/>
  <c r="E48" i="40"/>
  <c r="F48" i="40" s="1"/>
  <c r="AB7" i="36"/>
  <c r="T36" i="36" s="1"/>
  <c r="G36" i="36" s="1"/>
  <c r="U7" i="36"/>
  <c r="U7" i="33"/>
  <c r="AB7" i="33"/>
  <c r="T48" i="33" s="1"/>
  <c r="G48" i="33" s="1"/>
  <c r="M72" i="39"/>
  <c r="N70" i="39"/>
  <c r="N72" i="39" s="1"/>
  <c r="I40" i="36"/>
  <c r="J40" i="36" s="1"/>
  <c r="AA7" i="36"/>
  <c r="R36" i="36" s="1"/>
  <c r="S7" i="36"/>
  <c r="J7" i="33"/>
  <c r="F7" i="33"/>
  <c r="I48" i="40"/>
  <c r="J48" i="40" s="1"/>
  <c r="I49" i="40"/>
  <c r="J49" i="40" s="1"/>
  <c r="J18" i="44"/>
  <c r="J27" i="44" s="1"/>
  <c r="J16" i="15"/>
  <c r="J25" i="15" s="1"/>
  <c r="Q68" i="15"/>
  <c r="Q70" i="15"/>
  <c r="Q69" i="15" s="1"/>
  <c r="C40" i="15"/>
  <c r="J39" i="15"/>
  <c r="J40" i="15" s="1"/>
  <c r="C70" i="15"/>
  <c r="Q71" i="44"/>
  <c r="Q70" i="44" s="1"/>
  <c r="C44" i="44"/>
  <c r="C45" i="44" s="1"/>
  <c r="B2" i="44" s="1"/>
  <c r="AA7" i="33" l="1"/>
  <c r="R48" i="33" s="1"/>
  <c r="S7" i="33"/>
  <c r="H9" i="39"/>
  <c r="F9" i="39"/>
  <c r="J9" i="39"/>
  <c r="G52" i="33"/>
  <c r="H52" i="33" s="1"/>
  <c r="G53" i="33"/>
  <c r="H53" i="33" s="1"/>
  <c r="AC7" i="33"/>
  <c r="V48" i="33" s="1"/>
  <c r="I48" i="33" s="1"/>
  <c r="W7" i="33"/>
  <c r="R37" i="36"/>
  <c r="E36" i="36"/>
  <c r="G40" i="36"/>
  <c r="H40" i="36" s="1"/>
  <c r="G41" i="36"/>
  <c r="H41" i="36" s="1"/>
  <c r="B59" i="40"/>
  <c r="F59" i="40" s="1"/>
  <c r="B61" i="40"/>
  <c r="F61" i="40" s="1"/>
  <c r="B58" i="40"/>
  <c r="F58" i="40" s="1"/>
  <c r="B53" i="40"/>
  <c r="F53" i="40" s="1"/>
  <c r="B55" i="40"/>
  <c r="F55" i="40" s="1"/>
  <c r="B56" i="40"/>
  <c r="F56" i="40" s="1"/>
  <c r="B60" i="40"/>
  <c r="F60" i="40" s="1"/>
  <c r="B54" i="40"/>
  <c r="F54" i="40" s="1"/>
  <c r="B57" i="40"/>
  <c r="F57" i="40" s="1"/>
  <c r="B62" i="40"/>
  <c r="F62" i="40" s="1"/>
  <c r="F63" i="40"/>
  <c r="B2" i="40" s="1"/>
  <c r="Q66" i="15"/>
  <c r="Q76" i="15" s="1"/>
  <c r="C43" i="15"/>
  <c r="B2" i="15"/>
  <c r="B3" i="15" s="1"/>
  <c r="D8" i="12" s="1"/>
  <c r="D10" i="12" s="1"/>
  <c r="C6" i="12" s="1"/>
  <c r="Q48" i="15"/>
  <c r="Q54" i="15" s="1"/>
  <c r="Q57" i="15"/>
  <c r="Q63" i="15" s="1"/>
  <c r="J42" i="15"/>
  <c r="J43" i="15" s="1"/>
  <c r="B5" i="44"/>
  <c r="B3" i="44"/>
  <c r="B4" i="44"/>
  <c r="C46" i="15"/>
  <c r="AC9" i="39" l="1"/>
  <c r="V49" i="39" s="1"/>
  <c r="I49" i="39" s="1"/>
  <c r="I53" i="39" s="1"/>
  <c r="J53" i="39" s="1"/>
  <c r="W9" i="39"/>
  <c r="B3" i="40"/>
  <c r="B4" i="40"/>
  <c r="B5" i="40"/>
  <c r="C36" i="36"/>
  <c r="C37" i="36"/>
  <c r="B3" i="36" s="1"/>
  <c r="B2" i="36" s="1"/>
  <c r="I52" i="33"/>
  <c r="J52" i="33" s="1"/>
  <c r="AA9" i="39"/>
  <c r="R49" i="39" s="1"/>
  <c r="S9" i="39"/>
  <c r="E41" i="36"/>
  <c r="F41" i="36" s="1"/>
  <c r="E40" i="36"/>
  <c r="F40" i="36" s="1"/>
  <c r="I41" i="36"/>
  <c r="J41" i="36" s="1"/>
  <c r="AB9" i="39"/>
  <c r="T49" i="39" s="1"/>
  <c r="G49" i="39" s="1"/>
  <c r="U9" i="39"/>
  <c r="E48" i="33"/>
  <c r="I53" i="33" s="1"/>
  <c r="J53" i="33" s="1"/>
  <c r="R49" i="33"/>
  <c r="C24" i="12"/>
  <c r="C29" i="12"/>
  <c r="G54" i="39" l="1"/>
  <c r="H54" i="39" s="1"/>
  <c r="G53" i="39"/>
  <c r="H53" i="39" s="1"/>
  <c r="C49" i="33"/>
  <c r="B3" i="33" s="1"/>
  <c r="B2" i="33" s="1"/>
  <c r="C48" i="33"/>
  <c r="E49" i="39"/>
  <c r="R50" i="39"/>
  <c r="E53" i="33"/>
  <c r="F53" i="33" s="1"/>
  <c r="E52" i="33"/>
  <c r="F52" i="33" s="1"/>
  <c r="C35" i="12"/>
  <c r="C33" i="12" s="1"/>
  <c r="C28" i="12"/>
  <c r="C26" i="12" s="1"/>
  <c r="C31" i="12" s="1"/>
  <c r="C30" i="12" s="1"/>
  <c r="I54" i="39" l="1"/>
  <c r="J54" i="39" s="1"/>
  <c r="E54" i="39"/>
  <c r="F54" i="39" s="1"/>
  <c r="E53" i="39"/>
  <c r="F53" i="39" s="1"/>
  <c r="C50" i="39"/>
  <c r="C49" i="39"/>
  <c r="C36" i="12"/>
  <c r="B2" i="12" s="1"/>
  <c r="B3" i="12" s="1"/>
  <c r="D20" i="9"/>
  <c r="D19" i="9"/>
  <c r="B62" i="39" l="1"/>
  <c r="F62" i="39" s="1"/>
  <c r="B61" i="39"/>
  <c r="F61" i="39" s="1"/>
  <c r="B65" i="39"/>
  <c r="F65" i="39" s="1"/>
  <c r="B60" i="39"/>
  <c r="F60" i="39" s="1"/>
  <c r="B66" i="39"/>
  <c r="F66" i="39" s="1"/>
  <c r="B58" i="39"/>
  <c r="F58" i="39" s="1"/>
  <c r="B59" i="39"/>
  <c r="F59" i="39" s="1"/>
  <c r="B63" i="39"/>
  <c r="F63" i="39" s="1"/>
  <c r="B67" i="39"/>
  <c r="F67" i="39" s="1"/>
  <c r="B64" i="39"/>
  <c r="F64" i="39" s="1"/>
  <c r="B5" i="12"/>
  <c r="L44" i="9"/>
  <c r="B4" i="12"/>
  <c r="D21" i="9"/>
  <c r="F68" i="39" l="1"/>
  <c r="B2" i="39" s="1"/>
  <c r="C19" i="9"/>
  <c r="L43" i="9" l="1"/>
  <c r="D22" i="9"/>
  <c r="G19" i="9"/>
  <c r="B5" i="39"/>
  <c r="B3" i="39"/>
  <c r="B4" i="39"/>
  <c r="C20" i="9"/>
  <c r="C21" i="9"/>
  <c r="G21" i="9" l="1"/>
  <c r="G20" i="9"/>
  <c r="C32" i="9"/>
  <c r="C45" i="9" s="1"/>
  <c r="N43" i="9"/>
  <c r="G22" i="9"/>
  <c r="H14" i="66" l="1"/>
  <c r="B7" i="66" s="1"/>
  <c r="O40" i="9"/>
  <c r="D45" i="9"/>
  <c r="F45" i="9"/>
  <c r="E45" i="9"/>
  <c r="C42" i="9"/>
  <c r="C44" i="9" s="1"/>
  <c r="O38" i="9"/>
  <c r="C35" i="9"/>
  <c r="F42" i="9" s="1"/>
  <c r="C34" i="9"/>
  <c r="C33" i="9"/>
  <c r="O43" i="9"/>
  <c r="R7" i="54" l="1"/>
  <c r="B52" i="63" s="1"/>
  <c r="K31" i="9"/>
  <c r="K32" i="9" s="1"/>
  <c r="C7" i="66"/>
  <c r="D7" i="66"/>
  <c r="G14" i="66"/>
  <c r="B6" i="66" s="1"/>
  <c r="N69" i="9"/>
  <c r="O39" i="9"/>
  <c r="D44" i="9"/>
  <c r="E44" i="9"/>
  <c r="F44" i="9"/>
  <c r="N38" i="9"/>
  <c r="K28" i="9" s="1"/>
  <c r="D42" i="9"/>
  <c r="Q5" i="54" s="1"/>
  <c r="B47" i="63" s="1"/>
  <c r="E42" i="9"/>
  <c r="P5" i="54" s="1"/>
  <c r="B46" i="63" s="1"/>
  <c r="M38" i="9"/>
  <c r="K27" i="9" s="1"/>
  <c r="K25" i="9"/>
  <c r="K26" i="9"/>
  <c r="R5" i="54"/>
  <c r="B48" i="63" s="1"/>
  <c r="N68" i="9"/>
  <c r="D63" i="9"/>
  <c r="D14" i="66"/>
  <c r="R6" i="54" l="1"/>
  <c r="B50" i="63" s="1"/>
  <c r="K29" i="9"/>
  <c r="K30" i="9" s="1"/>
  <c r="M86" i="9"/>
  <c r="N86" i="9" s="1"/>
  <c r="M83" i="9"/>
  <c r="N83" i="9" s="1"/>
  <c r="M84" i="9"/>
  <c r="N84" i="9" s="1"/>
  <c r="M85" i="9"/>
  <c r="N85" i="9" s="1"/>
  <c r="M87" i="9"/>
  <c r="N87" i="9" s="1"/>
  <c r="M88" i="9"/>
  <c r="N88" i="9" s="1"/>
  <c r="C6" i="66"/>
  <c r="D6" i="66"/>
  <c r="F14" i="66"/>
  <c r="B5" i="66"/>
  <c r="E14" i="66"/>
  <c r="D77" i="9"/>
  <c r="N75" i="9" s="1"/>
  <c r="D71" i="9"/>
  <c r="D66" i="9" s="1"/>
  <c r="N72" i="9" s="1"/>
  <c r="D70" i="9"/>
  <c r="C111" i="9"/>
  <c r="C104" i="9" s="1"/>
  <c r="C82" i="9"/>
  <c r="C81" i="9" s="1"/>
  <c r="C85" i="9" s="1"/>
  <c r="C86" i="9" s="1"/>
  <c r="D72" i="9" s="1"/>
  <c r="C96" i="9"/>
  <c r="C91" i="9" s="1"/>
  <c r="C90" i="9"/>
  <c r="C103" i="9"/>
  <c r="N89" i="9" l="1"/>
  <c r="O89" i="9" s="1"/>
  <c r="C113" i="9"/>
  <c r="C114" i="9" s="1"/>
  <c r="E114" i="9" s="1"/>
  <c r="E115" i="9" s="1"/>
  <c r="C97" i="9"/>
  <c r="C5" i="66"/>
  <c r="D5" i="66"/>
  <c r="C115" i="9" l="1"/>
  <c r="D76" i="9" s="1"/>
  <c r="D74" i="9" s="1"/>
  <c r="N74" i="9" s="1"/>
  <c r="O77" i="9" s="1"/>
  <c r="O78" i="9" s="1"/>
  <c r="C98" i="9"/>
  <c r="E98" i="9" s="1"/>
  <c r="E99" i="9" s="1"/>
  <c r="O79" i="9" l="1"/>
  <c r="O81" i="9" s="1"/>
  <c r="Q77" i="9"/>
  <c r="C99"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<sst xmlns="http://schemas.openxmlformats.org/spreadsheetml/2006/main" count="7804" uniqueCount="3220">
  <si>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</si>
  <si>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</si>
  <si>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</si>
  <si>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</si>
  <si>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</si>
  <si>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</si>
  <si>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</si>
  <si>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</si>
  <si>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</si>
  <si>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</si>
  <si>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</si>
  <si>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</si>
  <si>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</si>
  <si>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</si>
  <si>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</si>
  <si>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</si>
  <si>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</si>
  <si>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</si>
  <si>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</si>
  <si>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</si>
  <si>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</si>
  <si>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</si>
  <si>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</si>
  <si>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</si>
  <si>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</si>
  <si>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</si>
  <si>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</si>
  <si>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</si>
  <si>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</si>
  <si>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</si>
  <si>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</si>
  <si>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</si>
  <si>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</si>
  <si>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</si>
  <si>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</si>
  <si>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</si>
  <si>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</si>
  <si>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</si>
  <si>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</si>
  <si>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</si>
  <si>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</si>
  <si>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</si>
  <si>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</si>
  <si>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</si>
  <si>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</si>
  <si>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</si>
  <si>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</si>
  <si>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</si>
  <si>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</si>
  <si>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</si>
  <si>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</si>
  <si>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</si>
  <si>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</si>
  <si>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</si>
  <si>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</si>
  <si>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</si>
  <si>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</si>
  <si>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</si>
  <si>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</si>
  <si>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</si>
  <si>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</si>
  <si>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</si>
  <si>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</si>
  <si>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</si>
  <si>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</si>
  <si>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</si>
  <si>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</si>
  <si>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</si>
  <si>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</si>
  <si>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</si>
  <si>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</si>
  <si>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</si>
  <si>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</si>
  <si>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</si>
  <si>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</si>
  <si>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</si>
  <si>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</si>
  <si>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</si>
  <si>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</si>
  <si>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</si>
  <si>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</si>
  <si>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</si>
  <si>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</si>
  <si>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</si>
  <si>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</si>
  <si>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</si>
  <si>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</si>
  <si>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</si>
  <si>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</si>
  <si>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</si>
  <si>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</si>
  <si>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</si>
  <si>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</si>
  <si>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</si>
  <si>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</si>
  <si>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</si>
  <si>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</si>
  <si>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</si>
  <si>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</si>
  <si>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</si>
  <si>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</si>
  <si>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</si>
  <si>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</si>
  <si>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</si>
  <si>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</si>
  <si>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</si>
  <si>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</si>
  <si>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</si>
  <si>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</si>
  <si>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</si>
  <si>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</si>
  <si>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</si>
  <si>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</si>
  <si>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</si>
  <si>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</si>
  <si>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</si>
  <si>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</si>
  <si>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</si>
  <si>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</si>
  <si>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</si>
  <si>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</si>
  <si>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</si>
  <si>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</si>
  <si>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</si>
  <si>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</si>
  <si>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</si>
  <si>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</si>
  <si>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</si>
  <si>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</si>
  <si>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</si>
  <si>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</si>
  <si>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</si>
  <si>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</si>
  <si>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</si>
  <si>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</si>
  <si>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</si>
  <si>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</si>
  <si>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</si>
  <si>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</si>
  <si>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</si>
  <si>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</si>
  <si>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</si>
  <si>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</si>
  <si>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</si>
  <si>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</si>
  <si>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</si>
  <si>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</si>
  <si>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</si>
  <si>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</si>
  <si>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</si>
  <si>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</si>
  <si>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</si>
  <si>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</si>
  <si>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</si>
  <si>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</si>
  <si>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</si>
  <si>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</si>
  <si>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</si>
  <si>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</si>
  <si>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</si>
  <si>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</si>
  <si>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</si>
  <si>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</si>
  <si>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</si>
  <si>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</si>
  <si>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</si>
  <si>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</si>
  <si>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</si>
  <si>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</si>
  <si>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</si>
  <si>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</si>
  <si>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</si>
  <si>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</si>
  <si>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</si>
  <si>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</si>
  <si>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</si>
  <si>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</si>
  <si>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</si>
  <si>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</si>
  <si>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</si>
  <si>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</si>
  <si>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</si>
  <si>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</si>
  <si>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</si>
  <si>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</si>
  <si>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</si>
  <si>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</si>
  <si>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</si>
  <si>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</si>
  <si>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</si>
  <si>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</si>
  <si>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</si>
  <si>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</si>
  <si>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</si>
  <si>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</si>
  <si>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</si>
  <si>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</si>
  <si>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</si>
  <si>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</si>
  <si>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</si>
  <si>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</si>
  <si>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</si>
  <si>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</si>
  <si>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</si>
  <si>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</si>
  <si>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</si>
  <si>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</si>
  <si>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</si>
  <si>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</si>
  <si>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</si>
  <si>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</si>
  <si>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</si>
  <si>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</si>
  <si>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</si>
  <si>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</si>
  <si>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</si>
  <si>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</si>
  <si>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</si>
  <si>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</si>
  <si>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</si>
  <si>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</si>
  <si>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</si>
  <si>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</si>
  <si>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</si>
  <si>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</si>
  <si>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</si>
  <si>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</si>
  <si>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</si>
  <si>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</si>
  <si>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</si>
  <si>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</si>
  <si>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</si>
  <si>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</si>
  <si>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</si>
  <si>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</si>
  <si>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</si>
  <si>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</si>
  <si>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</si>
  <si>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</si>
  <si>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</si>
  <si>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</si>
  <si>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</si>
  <si>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</si>
  <si>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</si>
  <si>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</si>
  <si>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</si>
  <si>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</si>
  <si>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</si>
  <si>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</si>
  <si>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</si>
  <si>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</si>
  <si>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</si>
  <si>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</si>
  <si>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</si>
  <si>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</si>
  <si>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</si>
  <si>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</si>
  <si>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</si>
  <si>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</si>
  <si>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</si>
  <si>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</si>
  <si>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</si>
  <si>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</si>
  <si>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</si>
  <si>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</si>
  <si>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</si>
  <si>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</si>
  <si>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</si>
  <si>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</si>
  <si>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</si>
  <si>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</si>
  <si>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</si>
  <si>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</si>
  <si>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</si>
  <si>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</si>
  <si>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</si>
  <si>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</si>
  <si>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</si>
  <si>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</si>
  <si>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</si>
  <si>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</si>
  <si>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</si>
  <si>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</si>
  <si>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</si>
  <si>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</si>
  <si>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</si>
  <si>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</si>
  <si>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</si>
  <si>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</si>
  <si>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</si>
  <si>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</si>
  <si>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</si>
  <si>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</si>
  <si>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</si>
  <si>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</si>
  <si>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</si>
  <si>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</si>
  <si>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</si>
  <si>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</si>
  <si>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</si>
  <si>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</si>
  <si>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</si>
  <si>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</si>
  <si>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</si>
  <si>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</si>
  <si>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</si>
  <si>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</si>
  <si>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</si>
  <si>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</si>
  <si>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</si>
  <si>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</si>
  <si>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</si>
  <si>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</si>
  <si>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</si>
  <si>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</si>
  <si>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</si>
  <si>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</si>
  <si>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</si>
  <si>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</si>
  <si>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</si>
  <si>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</si>
  <si>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</si>
  <si>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</si>
  <si>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</si>
  <si>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</si>
  <si>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</si>
  <si>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</si>
  <si>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</si>
  <si>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</si>
  <si>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</si>
  <si>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</si>
  <si>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</si>
  <si>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</si>
  <si>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</si>
  <si>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</si>
  <si>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</si>
  <si>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</si>
  <si>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</si>
  <si>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</si>
  <si>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</si>
  <si>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</si>
  <si>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</si>
  <si>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</si>
  <si>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</si>
  <si>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</si>
  <si>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</si>
  <si>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</si>
  <si>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</si>
  <si>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</si>
  <si>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</si>
  <si>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</si>
  <si>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</si>
  <si>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</si>
  <si>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</si>
  <si>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</si>
  <si>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</si>
  <si>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</si>
  <si>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</si>
  <si>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</si>
  <si>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</si>
  <si>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</si>
  <si>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</si>
  <si>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</si>
  <si>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</si>
  <si>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</si>
  <si>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</si>
  <si>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</si>
  <si>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</si>
  <si>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</si>
  <si>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</si>
  <si>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</si>
  <si>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</si>
  <si>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</si>
  <si>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</si>
  <si>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</si>
  <si>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</si>
  <si>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</si>
  <si>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</si>
  <si>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</si>
  <si>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</si>
  <si>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</si>
  <si>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</si>
  <si>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</si>
  <si>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</si>
  <si>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</si>
  <si>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</si>
  <si>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</si>
  <si>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</si>
  <si>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</si>
  <si>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</si>
  <si>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</si>
  <si>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</si>
  <si>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</si>
  <si>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</si>
  <si>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</si>
  <si>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</si>
  <si>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</si>
  <si>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</si>
  <si>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</si>
  <si>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</si>
  <si>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</si>
  <si>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</si>
  <si>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</si>
  <si>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</si>
  <si>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</si>
  <si>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</si>
  <si>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</si>
  <si>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</si>
  <si>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</si>
  <si>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</si>
  <si>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</si>
  <si>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</si>
  <si>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</si>
  <si>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</si>
  <si>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</si>
  <si>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</si>
  <si>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</si>
  <si>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</si>
  <si>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</si>
  <si>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</si>
  <si>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</si>
  <si>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</si>
  <si>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</si>
  <si>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</si>
  <si>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</si>
  <si>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</si>
  <si>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</si>
  <si>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</si>
  <si>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</si>
  <si>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</si>
  <si>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</si>
  <si>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</si>
  <si>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</si>
  <si>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</si>
  <si>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</si>
  <si>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</si>
  <si>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</si>
  <si>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</si>
  <si>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</si>
  <si>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</si>
  <si>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</si>
  <si>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</si>
  <si>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</si>
  <si>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</si>
  <si>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</si>
  <si>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</si>
  <si>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</si>
  <si>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</si>
  <si>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</si>
  <si>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</si>
  <si>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</si>
  <si>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</si>
  <si>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</si>
  <si>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</si>
  <si>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</si>
  <si>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</si>
  <si>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</si>
  <si>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</si>
  <si>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</si>
  <si>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</si>
  <si>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</si>
  <si>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</si>
  <si>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</si>
  <si>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</si>
  <si>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</si>
  <si>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</si>
  <si>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</si>
  <si>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</si>
  <si>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</si>
  <si>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</si>
  <si>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</si>
  <si>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</si>
  <si>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</si>
  <si>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</si>
  <si>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</si>
  <si>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</si>
  <si>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</si>
  <si>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</si>
  <si>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</si>
  <si>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</si>
  <si>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</si>
  <si>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</si>
  <si>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</si>
  <si>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</si>
  <si>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</si>
  <si>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</si>
  <si>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</si>
  <si>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</si>
  <si>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</si>
  <si>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</si>
  <si>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</si>
  <si>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</si>
  <si>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</si>
  <si>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</si>
  <si>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</si>
  <si>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</si>
  <si>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</si>
  <si>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</si>
  <si>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</si>
  <si>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</si>
  <si>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</si>
  <si>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</si>
  <si>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</si>
  <si>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</si>
  <si>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</si>
  <si>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</si>
  <si>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</si>
  <si>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</si>
  <si>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</si>
  <si>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</si>
  <si>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</si>
  <si>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</si>
  <si>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</si>
  <si>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</si>
  <si>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</si>
  <si>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</si>
  <si>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</si>
  <si>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</si>
  <si>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</si>
  <si>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</si>
  <si>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</si>
  <si>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</si>
  <si>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</si>
  <si>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</si>
  <si>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</si>
  <si>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</si>
  <si>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</si>
  <si>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</si>
  <si>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</si>
  <si>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</si>
  <si>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</si>
  <si>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</si>
  <si>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</si>
  <si>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</si>
  <si>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</si>
  <si>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</si>
  <si>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</si>
  <si>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</si>
  <si>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</si>
  <si>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</si>
  <si>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</si>
  <si>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</si>
  <si>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</si>
  <si>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</si>
  <si>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</si>
  <si>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</si>
  <si>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</si>
  <si>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</si>
  <si>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</si>
  <si>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</si>
  <si>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</si>
  <si>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</si>
  <si>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</si>
  <si>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</si>
  <si>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</si>
  <si>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</si>
  <si>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</si>
  <si>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</si>
  <si>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</si>
  <si>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</si>
  <si>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</si>
  <si>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</si>
  <si>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</si>
  <si>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</si>
  <si>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</si>
  <si>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</si>
  <si>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</si>
  <si>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</si>
  <si>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</si>
  <si>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</si>
  <si>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</si>
  <si>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</si>
  <si>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</si>
  <si>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</si>
  <si>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</si>
  <si>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</si>
  <si>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</si>
  <si>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</si>
  <si>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</si>
  <si>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</si>
  <si>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</si>
  <si>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</si>
  <si>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</si>
  <si>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</si>
  <si>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</si>
  <si>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</si>
  <si>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</si>
  <si>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</si>
  <si>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</si>
  <si>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</si>
  <si>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</si>
  <si>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</si>
  <si>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</si>
  <si>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</si>
  <si>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</si>
  <si>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</si>
  <si>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</si>
  <si>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</si>
  <si>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</si>
  <si>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</si>
  <si>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</si>
  <si>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</si>
  <si>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</si>
  <si>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</si>
  <si>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</si>
  <si>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</si>
  <si>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</si>
  <si>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</si>
  <si>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</si>
  <si>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</si>
  <si>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</si>
  <si>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</si>
  <si>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</si>
  <si>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</si>
  <si>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</si>
  <si>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</si>
  <si>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</si>
  <si>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</si>
  <si>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</si>
  <si>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</si>
  <si>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</si>
  <si>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</si>
  <si>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</si>
  <si>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</si>
  <si>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</si>
  <si>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</si>
  <si>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</si>
  <si>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</si>
  <si>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</si>
  <si>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</si>
  <si>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</si>
  <si>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</si>
  <si>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</si>
  <si>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</si>
  <si>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</si>
  <si>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</si>
  <si>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</si>
  <si>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</si>
  <si>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</si>
  <si>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</si>
  <si>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</si>
  <si>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</si>
  <si>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</si>
  <si>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</si>
  <si>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</si>
  <si>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</si>
  <si>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</si>
  <si>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</si>
  <si>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</si>
  <si>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</si>
  <si>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</si>
  <si>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</si>
  <si>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</si>
  <si>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</si>
  <si>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</si>
  <si>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</si>
  <si>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</si>
  <si>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</si>
  <si>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</si>
  <si>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</si>
  <si>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</si>
  <si>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</si>
  <si>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</si>
  <si>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</si>
  <si>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</si>
  <si>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</si>
  <si>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</si>
  <si>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</si>
  <si>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</si>
  <si>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</si>
  <si>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</si>
  <si>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</si>
  <si>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</si>
  <si>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</si>
  <si>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</si>
  <si>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</si>
  <si>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</si>
  <si>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</si>
  <si>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</si>
  <si>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</si>
  <si>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</si>
  <si>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</si>
  <si>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</si>
  <si>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</si>
  <si>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</si>
  <si>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</si>
  <si>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</si>
  <si>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</si>
  <si>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</si>
  <si>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</si>
  <si>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</si>
  <si>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</si>
  <si>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</si>
  <si>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</si>
  <si>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</si>
  <si>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</si>
  <si>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</si>
  <si>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</si>
  <si>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</si>
  <si>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</si>
  <si>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</si>
  <si>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</si>
  <si>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</si>
  <si>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</si>
  <si>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</si>
  <si>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</si>
  <si>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</si>
  <si>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</si>
  <si>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</si>
  <si>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</si>
  <si>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</si>
  <si>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</si>
  <si>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</si>
  <si>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</si>
  <si>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</si>
  <si>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</si>
  <si>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</si>
  <si>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</si>
  <si>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</si>
  <si>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</si>
  <si>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</si>
  <si>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</si>
  <si>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</si>
  <si>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</si>
  <si>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</si>
  <si>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</si>
  <si>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</si>
  <si>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</si>
  <si>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</si>
  <si>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</si>
  <si>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</si>
  <si>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</si>
  <si>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</si>
  <si>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</si>
  <si>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</si>
  <si>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</si>
  <si>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</si>
  <si>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</si>
  <si>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</si>
  <si>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</si>
  <si>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</si>
  <si>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</si>
  <si>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</si>
  <si>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</si>
  <si>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</si>
  <si>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</si>
  <si>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</si>
  <si>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</si>
  <si>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</si>
  <si>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</si>
  <si>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</si>
  <si>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</si>
  <si>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</si>
  <si>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</si>
  <si>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</si>
  <si>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</si>
  <si>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</si>
  <si>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</si>
  <si>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</si>
  <si>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</si>
  <si>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</si>
  <si>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</si>
  <si>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</si>
  <si>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</si>
  <si>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</si>
  <si>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</si>
  <si>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</si>
  <si>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</si>
  <si>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</si>
  <si>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</si>
  <si>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</si>
  <si>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</si>
  <si>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</si>
  <si>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</si>
  <si>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</si>
  <si>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</si>
  <si>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</si>
  <si>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</si>
  <si>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</si>
  <si>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</si>
  <si>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</si>
  <si>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</si>
  <si>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</si>
  <si>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</si>
  <si>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</si>
  <si>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</si>
  <si>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</si>
  <si>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</si>
  <si>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</si>
  <si>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</si>
  <si>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</si>
  <si>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</si>
  <si>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</si>
  <si>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</si>
  <si>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</si>
  <si>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</si>
  <si>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</si>
  <si>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</si>
  <si>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</si>
  <si>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</si>
  <si>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</si>
  <si>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</si>
  <si>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</si>
  <si>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</si>
  <si>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</si>
  <si>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</si>
  <si>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</si>
  <si>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</si>
  <si>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</si>
  <si>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</si>
  <si>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</si>
  <si>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</si>
  <si>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</si>
  <si>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</si>
  <si>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</si>
  <si>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</si>
  <si>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</si>
  <si>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</si>
  <si>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</si>
  <si>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</si>
  <si>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</si>
  <si>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</si>
  <si>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</si>
  <si>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</si>
  <si>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</si>
  <si>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</si>
  <si>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</si>
  <si>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</si>
  <si>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</si>
  <si>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</si>
  <si>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</si>
  <si>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</si>
  <si>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</si>
  <si>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</si>
  <si>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</si>
  <si>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</si>
  <si>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</si>
  <si>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</si>
  <si>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</si>
  <si>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</si>
  <si>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</si>
  <si>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</si>
  <si>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</si>
  <si>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</si>
  <si>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</si>
  <si>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</si>
  <si>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</si>
  <si>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</si>
  <si>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</si>
  <si>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</si>
  <si>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</si>
  <si>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</si>
  <si>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</si>
  <si>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</si>
  <si>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</si>
  <si>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</si>
  <si>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</si>
  <si>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</si>
  <si>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</si>
  <si>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</si>
  <si>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</si>
  <si>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</si>
  <si>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</si>
  <si>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</si>
  <si>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</si>
  <si>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</si>
  <si>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</si>
  <si>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</si>
  <si>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</si>
  <si>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</si>
  <si>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</si>
  <si>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</si>
  <si>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</si>
  <si>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</si>
  <si>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</si>
  <si>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</si>
  <si>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</si>
  <si>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</si>
  <si>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</si>
  <si>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</si>
  <si>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</si>
  <si>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</si>
  <si>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</si>
  <si>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</si>
  <si>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</si>
  <si>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</si>
  <si>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</si>
  <si>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</si>
  <si>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</si>
  <si>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</si>
  <si>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</si>
  <si>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</si>
  <si>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</si>
  <si>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</si>
  <si>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</si>
  <si>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</si>
  <si>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</si>
  <si>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</si>
  <si>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</si>
  <si>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</si>
  <si>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</si>
  <si>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</si>
  <si>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</si>
  <si>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</si>
  <si>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</si>
  <si>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</si>
  <si>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</si>
  <si>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</si>
  <si>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</si>
  <si>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</si>
  <si>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</si>
  <si>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</si>
  <si>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</si>
  <si>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</si>
  <si>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</si>
  <si>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</si>
  <si>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</si>
  <si>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</si>
  <si>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</si>
  <si>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</si>
  <si>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</si>
  <si>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</si>
  <si>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</si>
  <si>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</si>
  <si>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</si>
  <si>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</si>
  <si>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</si>
  <si>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</si>
  <si>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</si>
  <si>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</si>
  <si>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</si>
  <si>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</si>
  <si>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</si>
  <si>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</si>
  <si>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</si>
  <si>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</si>
  <si>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</si>
  <si>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</si>
  <si>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</si>
  <si>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</si>
  <si>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</si>
  <si>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</si>
  <si>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</si>
  <si>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</si>
  <si>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</si>
  <si>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</si>
  <si>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</si>
  <si>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</si>
  <si>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</si>
  <si>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</si>
  <si>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</si>
  <si>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</si>
  <si>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</si>
  <si>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</si>
  <si>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</si>
  <si>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</si>
  <si>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</si>
  <si>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</si>
  <si>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</si>
  <si>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</si>
  <si>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</si>
  <si>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</si>
  <si>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</si>
  <si>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</si>
  <si>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</si>
  <si>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</si>
  <si>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</si>
  <si>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</si>
  <si>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</si>
  <si>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</si>
  <si>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</si>
  <si>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</si>
  <si>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</si>
  <si>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</si>
  <si>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</si>
  <si>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</si>
  <si>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</si>
  <si>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</si>
  <si>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</si>
  <si>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</si>
  <si>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</si>
  <si>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</si>
  <si>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</si>
  <si>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</si>
  <si>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</si>
  <si>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</si>
  <si>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</si>
  <si>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</si>
  <si>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</si>
  <si>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</si>
  <si>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</si>
  <si>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</si>
  <si>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</si>
  <si>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</si>
  <si>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</si>
  <si>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</si>
  <si>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</si>
  <si>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</si>
  <si>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</si>
  <si>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</si>
  <si>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</si>
  <si>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</si>
  <si>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</si>
  <si>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</si>
  <si>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</si>
  <si>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</si>
  <si>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</si>
  <si>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</si>
  <si>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</si>
  <si>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</si>
  <si>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</si>
  <si>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</si>
  <si>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</si>
  <si>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</si>
  <si>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</si>
  <si>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</si>
  <si>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</si>
  <si>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</si>
  <si>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</si>
  <si>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</si>
  <si>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</si>
  <si>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</si>
  <si>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</si>
  <si>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</si>
  <si>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</si>
  <si>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</si>
  <si>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</si>
  <si>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</si>
  <si>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</si>
  <si>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</si>
  <si>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</si>
  <si>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</si>
  <si>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</si>
  <si>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</si>
  <si>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</si>
  <si>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</si>
  <si>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</si>
  <si>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</si>
  <si>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</si>
  <si>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</si>
  <si>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</si>
  <si>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</si>
  <si>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</si>
  <si>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</si>
  <si>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</si>
  <si>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</si>
  <si>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</si>
  <si>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</si>
  <si>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</si>
  <si>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</si>
  <si>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</si>
  <si>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</si>
  <si>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</si>
  <si>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</si>
  <si>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</si>
  <si>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</si>
  <si>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</si>
  <si>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</si>
  <si>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</si>
  <si>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</si>
  <si>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</si>
  <si>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</si>
  <si>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</si>
  <si>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</si>
  <si>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</si>
  <si>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</si>
  <si>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</si>
  <si>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</si>
  <si>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</si>
  <si>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</si>
  <si>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</si>
  <si>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</si>
  <si>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</si>
  <si>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</si>
  <si>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</si>
  <si>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</si>
  <si>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</si>
  <si>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</si>
  <si>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</si>
  <si>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</si>
  <si>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</si>
  <si>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</si>
  <si>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</si>
  <si>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</si>
  <si>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</si>
  <si>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</si>
  <si>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</si>
  <si>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</si>
  <si>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</si>
  <si>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</si>
  <si>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</si>
  <si>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</si>
  <si>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</si>
  <si>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</si>
  <si>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</si>
  <si>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</si>
  <si>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</si>
  <si>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</si>
  <si>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</si>
  <si>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</si>
  <si>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</si>
  <si>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</si>
  <si>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</si>
  <si>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</si>
  <si>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</si>
  <si>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</si>
  <si>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</si>
  <si>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</si>
  <si>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</si>
  <si>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</si>
  <si>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</si>
  <si>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</si>
  <si>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</si>
  <si>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</si>
  <si>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</si>
  <si>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</si>
  <si>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</si>
  <si>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</si>
  <si>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</si>
  <si>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</si>
  <si>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</si>
  <si>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</si>
  <si>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</si>
  <si>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</si>
  <si>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</si>
  <si>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</si>
  <si>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</si>
  <si>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</si>
  <si>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</si>
  <si>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</si>
  <si>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</si>
  <si>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</si>
  <si>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</si>
  <si>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</si>
  <si>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</si>
  <si>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</si>
  <si>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</si>
  <si>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</si>
  <si>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</si>
  <si>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</si>
  <si>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</si>
  <si>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</si>
  <si>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</si>
  <si>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</si>
  <si>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</si>
  <si>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</si>
  <si>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</si>
  <si>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</si>
  <si>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</si>
  <si>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</si>
  <si>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</si>
  <si>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</si>
  <si>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</si>
  <si>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</si>
  <si>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</si>
  <si>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</si>
  <si>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</si>
  <si>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</si>
  <si>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</si>
  <si>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</si>
  <si>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</si>
  <si>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</si>
  <si>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</si>
  <si>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</si>
  <si>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</si>
  <si>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</si>
  <si>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</si>
  <si>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</si>
  <si>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</si>
  <si>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</si>
  <si>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</si>
  <si>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</si>
  <si>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</si>
  <si>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</si>
  <si>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</si>
  <si>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</si>
  <si>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</si>
  <si>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</si>
  <si>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</si>
  <si>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</si>
  <si>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</si>
  <si>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</si>
  <si>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</si>
  <si>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</si>
  <si>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</si>
  <si>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</si>
  <si>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</si>
  <si>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</si>
  <si>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</si>
  <si>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</si>
  <si>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</si>
  <si>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</si>
  <si>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</si>
  <si>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</si>
  <si>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</si>
  <si>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</si>
  <si>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</si>
  <si>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</si>
  <si>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</si>
  <si>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</si>
  <si>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</si>
  <si>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</si>
  <si>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</si>
  <si>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</si>
  <si>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</si>
  <si>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</si>
  <si>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</si>
  <si>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</si>
  <si>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</si>
  <si>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</si>
  <si>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</si>
  <si>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</si>
  <si>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</si>
  <si>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</si>
  <si>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</si>
  <si>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</si>
  <si>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</si>
  <si>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</si>
  <si>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</si>
  <si>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</si>
  <si>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</si>
  <si>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</si>
  <si>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</si>
  <si>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</si>
  <si>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</si>
  <si>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</si>
  <si>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</si>
  <si>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</si>
  <si>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</si>
  <si>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</si>
  <si>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</si>
  <si>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</si>
  <si>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</si>
  <si>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</si>
  <si>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</si>
  <si>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</si>
  <si>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</si>
  <si>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</si>
  <si>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</si>
  <si>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</si>
  <si>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</si>
  <si>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</si>
  <si>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</si>
  <si>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</si>
  <si>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</si>
  <si>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</si>
  <si>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</si>
  <si>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</si>
  <si>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</si>
  <si>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</si>
  <si>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</si>
  <si>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</si>
  <si>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</si>
  <si>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</si>
  <si>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</si>
  <si>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</si>
  <si>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</si>
  <si>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</si>
  <si>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</si>
  <si>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</si>
  <si>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</si>
  <si>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</si>
  <si>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</si>
  <si>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</si>
  <si>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</si>
  <si>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</si>
  <si>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</si>
  <si>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</si>
  <si>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</si>
  <si>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</si>
  <si>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</si>
  <si>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</si>
  <si>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</si>
  <si>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</si>
  <si>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</si>
  <si>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</si>
  <si>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</si>
  <si>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</si>
  <si>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</si>
  <si>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</si>
  <si>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</si>
  <si>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</si>
  <si>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</si>
  <si>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</si>
  <si>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</si>
  <si>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</si>
  <si>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</si>
  <si>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</si>
  <si>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</si>
  <si>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</si>
  <si>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</si>
  <si>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</si>
  <si>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</si>
  <si>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</si>
  <si>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</si>
  <si>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</si>
  <si>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</si>
  <si>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</si>
  <si>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</si>
  <si>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</si>
  <si>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</si>
  <si>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</si>
  <si>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</si>
  <si>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</si>
  <si>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</si>
  <si>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</si>
  <si>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</si>
  <si>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</si>
  <si>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</si>
  <si>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</si>
  <si>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</si>
  <si>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</si>
  <si>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</si>
  <si>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</si>
  <si>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</si>
  <si>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</si>
  <si>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</si>
  <si>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</si>
  <si>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</si>
  <si>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</si>
  <si>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</si>
  <si>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</si>
  <si>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</si>
  <si>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</si>
  <si>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</si>
  <si>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</si>
  <si>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</si>
  <si>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</si>
  <si>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</si>
  <si>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</si>
  <si>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</si>
  <si>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</si>
  <si>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</si>
  <si>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</si>
  <si>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</si>
  <si>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</si>
  <si>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</si>
  <si>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</si>
  <si>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</si>
  <si>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</si>
  <si>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</si>
  <si>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</si>
  <si>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</si>
  <si>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</si>
  <si>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</si>
  <si>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</si>
  <si>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</si>
  <si>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</si>
  <si>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</si>
  <si>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</si>
  <si>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</si>
  <si>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</si>
  <si>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</si>
  <si>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</si>
  <si>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</si>
  <si>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</si>
  <si>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</si>
  <si>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</si>
  <si>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</si>
  <si>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</si>
  <si>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</si>
  <si>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</si>
  <si>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</si>
  <si>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</si>
  <si>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</si>
  <si>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</si>
  <si>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</si>
  <si>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</si>
  <si>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</si>
  <si>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</si>
  <si>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</si>
  <si>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</si>
  <si>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</si>
  <si>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</si>
  <si>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</si>
  <si>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</si>
  <si>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</si>
  <si>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</si>
  <si>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</si>
  <si>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</si>
  <si>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</si>
  <si>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</si>
  <si>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</si>
  <si>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</si>
  <si>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</si>
  <si>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</si>
  <si>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</si>
  <si>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</si>
  <si>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</si>
  <si>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</si>
  <si>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</si>
  <si>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</si>
  <si>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</si>
  <si>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</si>
  <si>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</si>
  <si>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</si>
  <si>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</si>
  <si>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</si>
  <si>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</si>
  <si>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</si>
  <si>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</si>
  <si>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</si>
  <si>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</si>
  <si>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</si>
  <si>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</si>
  <si>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</si>
  <si>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</si>
  <si>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</si>
  <si>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</si>
  <si>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</si>
  <si>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</si>
  <si>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</si>
  <si>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</si>
  <si>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</si>
  <si>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</si>
  <si>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</si>
  <si>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</si>
  <si>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</si>
  <si>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</si>
  <si>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</si>
  <si>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</si>
  <si>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</si>
  <si>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</si>
  <si>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</si>
  <si>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</si>
  <si>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</si>
  <si>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</si>
  <si>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</si>
  <si>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</si>
  <si>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</si>
  <si>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</si>
  <si>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</si>
  <si>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</si>
  <si>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</si>
  <si>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</si>
  <si>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</si>
  <si>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</si>
  <si>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</si>
  <si>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</si>
  <si>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</si>
  <si>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</si>
  <si>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</si>
  <si>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</si>
  <si>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</si>
  <si>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</si>
  <si>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</si>
  <si>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</si>
  <si>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</si>
  <si>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</si>
  <si>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</si>
  <si>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</si>
  <si>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</si>
  <si>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</si>
  <si>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</si>
  <si>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</si>
  <si>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</si>
  <si>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</si>
  <si>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</si>
  <si>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</si>
  <si>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</si>
  <si>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</si>
  <si>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</si>
  <si>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</si>
  <si>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</si>
  <si>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</si>
  <si>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</si>
  <si>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</si>
  <si>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</si>
  <si>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</si>
  <si>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</si>
  <si>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</si>
  <si>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</si>
  <si>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</si>
  <si>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</si>
  <si>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</si>
  <si>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</si>
  <si>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</si>
  <si>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</si>
  <si>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</si>
  <si>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</si>
  <si>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</si>
  <si>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</si>
  <si>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</si>
  <si>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</si>
  <si>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</si>
  <si>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</si>
  <si>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</si>
  <si>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</si>
  <si>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</si>
  <si>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</si>
  <si>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</si>
  <si>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</si>
  <si>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</si>
  <si>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</si>
  <si>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</si>
  <si>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</si>
  <si>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</si>
  <si>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</si>
  <si>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</si>
  <si>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</si>
  <si>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</si>
  <si>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</si>
  <si>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</si>
  <si>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</si>
  <si>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</si>
  <si>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</si>
  <si>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</si>
  <si>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</si>
  <si>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</si>
  <si>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</si>
  <si>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</si>
  <si>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</si>
  <si>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</si>
  <si>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</si>
  <si>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</si>
  <si>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</si>
  <si>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</si>
  <si>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</si>
  <si>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</si>
  <si>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</si>
  <si>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</si>
  <si>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</si>
  <si>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</si>
  <si>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</si>
  <si>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</si>
  <si>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</si>
  <si>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</si>
  <si>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</si>
  <si>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</si>
  <si>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</si>
  <si>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</si>
  <si>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</si>
  <si>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</si>
  <si>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</si>
  <si>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</si>
  <si>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</si>
  <si>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</si>
  <si>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</si>
  <si>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</si>
  <si>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</si>
  <si>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</si>
  <si>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</si>
  <si>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</si>
  <si>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</si>
  <si>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</si>
  <si>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</si>
  <si>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</si>
  <si>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</si>
  <si>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</si>
  <si>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</si>
  <si>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</si>
  <si>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</si>
  <si>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</si>
  <si>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</si>
  <si>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</si>
  <si>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</si>
  <si>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</si>
  <si>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</si>
  <si>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</si>
  <si>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</si>
  <si>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</si>
  <si>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</si>
  <si>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</si>
  <si>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</si>
  <si>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</si>
  <si>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</si>
  <si>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</si>
  <si>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</si>
  <si>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</si>
  <si>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</si>
  <si>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</si>
  <si>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</si>
  <si>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</si>
  <si>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</si>
  <si>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</si>
  <si>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</si>
  <si>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</si>
  <si>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</si>
  <si>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</si>
  <si>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</si>
  <si>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</si>
  <si>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</si>
  <si>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</si>
  <si>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</si>
  <si>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</si>
  <si>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</si>
  <si>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</si>
  <si>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</si>
  <si>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</si>
  <si>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</si>
  <si>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</si>
  <si>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</si>
  <si>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</si>
  <si>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</si>
  <si>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</si>
  <si>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</si>
  <si>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</si>
  <si>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</si>
  <si>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</si>
  <si>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</si>
  <si>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</si>
  <si>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</si>
  <si>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</si>
  <si>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</si>
  <si>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</si>
  <si>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</si>
  <si>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</si>
  <si>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</si>
  <si>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</si>
  <si>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</si>
  <si>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</si>
  <si>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</si>
  <si>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</si>
  <si>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</si>
  <si>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</si>
  <si>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</si>
  <si>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</si>
  <si>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</si>
  <si>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</si>
  <si>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</si>
  <si>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</si>
  <si>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</si>
  <si>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</si>
  <si>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</si>
  <si>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</si>
  <si>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</si>
  <si>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</si>
  <si>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</si>
  <si>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</si>
  <si>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</si>
  <si>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</si>
  <si>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</si>
  <si>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</si>
  <si>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</si>
  <si>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</si>
  <si>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</si>
  <si>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</si>
  <si>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</si>
  <si>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</si>
  <si>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</si>
  <si>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</si>
  <si>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</si>
  <si>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</si>
  <si>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</si>
  <si>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</si>
  <si>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</si>
  <si>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</si>
  <si>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</si>
  <si>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</si>
  <si>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</si>
  <si>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</si>
  <si>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</si>
  <si>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</si>
  <si>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</si>
  <si>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</si>
  <si>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</si>
  <si>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</si>
  <si>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</si>
  <si>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</si>
  <si>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</si>
  <si>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</si>
  <si>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</si>
  <si>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</si>
  <si>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</si>
  <si>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</si>
  <si>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</si>
  <si>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</si>
  <si>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</si>
  <si>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</si>
  <si>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</si>
  <si>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</si>
  <si>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</si>
  <si>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</si>
  <si>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</si>
  <si>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</si>
  <si>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</si>
  <si>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</si>
  <si>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</si>
  <si>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</si>
  <si>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</si>
  <si>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</si>
  <si>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</si>
  <si>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</si>
  <si>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</si>
  <si>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</si>
  <si>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</si>
  <si>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</si>
  <si>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</si>
  <si>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</si>
  <si>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</si>
  <si>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</si>
  <si>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</si>
  <si>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</si>
  <si>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</si>
  <si>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</si>
  <si>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</si>
  <si>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</si>
  <si>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</si>
  <si>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</si>
  <si>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</si>
  <si>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</si>
  <si>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</si>
  <si>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</si>
  <si>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</si>
  <si>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</si>
  <si>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</si>
  <si>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</si>
  <si>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</si>
  <si>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</si>
  <si>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</si>
  <si>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</si>
  <si>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</si>
  <si>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</si>
  <si>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</si>
  <si>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</si>
  <si>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</si>
  <si>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</si>
  <si>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</si>
  <si>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</si>
  <si>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</si>
  <si>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</si>
  <si>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</si>
  <si>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</si>
  <si>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</si>
  <si>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</si>
  <si>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</si>
  <si>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</si>
  <si>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</si>
  <si>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</si>
  <si>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</si>
  <si>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</si>
  <si>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</si>
  <si>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</si>
  <si>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</si>
  <si>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</si>
  <si>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</si>
  <si>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</si>
  <si>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</si>
  <si>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</si>
  <si>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</si>
  <si>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</si>
  <si>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</si>
  <si>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</si>
  <si>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</si>
  <si>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</si>
  <si>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</si>
  <si>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</si>
  <si>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</si>
  <si>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</si>
  <si>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</si>
  <si>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</si>
  <si>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</si>
  <si>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</si>
  <si>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</si>
  <si>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</si>
  <si>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</si>
  <si>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</si>
  <si>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</si>
  <si>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</si>
  <si>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</si>
  <si>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</si>
  <si>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</si>
  <si>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</si>
  <si>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</si>
  <si>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</si>
  <si>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</si>
  <si>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</si>
  <si>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</si>
  <si>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</si>
  <si>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</si>
  <si>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</si>
  <si>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</si>
  <si>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</si>
  <si>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</si>
  <si>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</si>
  <si>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</si>
  <si>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</si>
  <si>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</si>
  <si>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</si>
  <si>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</si>
  <si>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</si>
  <si>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</si>
  <si>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</si>
  <si>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</si>
  <si>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</si>
  <si>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</si>
  <si>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</si>
  <si>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</si>
  <si>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</si>
  <si>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</si>
  <si>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</si>
  <si>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</si>
  <si>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</si>
  <si>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</si>
  <si>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</si>
  <si>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</si>
  <si>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</si>
  <si>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</si>
  <si>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</si>
  <si>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</si>
  <si>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</si>
  <si>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</si>
  <si>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</si>
  <si>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</si>
  <si>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</si>
  <si>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</si>
  <si>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</si>
  <si>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</si>
  <si>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</si>
  <si>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</si>
  <si>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</si>
  <si>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</si>
  <si>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</si>
  <si>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</si>
  <si>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</si>
  <si>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</si>
  <si>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</si>
  <si>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</si>
  <si>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</si>
  <si>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</si>
  <si>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</si>
  <si>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</si>
  <si>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</si>
  <si>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</si>
  <si>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</si>
  <si>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</si>
  <si>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</si>
  <si>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</si>
  <si>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</si>
  <si>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</si>
  <si>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</si>
  <si>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</si>
  <si>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</si>
  <si>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</si>
  <si>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</si>
  <si>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</si>
  <si>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</si>
  <si>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</si>
  <si>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</si>
  <si>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</si>
  <si>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</si>
  <si>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</si>
  <si>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</si>
  <si>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</si>
  <si>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</si>
  <si>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</si>
  <si>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</si>
  <si>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</si>
  <si>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</si>
  <si>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</si>
  <si>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</si>
  <si>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</si>
  <si>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</si>
  <si>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</si>
  <si>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</si>
  <si>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</si>
  <si>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</si>
  <si>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</si>
  <si>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</si>
  <si>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</si>
  <si>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</si>
  <si>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</si>
  <si>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</si>
  <si>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</si>
  <si>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</si>
  <si>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</si>
  <si>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</si>
  <si>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</si>
  <si>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</si>
  <si>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</si>
  <si>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</si>
  <si>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</si>
  <si>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</si>
  <si>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</si>
  <si>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</si>
  <si>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</si>
  <si>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</si>
  <si>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</si>
  <si>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</si>
  <si>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</si>
  <si>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</si>
  <si>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</si>
  <si>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</si>
  <si>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</si>
  <si>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</si>
  <si>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</si>
  <si>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</si>
  <si>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</si>
  <si>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</si>
  <si>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</si>
  <si>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</si>
  <si>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</si>
  <si>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</si>
  <si>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</si>
  <si>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</si>
  <si>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</si>
  <si>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</si>
  <si>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</si>
  <si>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</si>
  <si>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</si>
  <si>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</si>
  <si>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</si>
  <si>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</si>
  <si>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</si>
  <si>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</si>
  <si>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</si>
  <si>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</si>
  <si>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</si>
  <si>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</si>
  <si>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</si>
  <si>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</si>
  <si>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</si>
  <si>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</si>
  <si>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</si>
  <si>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</si>
  <si>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</si>
  <si>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</si>
  <si>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</si>
  <si>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</si>
  <si>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</si>
  <si>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</si>
  <si>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</si>
  <si>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</si>
  <si>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</si>
  <si>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</si>
  <si>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</si>
  <si>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</si>
  <si>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</si>
  <si>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</si>
  <si>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</si>
  <si>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</si>
  <si>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</si>
  <si>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</si>
  <si>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</si>
  <si>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</si>
  <si>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</si>
  <si>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</si>
  <si>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</si>
  <si>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</si>
  <si>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</si>
  <si>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</si>
  <si>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</si>
  <si>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</si>
  <si>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</si>
  <si>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</si>
  <si>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</si>
  <si>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</si>
  <si>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</si>
  <si>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</si>
  <si>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</si>
  <si>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</si>
  <si>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</si>
  <si>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</si>
  <si>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</si>
  <si>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</si>
  <si>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</si>
  <si>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</si>
  <si>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</si>
  <si>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</si>
  <si>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</si>
  <si>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</si>
  <si>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</si>
  <si>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</si>
  <si>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</si>
  <si>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</si>
  <si>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</si>
  <si>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</si>
  <si>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</si>
  <si>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</si>
  <si>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</si>
  <si>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</si>
  <si>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</si>
  <si>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</si>
  <si>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</si>
  <si>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</si>
  <si>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</si>
  <si>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</si>
  <si>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</si>
  <si>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</si>
  <si>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</si>
  <si>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</si>
  <si>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</si>
  <si>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</si>
  <si>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</si>
  <si>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</si>
  <si>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</si>
  <si>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</si>
  <si>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</si>
  <si>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</si>
  <si>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</si>
  <si>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</si>
  <si>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</si>
  <si>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</si>
  <si>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</si>
  <si>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</si>
  <si>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</si>
  <si>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</si>
  <si>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</si>
  <si>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</si>
  <si>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</si>
  <si>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</si>
  <si>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</si>
  <si>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</si>
  <si>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</si>
  <si>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</si>
  <si>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</si>
  <si>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</si>
  <si>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</si>
  <si>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</si>
  <si>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</si>
  <si>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</si>
  <si>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</si>
  <si>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</si>
  <si>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</si>
  <si>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</si>
  <si>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</si>
  <si>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</si>
  <si>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</si>
  <si>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</si>
  <si>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</si>
  <si>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</si>
  <si>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</si>
  <si>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</si>
  <si>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</si>
  <si>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</si>
  <si>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</si>
  <si>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</si>
  <si>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</si>
  <si>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</si>
  <si>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</si>
  <si>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</si>
  <si>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</si>
  <si>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</si>
  <si>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</si>
  <si>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</si>
  <si>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</si>
  <si>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</si>
  <si>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</si>
  <si>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</si>
  <si>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</si>
  <si>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</si>
  <si>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</si>
  <si>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</si>
  <si>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</si>
  <si>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</si>
  <si>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</si>
  <si>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</si>
  <si>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</si>
  <si>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</si>
  <si>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</si>
  <si>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</si>
  <si>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</si>
  <si>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</si>
  <si>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</si>
  <si>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</si>
  <si>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</si>
  <si>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</si>
  <si>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</si>
  <si>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</si>
  <si>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</si>
  <si>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</si>
  <si>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</si>
  <si>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</si>
  <si>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</si>
  <si>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</si>
  <si>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</si>
  <si>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</si>
  <si>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</si>
  <si>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</si>
  <si>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</si>
  <si>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</si>
  <si>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</si>
  <si>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</si>
  <si>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</si>
  <si>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</si>
  <si>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</si>
  <si>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</si>
  <si>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</si>
  <si>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</si>
  <si>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</si>
  <si>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</si>
  <si>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</si>
  <si>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</si>
  <si>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</si>
  <si>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</si>
  <si>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</si>
  <si>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</si>
  <si>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</si>
  <si>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</si>
  <si>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</si>
  <si>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</si>
  <si>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</si>
  <si>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</si>
  <si>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</si>
  <si>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</si>
  <si>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</si>
  <si>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</si>
  <si>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</si>
  <si>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</si>
  <si>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</si>
  <si>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</si>
  <si>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</si>
  <si>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</si>
  <si>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</si>
  <si>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</si>
  <si>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</si>
  <si>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</si>
  <si>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</si>
  <si>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</si>
  <si>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</si>
  <si>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</si>
  <si>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</si>
  <si>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</si>
  <si>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</si>
  <si>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</si>
  <si>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</si>
  <si>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</si>
  <si>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</si>
  <si>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</si>
  <si>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</si>
  <si>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</si>
  <si>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</si>
  <si>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</si>
  <si>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</si>
  <si>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</si>
  <si>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</si>
  <si>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</si>
  <si>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</si>
  <si>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</si>
  <si>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</si>
  <si>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</si>
  <si>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</si>
  <si>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</si>
  <si>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</si>
  <si>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</si>
  <si>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</si>
  <si>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</si>
  <si>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</si>
  <si>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</si>
  <si>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</si>
  <si>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</si>
  <si>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</si>
  <si>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</si>
  <si>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</si>
  <si>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</si>
  <si>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</si>
  <si>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</si>
  <si>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</si>
  <si>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</si>
  <si>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</si>
  <si>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</si>
  <si>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</si>
  <si>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</si>
  <si>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</si>
  <si>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</si>
  <si>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</si>
  <si>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</si>
  <si>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</si>
  <si>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</si>
  <si>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</si>
  <si>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</si>
  <si>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</si>
  <si>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</si>
  <si>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</si>
  <si>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</si>
  <si>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</si>
  <si>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</si>
  <si>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</si>
  <si>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</si>
  <si>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</si>
  <si>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</si>
  <si>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</si>
  <si>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</si>
  <si>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</si>
  <si>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</si>
  <si>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</si>
  <si>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</si>
  <si>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</si>
  <si>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</si>
  <si>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</si>
  <si>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</si>
  <si>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</si>
  <si>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</si>
  <si>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</si>
  <si>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</si>
  <si>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</si>
  <si>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</si>
  <si>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</si>
  <si>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</si>
  <si>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</si>
  <si>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</si>
  <si>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</si>
  <si>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</si>
  <si>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</si>
  <si>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</si>
  <si>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</si>
  <si>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</si>
  <si>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</si>
  <si>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</si>
  <si>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</si>
  <si>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</si>
  <si>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</si>
  <si>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</si>
  <si>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</si>
  <si>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</si>
  <si>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</si>
  <si>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</si>
  <si>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</si>
  <si>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</si>
  <si>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</si>
  <si>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</si>
  <si>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</si>
  <si>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</si>
  <si>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</si>
  <si>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</si>
  <si>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</si>
  <si>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</si>
  <si>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</si>
  <si>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</si>
  <si>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</si>
  <si>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</si>
  <si>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</si>
  <si>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</si>
  <si>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</si>
  <si>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</si>
  <si>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</si>
  <si>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</si>
  <si>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</si>
  <si>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</si>
  <si>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</si>
  <si>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</si>
  <si>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</si>
  <si>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</si>
  <si>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</si>
  <si>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</si>
  <si>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</si>
  <si>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</si>
  <si>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</si>
  <si>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</si>
  <si>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</si>
  <si>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</si>
  <si>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</si>
  <si>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</si>
  <si>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</si>
  <si>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</si>
  <si>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</si>
  <si>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</si>
  <si>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</si>
  <si>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</si>
  <si>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</si>
  <si>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</si>
  <si>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</si>
  <si>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</si>
  <si>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</si>
  <si>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</si>
  <si>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</si>
  <si>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</si>
  <si>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</si>
  <si>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</si>
  <si>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</si>
  <si>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</si>
  <si>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</si>
  <si>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</si>
  <si>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</si>
  <si>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</si>
  <si>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</si>
  <si>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</si>
  <si>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</si>
  <si>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</si>
  <si>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</si>
  <si>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</si>
  <si>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</si>
  <si>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</si>
  <si>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</si>
  <si>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</si>
  <si>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</si>
  <si>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</si>
  <si>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</si>
  <si>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</si>
  <si>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</si>
  <si>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</si>
  <si>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</si>
  <si>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</si>
  <si>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</si>
  <si>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</si>
  <si>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</si>
  <si>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</si>
  <si>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</si>
  <si>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</si>
  <si>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</si>
  <si>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</si>
  <si>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</si>
  <si>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</si>
  <si>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</si>
  <si>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</si>
  <si>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</si>
  <si>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</si>
  <si>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</si>
  <si>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</si>
  <si>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</si>
  <si>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</si>
  <si>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</si>
  <si>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</si>
  <si>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</si>
  <si>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</si>
  <si>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</si>
  <si>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</si>
  <si>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</si>
  <si>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</si>
  <si>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</si>
  <si>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</si>
  <si>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</si>
  <si>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</si>
  <si>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</si>
  <si>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</si>
  <si>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</si>
  <si>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</si>
  <si>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</si>
  <si>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</si>
  <si>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</si>
  <si>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</si>
  <si>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</si>
  <si>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</si>
  <si>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</si>
  <si>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</si>
  <si>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</si>
  <si>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</si>
  <si>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</si>
  <si>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</si>
  <si>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</si>
  <si>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</si>
  <si>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</si>
  <si>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</si>
  <si>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</si>
  <si>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</si>
  <si>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</si>
  <si>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</si>
  <si>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</si>
  <si>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</si>
  <si>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</si>
  <si>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</si>
  <si>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</si>
  <si>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</si>
  <si>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</si>
  <si>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</si>
  <si>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</si>
  <si>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</si>
  <si>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</si>
  <si>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</si>
  <si>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</si>
  <si>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</si>
  <si>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</si>
  <si>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</si>
  <si>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</si>
  <si>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</si>
  <si>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</si>
  <si>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</si>
  <si>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</si>
  <si>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</si>
  <si>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</si>
  <si>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</si>
  <si>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</si>
  <si>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</si>
  <si>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</si>
  <si>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</si>
  <si>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</si>
  <si>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</si>
  <si>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</si>
  <si>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</si>
  <si>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</si>
  <si>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</si>
  <si>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</si>
  <si>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</si>
  <si>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</si>
  <si>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</si>
  <si>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</si>
  <si>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</si>
  <si>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</si>
  <si>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</si>
  <si>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</si>
  <si>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</si>
  <si>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</si>
  <si>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</si>
  <si>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</si>
  <si>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</si>
  <si>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</si>
  <si>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</si>
  <si>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</si>
  <si>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</si>
  <si>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</si>
  <si>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</si>
  <si>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</si>
  <si>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</si>
  <si>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</si>
  <si>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</si>
  <si>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</si>
  <si>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</si>
  <si>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</si>
  <si>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</si>
  <si>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</si>
  <si>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</si>
  <si>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</si>
  <si>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</si>
  <si>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</si>
  <si>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</si>
  <si>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</si>
  <si>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</si>
  <si>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</si>
  <si>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</si>
  <si>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</si>
  <si>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</si>
  <si>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</si>
  <si>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</si>
  <si>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</si>
  <si>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</si>
  <si>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</si>
  <si>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</si>
  <si>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</si>
  <si>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</si>
  <si>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</si>
  <si>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</si>
  <si>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</si>
  <si>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</si>
  <si>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</si>
  <si>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</si>
  <si>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</si>
  <si>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</si>
  <si>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</si>
  <si>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</si>
  <si>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</si>
  <si>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</si>
  <si>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</si>
  <si>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</si>
  <si>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</si>
  <si>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</si>
  <si>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</si>
  <si>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</si>
  <si>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</si>
  <si>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</si>
  <si>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</si>
  <si>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</si>
  <si>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</si>
  <si>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</si>
  <si>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</si>
  <si>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</si>
  <si>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</si>
  <si>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</si>
  <si>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</si>
  <si>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</si>
  <si>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</si>
  <si>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</si>
  <si>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</si>
  <si>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</si>
  <si>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</si>
  <si>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</si>
  <si>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</si>
  <si>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</si>
  <si>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</si>
  <si>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</si>
  <si>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</si>
  <si>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</si>
  <si>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</si>
  <si>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</si>
  <si>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</si>
  <si>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</si>
  <si>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</si>
  <si>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</si>
  <si>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</si>
  <si>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</si>
  <si>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</si>
  <si>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</si>
  <si>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</si>
  <si>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</si>
  <si>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</si>
  <si>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</si>
  <si>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</si>
  <si>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</si>
  <si>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</si>
  <si>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</si>
  <si>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</si>
  <si>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</si>
  <si>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</si>
  <si>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</si>
  <si>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</si>
  <si>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</si>
  <si>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</si>
  <si>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</si>
  <si>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</si>
  <si>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</si>
  <si>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</si>
  <si>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</si>
  <si>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</si>
  <si>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</si>
  <si>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</si>
  <si>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</si>
  <si>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</si>
  <si>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</si>
  <si>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</si>
  <si>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</si>
  <si>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</si>
  <si>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</si>
  <si>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</si>
  <si>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</si>
  <si>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</si>
  <si>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</si>
  <si>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</si>
  <si>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</si>
  <si>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</si>
  <si>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</si>
  <si>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</si>
  <si>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</si>
  <si>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</si>
  <si>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</si>
  <si>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</si>
  <si>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</si>
  <si>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</si>
  <si>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</si>
  <si>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</si>
  <si>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</si>
  <si>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</si>
  <si>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</si>
  <si>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</si>
  <si>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</si>
  <si>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</si>
  <si>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</si>
  <si>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</si>
  <si>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</si>
  <si>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</si>
  <si>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</si>
  <si>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</si>
  <si>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</si>
  <si>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</si>
  <si>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</si>
  <si>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</si>
  <si>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</si>
  <si>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</si>
  <si>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</si>
  <si>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</si>
  <si>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</si>
  <si>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</si>
  <si>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</si>
  <si>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</si>
  <si>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</si>
  <si>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</si>
  <si>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</si>
  <si>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</si>
  <si>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</si>
  <si>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</si>
  <si>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</si>
  <si>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</si>
  <si>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</si>
  <si>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</si>
  <si>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</si>
  <si>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</si>
  <si>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</si>
  <si>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</si>
  <si>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</si>
  <si>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</si>
  <si>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</si>
  <si>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</si>
  <si>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</si>
  <si>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</si>
  <si>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</si>
  <si>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</si>
  <si>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</si>
  <si>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</si>
  <si>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</si>
  <si>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</si>
  <si>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</si>
  <si>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</si>
  <si>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</si>
  <si>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</si>
  <si>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</si>
  <si>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</si>
  <si>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</si>
  <si>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</si>
  <si>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</si>
  <si>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</si>
  <si>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</si>
  <si>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</si>
  <si>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</si>
  <si>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</si>
  <si>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</si>
  <si>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</si>
  <si>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</si>
  <si>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</si>
  <si>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</si>
  <si>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</si>
  <si>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</si>
  <si>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</si>
  <si>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</si>
  <si>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</si>
  <si>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</si>
  <si>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</si>
  <si>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</si>
  <si>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</si>
  <si>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</si>
  <si>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</si>
  <si>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</si>
  <si>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</si>
  <si>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</si>
  <si>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</si>
  <si>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</si>
  <si>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</si>
  <si>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</si>
  <si>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</si>
  <si>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</si>
  <si>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</si>
  <si>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</si>
  <si>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</si>
  <si>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</si>
  <si>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</si>
  <si>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</si>
  <si>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</si>
  <si>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</si>
  <si>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</si>
  <si>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</si>
  <si>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</si>
  <si>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</si>
  <si>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</si>
  <si>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</si>
  <si>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</si>
  <si>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</si>
  <si>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</si>
  <si>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</si>
  <si>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</si>
  <si>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</si>
  <si>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</si>
  <si>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</si>
  <si>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</si>
  <si>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</si>
  <si>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</si>
  <si>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</si>
  <si>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</si>
  <si>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</si>
  <si>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</si>
  <si>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</si>
  <si>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</si>
  <si>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</si>
  <si>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</si>
  <si>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</si>
  <si>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</si>
  <si>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</si>
  <si>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</si>
  <si>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</si>
  <si>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</si>
  <si>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</si>
  <si>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</si>
  <si>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</si>
  <si>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</si>
  <si>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</si>
  <si>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</si>
  <si>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</si>
  <si>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</si>
  <si>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</si>
  <si>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</si>
  <si>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</si>
  <si>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</si>
  <si>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</si>
  <si>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</si>
  <si>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</si>
  <si>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</si>
  <si>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</si>
  <si>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</si>
  <si>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</si>
  <si>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</si>
  <si>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</si>
  <si>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</si>
  <si>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</si>
  <si>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</si>
  <si>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</si>
  <si>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</si>
  <si>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</si>
  <si>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</si>
  <si>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</si>
  <si>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</si>
  <si>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</si>
  <si>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</si>
  <si>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</si>
  <si>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</si>
  <si>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</si>
  <si>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</si>
  <si>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</si>
  <si>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</si>
  <si>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</si>
  <si>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</si>
  <si>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</si>
  <si>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</si>
  <si>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</si>
  <si>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</si>
  <si>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</si>
  <si>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</si>
  <si>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</si>
  <si>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</si>
  <si>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</si>
  <si>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</si>
  <si>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</si>
  <si>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</si>
  <si>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</si>
  <si>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</si>
  <si>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</si>
  <si>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</si>
  <si>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</si>
  <si>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</si>
  <si>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</si>
  <si>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</si>
  <si>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</si>
  <si>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</si>
  <si>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</si>
  <si>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</si>
  <si>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</si>
  <si>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</si>
  <si>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</si>
  <si>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</si>
  <si>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</si>
  <si>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</si>
  <si>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</si>
  <si>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</si>
  <si>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</si>
  <si>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</si>
  <si>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</si>
  <si>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</si>
  <si>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</si>
  <si>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</si>
  <si>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</si>
  <si>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</si>
  <si>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</si>
  <si>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</si>
  <si>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</si>
  <si>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</si>
  <si>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</si>
  <si>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</si>
  <si>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</si>
  <si>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</si>
  <si>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</si>
  <si>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</si>
  <si>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</si>
  <si>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</si>
  <si>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</si>
  <si>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</si>
  <si>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</si>
  <si>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</si>
  <si>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</si>
  <si>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</si>
  <si>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</si>
  <si>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</si>
  <si>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</si>
  <si>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</si>
  <si>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</si>
  <si>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</si>
  <si>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</si>
  <si>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</si>
  <si>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</si>
  <si>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</si>
  <si>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</si>
  <si>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</si>
  <si>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</si>
  <si>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</si>
  <si>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</si>
  <si>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</si>
  <si>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</si>
  <si>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</si>
  <si>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</si>
  <si>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</si>
  <si>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</si>
  <si>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</si>
  <si>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</si>
  <si>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</si>
  <si>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</si>
  <si>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</si>
  <si>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</si>
  <si>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</si>
  <si>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</si>
  <si>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</si>
  <si>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</si>
  <si>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</si>
  <si>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</si>
  <si>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</si>
  <si>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</si>
  <si>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</si>
  <si>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</si>
  <si>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</si>
  <si>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</si>
  <si>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</si>
  <si>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</si>
  <si>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</si>
  <si>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</si>
  <si>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</si>
  <si>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</si>
  <si>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</si>
  <si>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</si>
  <si>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</si>
  <si>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</si>
  <si>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</si>
  <si>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</si>
  <si>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</si>
  <si>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</si>
  <si>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</si>
  <si>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</si>
  <si>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</si>
  <si>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</si>
  <si>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</si>
  <si>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</si>
  <si>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</si>
  <si>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</si>
  <si>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</si>
  <si>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</si>
  <si>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</si>
  <si>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</si>
  <si>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</si>
  <si>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</si>
  <si>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</si>
  <si>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</si>
  <si>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</si>
  <si>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</si>
  <si>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</si>
  <si>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</si>
  <si>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</si>
  <si>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</si>
  <si>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</si>
  <si>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</si>
  <si>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</si>
  <si>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</si>
  <si>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</si>
  <si>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</si>
  <si>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</si>
  <si>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</si>
  <si>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</si>
  <si>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</si>
  <si>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</si>
  <si>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</si>
  <si>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</si>
  <si>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</si>
  <si>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</si>
  <si>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</si>
  <si>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</si>
  <si>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</si>
  <si>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</si>
  <si>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</si>
  <si>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</si>
  <si>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</si>
  <si>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</si>
  <si>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</si>
  <si>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</si>
  <si>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</si>
  <si>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</si>
  <si>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</si>
  <si>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</si>
  <si>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</si>
  <si>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</si>
  <si>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</si>
  <si>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</si>
  <si>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</si>
  <si>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</si>
  <si>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</si>
  <si>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</si>
  <si>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</si>
  <si>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</si>
  <si>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</si>
  <si>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</si>
  <si>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</si>
  <si>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</si>
  <si>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</si>
  <si>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</si>
  <si>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</si>
  <si>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</si>
  <si>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</si>
  <si>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</si>
  <si>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</si>
  <si>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</si>
  <si>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</si>
  <si>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</si>
  <si>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</si>
  <si>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</si>
  <si>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</si>
  <si>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</si>
  <si>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</si>
  <si>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</si>
  <si>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</si>
  <si>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</si>
  <si>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</si>
  <si>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</si>
  <si>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</si>
  <si>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</si>
  <si>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</si>
  <si>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</si>
  <si>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</si>
  <si>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</si>
  <si>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</si>
  <si>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</si>
  <si>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</si>
  <si>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</si>
  <si>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</si>
  <si>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</si>
  <si>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</si>
  <si>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</si>
  <si>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</si>
  <si>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</si>
  <si>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</si>
  <si>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</si>
  <si>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</si>
  <si>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</si>
  <si>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</si>
  <si>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</si>
  <si>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</si>
  <si>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</si>
  <si>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</si>
  <si>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</si>
  <si>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</si>
  <si>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</si>
  <si>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</si>
  <si>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</si>
  <si>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</si>
  <si>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</si>
  <si>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</si>
  <si>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</si>
  <si>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</si>
  <si>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</si>
  <si>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</si>
  <si>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</si>
  <si>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</si>
  <si>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</si>
  <si>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</si>
  <si>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</si>
  <si>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</si>
  <si>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</si>
  <si>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</si>
  <si>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</si>
  <si>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</si>
  <si>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</si>
  <si>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</si>
  <si>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</si>
  <si>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</si>
  <si>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</si>
  <si>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</si>
  <si>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</si>
  <si>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</si>
  <si>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</si>
  <si>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</si>
  <si>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</si>
  <si>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</si>
  <si>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</si>
  <si>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</si>
  <si>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</si>
  <si>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</si>
  <si>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</si>
  <si>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</si>
  <si>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</si>
  <si>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</si>
  <si>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</si>
  <si>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</si>
  <si>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</si>
  <si>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</si>
  <si>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</si>
  <si>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</si>
  <si>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</si>
  <si>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</si>
  <si>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</si>
  <si>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</si>
  <si>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</si>
  <si>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</si>
  <si>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</si>
  <si>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</si>
  <si>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</si>
  <si>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</si>
  <si>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</si>
  <si>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</si>
  <si>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</si>
  <si>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</si>
  <si>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</si>
  <si>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</si>
  <si>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</si>
  <si>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</si>
  <si>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</si>
  <si>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</si>
  <si>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</si>
  <si>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</si>
  <si>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</si>
  <si>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</si>
  <si>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</si>
  <si>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</si>
  <si>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</si>
  <si>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</si>
  <si>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</si>
  <si>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</si>
  <si>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</si>
  <si>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</si>
  <si>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</si>
  <si>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</si>
  <si>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</si>
  <si>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</si>
  <si>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</si>
  <si>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</si>
  <si>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</si>
  <si>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</si>
  <si>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</si>
  <si>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</si>
  <si>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</si>
  <si>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</si>
  <si>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</si>
  <si>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</si>
  <si>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</si>
  <si>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</si>
  <si>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</si>
  <si>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</si>
  <si>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</si>
  <si>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</si>
  <si>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</si>
  <si>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</si>
  <si>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</si>
  <si>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</si>
  <si>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</si>
  <si>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</si>
  <si>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</si>
  <si>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</si>
  <si>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</si>
  <si>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</si>
  <si>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</si>
  <si>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洋房</t>
    <phoneticPr fontId="21" type="noConversion"/>
  </si>
  <si>
    <t>毛坯</t>
    <phoneticPr fontId="21" type="noConversion"/>
  </si>
  <si>
    <t>七通</t>
    <phoneticPr fontId="21" type="noConversion"/>
  </si>
  <si>
    <t>六通</t>
    <phoneticPr fontId="21" type="noConversion"/>
  </si>
  <si>
    <t>五通</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</si>
  <si>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</si>
  <si>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</si>
  <si>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</si>
  <si>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</si>
  <si>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</si>
  <si>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</si>
  <si>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</si>
  <si>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</si>
  <si>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</si>
  <si>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</si>
  <si>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</si>
  <si>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</si>
  <si>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住宅用地</t>
  </si>
  <si>
    <t>挂牌</t>
  </si>
  <si>
    <t>2018-07-20</t>
  </si>
  <si>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</si>
  <si>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</si>
  <si>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</si>
  <si>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</si>
  <si>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</si>
  <si>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</si>
  <si>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</si>
  <si>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</si>
  <si>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</si>
  <si>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</si>
  <si>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适宜</t>
    <phoneticPr fontId="26" type="noConversion"/>
  </si>
  <si>
    <t>较适宜</t>
    <phoneticPr fontId="26" type="noConversion"/>
  </si>
  <si>
    <t>较不适宜</t>
    <phoneticPr fontId="26" type="noConversion"/>
  </si>
  <si>
    <t>住宅</t>
    <phoneticPr fontId="26"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</si>
  <si>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</si>
  <si>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</si>
  <si>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</si>
  <si>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</si>
  <si>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</si>
  <si>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</si>
  <si>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</si>
  <si>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</si>
  <si>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</si>
  <si>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</si>
  <si>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</si>
  <si>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</si>
  <si>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</si>
  <si>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</si>
  <si>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t xml:space="preserve"> </t>
    <phoneticPr fontId="21" type="noConversion"/>
  </si>
  <si>
    <r>
      <t>1</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</si>
  <si>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</si>
  <si>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</si>
  <si>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</si>
  <si>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居住项目</t>
  </si>
  <si>
    <t>无</t>
  </si>
  <si>
    <t>场地未平整</t>
  </si>
  <si>
    <t>平整</t>
  </si>
  <si>
    <t>宗地内尚有需要移除的树木及部分待拆迁建筑物</t>
    <phoneticPr fontId="6" type="noConversion"/>
  </si>
  <si>
    <t>押一</t>
  </si>
  <si>
    <r>
      <t>10000-30000</t>
    </r>
    <r>
      <rPr>
        <sz val="10"/>
        <color indexed="8"/>
        <rFont val="宋体"/>
        <family val="3"/>
        <charset val="134"/>
      </rPr>
      <t>（含）</t>
    </r>
    <phoneticPr fontId="21" type="noConversion"/>
  </si>
  <si>
    <r>
      <t>100000-200000</t>
    </r>
    <r>
      <rPr>
        <sz val="10"/>
        <color indexed="8"/>
        <rFont val="宋体"/>
        <family val="3"/>
        <charset val="134"/>
      </rPr>
      <t>（含）</t>
    </r>
    <phoneticPr fontId="21" type="noConversion"/>
  </si>
  <si>
    <r>
      <t>200000-300000</t>
    </r>
    <r>
      <rPr>
        <sz val="10"/>
        <color indexed="8"/>
        <rFont val="宋体"/>
        <family val="3"/>
        <charset val="134"/>
      </rPr>
      <t>（含）</t>
    </r>
    <phoneticPr fontId="21" type="noConversion"/>
  </si>
  <si>
    <r>
      <t>30000-60000</t>
    </r>
    <r>
      <rPr>
        <sz val="10"/>
        <color indexed="8"/>
        <rFont val="宋体"/>
        <family val="3"/>
        <charset val="134"/>
      </rPr>
      <t>（含）</t>
    </r>
    <phoneticPr fontId="21" type="noConversion"/>
  </si>
  <si>
    <r>
      <t>60000-100000</t>
    </r>
    <r>
      <rPr>
        <sz val="10"/>
        <color indexed="8"/>
        <rFont val="宋体"/>
        <family val="3"/>
        <charset val="134"/>
      </rPr>
      <t>（含）</t>
    </r>
    <phoneticPr fontId="21" type="noConversion"/>
  </si>
  <si>
    <t>土地剩余年限</t>
    <phoneticPr fontId="3" type="noConversion"/>
  </si>
  <si>
    <t>丹阳住宅</t>
    <phoneticPr fontId="3" type="noConversion"/>
  </si>
  <si>
    <t>六通</t>
  </si>
  <si>
    <t>曲阿路西侧,兰陵路北侧</t>
  </si>
  <si>
    <t>镇江市</t>
  </si>
  <si>
    <t>＞1,≤2</t>
  </si>
  <si>
    <t>丹阳市融锦宏星置业发展有限公司</t>
  </si>
  <si>
    <t>创业路西侧</t>
  </si>
  <si>
    <t>＞1,≤2.2</t>
  </si>
  <si>
    <t>丹阳市天怡房屋建设开发有限责任公司</t>
  </si>
  <si>
    <t>九曲路南侧</t>
  </si>
  <si>
    <t>大亚科技集团有限公司</t>
  </si>
  <si>
    <t>水关路西侧</t>
  </si>
  <si>
    <t>＞1,≤3.5</t>
  </si>
  <si>
    <t>2018-06-28</t>
  </si>
  <si>
    <t>江苏和美置业有限公司</t>
  </si>
  <si>
    <t>丝绸路南侧</t>
  </si>
  <si>
    <t>＞1,≤2.5</t>
  </si>
  <si>
    <t>丹阳市金鼎投资有限公司</t>
  </si>
  <si>
    <t>丹句路北侧</t>
  </si>
  <si>
    <t>丹阳市白鹤高新技术产业发展有限公司</t>
  </si>
  <si>
    <t>银杏路北侧</t>
  </si>
  <si>
    <t>丝绸路北侧、运河西路西侧</t>
  </si>
  <si>
    <t>＞1,≤1.5</t>
  </si>
  <si>
    <t>丹阳市通泰房地产开发有限公司</t>
  </si>
  <si>
    <t>S241西侧,水关西路北侧</t>
  </si>
  <si>
    <t>＞1且≤2.5</t>
  </si>
  <si>
    <t>2017-10-18</t>
  </si>
  <si>
    <t>丹阳市安居工程建设投资有限公司</t>
  </si>
  <si>
    <t>胡高路北侧</t>
  </si>
  <si>
    <t>＞1且≤1.3</t>
  </si>
  <si>
    <t>丹阳金港置业有限公司</t>
  </si>
  <si>
    <t>陵口镇货场路北侧</t>
  </si>
  <si>
    <t>＞1且≤1.8</t>
  </si>
  <si>
    <t>南三环路南侧</t>
  </si>
  <si>
    <t>丹阳高新区投资发展有限公司</t>
  </si>
  <si>
    <t>北二环路北侧</t>
  </si>
  <si>
    <t>＞1且≤3</t>
  </si>
  <si>
    <t>西环路东侧</t>
  </si>
  <si>
    <t>南三环路南侧(丹凤公园西侧)</t>
  </si>
  <si>
    <t>1＜容积率≤2.20</t>
  </si>
  <si>
    <t>2017-07-31</t>
  </si>
  <si>
    <t>金陵西路南侧</t>
  </si>
  <si>
    <t>1.80＜容积率≤3.50</t>
  </si>
  <si>
    <t>丹阳市华昌房屋开发有限公司</t>
  </si>
  <si>
    <t>江苏南碧房地产开发有限公司</t>
  </si>
  <si>
    <t>振兴路南侧</t>
  </si>
  <si>
    <t>1＜容积率≤2.50</t>
  </si>
  <si>
    <t>常州弘阳广场置业有限公司</t>
  </si>
  <si>
    <t>华南路东侧</t>
  </si>
  <si>
    <t>2017-03-14</t>
  </si>
  <si>
    <t>南通中南新世界中心开发有限公司</t>
  </si>
  <si>
    <t>华南路西侧</t>
  </si>
  <si>
    <t>黄金塘路北侧</t>
  </si>
  <si>
    <t>≥1.8且≤3</t>
  </si>
  <si>
    <t>丹阳市曲阿安居工程建设开发有限公司</t>
  </si>
  <si>
    <t>葛丹公路东侧</t>
  </si>
  <si>
    <t>江苏卓越置业有限公司</t>
  </si>
  <si>
    <t>健民路南侧</t>
  </si>
  <si>
    <t>＞1且≤1.6</t>
  </si>
  <si>
    <t>2017-02-21</t>
  </si>
  <si>
    <t>丹阳市高新技术产业发展有限公司</t>
  </si>
  <si>
    <t>开发区九纬路北侧</t>
  </si>
  <si>
    <t>曲阿路东侧</t>
  </si>
  <si>
    <t>北苑路南侧</t>
  </si>
  <si>
    <t>南三环路南侧,丹金路西侧</t>
  </si>
  <si>
    <t>2016-09-20</t>
  </si>
  <si>
    <t>薛甲路南侧</t>
  </si>
  <si>
    <t>≥1.8且≤2.4</t>
  </si>
  <si>
    <t>2016-09-19</t>
  </si>
  <si>
    <t>西环路南侧</t>
  </si>
  <si>
    <t>＞1且≤2</t>
  </si>
  <si>
    <t>锦湖路北侧</t>
  </si>
  <si>
    <t>香草河北侧</t>
  </si>
  <si>
    <t>丹阳开发区北苑路</t>
    <phoneticPr fontId="3" type="noConversion"/>
  </si>
  <si>
    <t>次干道</t>
  </si>
  <si>
    <t>售价</t>
  </si>
  <si>
    <t>土地（套用方法）</t>
  </si>
  <si>
    <r>
      <t>水关路西侧</t>
    </r>
    <r>
      <rPr>
        <sz val="12"/>
        <color rgb="FF444444"/>
        <rFont val="Verdana"/>
        <family val="2"/>
      </rPr>
      <t>(江苏省镇江市丹阳市 )</t>
    </r>
  </si>
  <si>
    <t>已成交</t>
  </si>
  <si>
    <r>
      <t>丝绸路南侧</t>
    </r>
    <r>
      <rPr>
        <sz val="12"/>
        <color rgb="FF444444"/>
        <rFont val="Verdana"/>
        <family val="2"/>
      </rPr>
      <t>(江苏省镇江市丹阳市 )</t>
    </r>
  </si>
  <si>
    <r>
      <t>丝绸路北侧、运河西路西侧</t>
    </r>
    <r>
      <rPr>
        <sz val="12"/>
        <color rgb="FF444444"/>
        <rFont val="Verdana"/>
        <family val="2"/>
      </rPr>
      <t>(江苏省镇江市丹阳市 )</t>
    </r>
  </si>
  <si>
    <t>70</t>
    <phoneticPr fontId="26" type="noConversion"/>
  </si>
  <si>
    <t>70</t>
    <phoneticPr fontId="26" type="noConversion"/>
  </si>
  <si>
    <t>凤凰国际</t>
    <phoneticPr fontId="3" type="noConversion"/>
  </si>
  <si>
    <t>信达香缇国际</t>
    <phoneticPr fontId="3" type="noConversion"/>
  </si>
  <si>
    <t>高层</t>
  </si>
  <si>
    <t>高层</t>
    <phoneticPr fontId="21" type="noConversion"/>
  </si>
  <si>
    <t>商住</t>
    <phoneticPr fontId="26" type="noConversion"/>
  </si>
  <si>
    <t>六通</t>
    <phoneticPr fontId="26" type="noConversion"/>
  </si>
  <si>
    <t>五通</t>
    <phoneticPr fontId="26" type="noConversion"/>
  </si>
  <si>
    <t>四通</t>
    <phoneticPr fontId="26" type="noConversion"/>
  </si>
  <si>
    <t>三通</t>
  </si>
  <si>
    <t>三通</t>
    <phoneticPr fontId="26" type="noConversion"/>
  </si>
  <si>
    <t>单位面积地价</t>
  </si>
  <si>
    <t>大</t>
    <phoneticPr fontId="21" type="noConversion"/>
  </si>
  <si>
    <t>中</t>
    <phoneticPr fontId="21" type="noConversion"/>
  </si>
  <si>
    <t>小</t>
    <phoneticPr fontId="21" type="noConversion"/>
  </si>
  <si>
    <t>天怡紫宸</t>
    <phoneticPr fontId="3" type="noConversion"/>
  </si>
  <si>
    <t>土地星级</t>
  </si>
  <si>
    <t>齐梁路西侧</t>
  </si>
  <si>
    <t>大于1并且小于或等于1.5</t>
  </si>
  <si>
    <t>2019-10-17</t>
  </si>
  <si>
    <t>丹阳市新欣房地产开发有限公司</t>
  </si>
  <si>
    <t>0星</t>
  </si>
  <si>
    <t>南三环路南侧,伊甸园路东侧</t>
  </si>
  <si>
    <t>大于1并且小于或等于2.2</t>
  </si>
  <si>
    <t>丹阳碧城房地产开发有限公司</t>
  </si>
  <si>
    <t>大于1并且小于或等于1.95</t>
  </si>
  <si>
    <t>2019-10-10</t>
  </si>
  <si>
    <t>丹金路东侧,南二环路北侧,丝绸路南侧</t>
  </si>
  <si>
    <t>综合用地(含住宅)</t>
  </si>
  <si>
    <t>大于1并且小于或等于2</t>
  </si>
  <si>
    <t>阜阳路北侧,兴业路东侧</t>
  </si>
  <si>
    <t>大于1并且小于或等于2.45</t>
  </si>
  <si>
    <t>丹阳市爱家房地产有限公司</t>
  </si>
  <si>
    <t>万善路南侧,S241东侧</t>
  </si>
  <si>
    <t>大于1并且小于或等于2.4</t>
  </si>
  <si>
    <t>新民中路南侧</t>
  </si>
  <si>
    <t>2019-06-12</t>
  </si>
  <si>
    <t>江苏云阳集团房地产开发有限公司</t>
  </si>
  <si>
    <t>万善路南侧,天一路西侧</t>
  </si>
  <si>
    <t>＞1,≤1.8</t>
  </si>
  <si>
    <t>齐梁路东侧,金陵西路北侧</t>
  </si>
  <si>
    <t>＞1,≤1.9</t>
  </si>
  <si>
    <t>G312西侧</t>
  </si>
  <si>
    <t>2019-05-24</t>
  </si>
  <si>
    <t>丹金路东侧,锦绣路西侧</t>
  </si>
  <si>
    <t>≥1,≤2.50</t>
  </si>
  <si>
    <t>2019-04-08</t>
  </si>
  <si>
    <t>≥1,≤1.90</t>
  </si>
  <si>
    <t>锦绣路东侧,庆丰路北侧</t>
  </si>
  <si>
    <t>＞1,≤2.4</t>
  </si>
  <si>
    <t>2018-08-27</t>
  </si>
  <si>
    <t>抵押</t>
  </si>
  <si>
    <t>抵押价格</t>
  </si>
  <si>
    <t>已注销</t>
  </si>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</sst>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8"/>
      <color rgb="FF333333"/>
      <name val="Verdana"/>
      <family val="2"/>
    </font>
    <font>
      <sz val="12"/>
      <color rgb="FF444444"/>
      <name val="Verdana"/>
      <family val="2"/>
    </font>
    <font>
      <sz val="9"/>
      <color rgb="FFFFFFFF"/>
      <name val="Verdan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180" fontId="0" fillId="0" borderId="2" xfId="0" applyNumberFormat="1" applyBorder="1">
      <alignment vertical="center"/>
    </xf>
    <xf numFmtId="0" fontId="145" fillId="0" borderId="2" xfId="0" applyFont="1" applyFill="1" applyBorder="1">
      <alignment vertical="center"/>
    </xf>
    <xf numFmtId="180" fontId="117" fillId="0" borderId="2" xfId="0" applyNumberFormat="1" applyFont="1" applyFill="1" applyBorder="1" applyAlignment="1" applyProtection="1">
      <alignment horizontal="center" vertical="center"/>
      <protection locked="0"/>
    </xf>
    <xf numFmtId="0" fontId="86" fillId="0" borderId="0" xfId="15"/>
    <xf numFmtId="0" fontId="86" fillId="6" borderId="0" xfId="15" applyFill="1"/>
    <xf numFmtId="0" fontId="86" fillId="8" borderId="0" xfId="15" applyFill="1"/>
    <xf numFmtId="0" fontId="86" fillId="10" borderId="0" xfId="15" applyFill="1"/>
    <xf numFmtId="0" fontId="278" fillId="0" borderId="0" xfId="0" applyFont="1" applyAlignment="1">
      <alignment vertical="center" wrapText="1"/>
    </xf>
    <xf numFmtId="0" fontId="280" fillId="0" borderId="0" xfId="0" applyFont="1" applyAlignment="1">
      <alignment vertical="center" wrapText="1"/>
    </xf>
    <xf numFmtId="0" fontId="81" fillId="0" borderId="6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0" fillId="6" borderId="0" xfId="0"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9</xdr:col>
      <xdr:colOff>179874</xdr:colOff>
      <xdr:row>120</xdr:row>
      <xdr:rowOff>94446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220825"/>
          <a:ext cx="8809524" cy="6438096"/>
        </a:xfrm>
        <a:prstGeom prst="rect">
          <a:avLst/>
        </a:prstGeom>
      </xdr:spPr>
    </xdr:pic>
    <xdr:clientData/>
  </xdr:twoCellAnchor>
  <xdr:twoCellAnchor editAs="oneCell">
    <xdr:from>
      <xdr:col>0</xdr:col>
      <xdr:colOff>0</xdr:colOff>
      <xdr:row>123</xdr:row>
      <xdr:rowOff>0</xdr:rowOff>
    </xdr:from>
    <xdr:to>
      <xdr:col>10</xdr:col>
      <xdr:colOff>303598</xdr:colOff>
      <xdr:row>160</xdr:row>
      <xdr:rowOff>8731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1078825"/>
          <a:ext cx="9619048" cy="6352381"/>
        </a:xfrm>
        <a:prstGeom prst="rect">
          <a:avLst/>
        </a:prstGeom>
      </xdr:spPr>
    </xdr:pic>
    <xdr:clientData/>
  </xdr:twoCellAnchor>
  <xdr:twoCellAnchor editAs="oneCell">
    <xdr:from>
      <xdr:col>0</xdr:col>
      <xdr:colOff>790575</xdr:colOff>
      <xdr:row>172</xdr:row>
      <xdr:rowOff>152400</xdr:rowOff>
    </xdr:from>
    <xdr:to>
      <xdr:col>9</xdr:col>
      <xdr:colOff>179973</xdr:colOff>
      <xdr:row>216</xdr:row>
      <xdr:rowOff>27648</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29632275"/>
          <a:ext cx="8019048" cy="7419048"/>
        </a:xfrm>
        <a:prstGeom prst="rect">
          <a:avLst/>
        </a:prstGeom>
      </xdr:spPr>
    </xdr:pic>
    <xdr:clientData/>
  </xdr:twoCellAnchor>
  <xdr:twoCellAnchor editAs="oneCell">
    <xdr:from>
      <xdr:col>0</xdr:col>
      <xdr:colOff>0</xdr:colOff>
      <xdr:row>52</xdr:row>
      <xdr:rowOff>0</xdr:rowOff>
    </xdr:from>
    <xdr:to>
      <xdr:col>9</xdr:col>
      <xdr:colOff>608441</xdr:colOff>
      <xdr:row>87</xdr:row>
      <xdr:rowOff>123060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8905875"/>
          <a:ext cx="9276191" cy="6123810"/>
        </a:xfrm>
        <a:prstGeom prst="rect">
          <a:avLst/>
        </a:prstGeom>
      </xdr:spPr>
    </xdr:pic>
    <xdr:clientData/>
  </xdr:twoCellAnchor>
  <xdr:twoCellAnchor editAs="oneCell">
    <xdr:from>
      <xdr:col>0</xdr:col>
      <xdr:colOff>0</xdr:colOff>
      <xdr:row>218</xdr:row>
      <xdr:rowOff>0</xdr:rowOff>
    </xdr:from>
    <xdr:to>
      <xdr:col>9</xdr:col>
      <xdr:colOff>484636</xdr:colOff>
      <xdr:row>258</xdr:row>
      <xdr:rowOff>94381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7366575"/>
          <a:ext cx="9114286" cy="6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246461</xdr:colOff>
      <xdr:row>43</xdr:row>
      <xdr:rowOff>27651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514286" cy="7400001"/>
        </a:xfrm>
        <a:prstGeom prst="rect">
          <a:avLst/>
        </a:prstGeom>
      </xdr:spPr>
    </xdr:pic>
    <xdr:clientData/>
  </xdr:twoCellAnchor>
  <xdr:twoCellAnchor editAs="oneCell">
    <xdr:from>
      <xdr:col>1</xdr:col>
      <xdr:colOff>161925</xdr:colOff>
      <xdr:row>43</xdr:row>
      <xdr:rowOff>104775</xdr:rowOff>
    </xdr:from>
    <xdr:to>
      <xdr:col>11</xdr:col>
      <xdr:colOff>84748</xdr:colOff>
      <xdr:row>83</xdr:row>
      <xdr:rowOff>75347</xdr:rowOff>
    </xdr:to>
    <xdr:pic>
      <xdr:nvPicPr>
        <xdr:cNvPr id="6" name="图片 5"/>
        <xdr:cNvPicPr>
          <a:picLocks noChangeAspect="1"/>
        </xdr:cNvPicPr>
      </xdr:nvPicPr>
      <xdr:blipFill>
        <a:blip xmlns:r="http://schemas.openxmlformats.org/officeDocument/2006/relationships" r:embed="rId2"/>
        <a:stretch>
          <a:fillRect/>
        </a:stretch>
      </xdr:blipFill>
      <xdr:spPr>
        <a:xfrm>
          <a:off x="847725" y="7477125"/>
          <a:ext cx="7819048" cy="6828572"/>
        </a:xfrm>
        <a:prstGeom prst="rect">
          <a:avLst/>
        </a:prstGeom>
      </xdr:spPr>
    </xdr:pic>
    <xdr:clientData/>
  </xdr:twoCellAnchor>
  <xdr:twoCellAnchor editAs="oneCell">
    <xdr:from>
      <xdr:col>0</xdr:col>
      <xdr:colOff>0</xdr:colOff>
      <xdr:row>44</xdr:row>
      <xdr:rowOff>0</xdr:rowOff>
    </xdr:from>
    <xdr:to>
      <xdr:col>11</xdr:col>
      <xdr:colOff>341785</xdr:colOff>
      <xdr:row>85</xdr:row>
      <xdr:rowOff>132455</xdr:rowOff>
    </xdr:to>
    <xdr:pic>
      <xdr:nvPicPr>
        <xdr:cNvPr id="2" name="图片 1"/>
        <xdr:cNvPicPr>
          <a:picLocks noChangeAspect="1"/>
        </xdr:cNvPicPr>
      </xdr:nvPicPr>
      <xdr:blipFill>
        <a:blip xmlns:r="http://schemas.openxmlformats.org/officeDocument/2006/relationships" r:embed="rId3"/>
        <a:stretch>
          <a:fillRect/>
        </a:stretch>
      </xdr:blipFill>
      <xdr:spPr>
        <a:xfrm>
          <a:off x="0" y="7543800"/>
          <a:ext cx="8923810" cy="7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389082</xdr:colOff>
      <xdr:row>26</xdr:row>
      <xdr:rowOff>170893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7200"/>
          <a:ext cx="11552382" cy="4457143"/>
        </a:xfrm>
        <a:prstGeom prst="rect">
          <a:avLst/>
        </a:prstGeom>
      </xdr:spPr>
    </xdr:pic>
    <xdr:clientData/>
  </xdr:twoCellAnchor>
  <xdr:twoCellAnchor editAs="oneCell">
    <xdr:from>
      <xdr:col>0</xdr:col>
      <xdr:colOff>0</xdr:colOff>
      <xdr:row>29</xdr:row>
      <xdr:rowOff>142875</xdr:rowOff>
    </xdr:from>
    <xdr:to>
      <xdr:col>12</xdr:col>
      <xdr:colOff>331939</xdr:colOff>
      <xdr:row>55</xdr:row>
      <xdr:rowOff>132794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4975"/>
          <a:ext cx="11495239" cy="4447619"/>
        </a:xfrm>
        <a:prstGeom prst="rect">
          <a:avLst/>
        </a:prstGeom>
      </xdr:spPr>
    </xdr:pic>
    <xdr:clientData/>
  </xdr:twoCellAnchor>
  <xdr:twoCellAnchor editAs="oneCell">
    <xdr:from>
      <xdr:col>0</xdr:col>
      <xdr:colOff>0</xdr:colOff>
      <xdr:row>61</xdr:row>
      <xdr:rowOff>0</xdr:rowOff>
    </xdr:from>
    <xdr:to>
      <xdr:col>12</xdr:col>
      <xdr:colOff>446225</xdr:colOff>
      <xdr:row>86</xdr:row>
      <xdr:rowOff>75655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63300"/>
          <a:ext cx="11609525" cy="4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2657</v>
      </c>
      <c r="B1" s="2891" t="s">
        <v>2754</v>
      </c>
    </row>
    <row r="2" spans="1:55" s="2895" customFormat="1" ht="16.2" thickTop="1">
      <c r="A2" s="2893" t="s">
        <v>2661</v>
      </c>
      <c r="B2" s="2894" t="str">
        <f>'预评函-封皮'!B37</f>
        <v>贵州省普定县穿洞街道金马新村出让国有建设用地使用权抵押价格预评估</v>
      </c>
      <c r="AX2" s="2896"/>
      <c r="AZ2" s="2896"/>
      <c r="BA2" s="2897"/>
      <c r="BC2" s="2897"/>
    </row>
    <row r="3" spans="1:55" s="2898" customFormat="1">
      <c r="A3" s="2877" t="s">
        <v>2662</v>
      </c>
      <c r="B3" s="2880">
        <f>'预评函-封皮'!B40</f>
        <v>0</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2664</v>
      </c>
      <c r="B5" s="2900" t="str">
        <f>'预评函-封皮'!B49</f>
        <v>康正预评字号</v>
      </c>
    </row>
    <row r="6" spans="1:55" s="2901" customFormat="1" ht="16.2" thickTop="1">
      <c r="A6" s="2893" t="s">
        <v>2706</v>
      </c>
      <c r="B6" s="2894" t="str">
        <f>'预评函-1'!A4</f>
        <v>受贵公司委托，我公司对贵州省普定县穿洞街道金马新村出让国有建设用地使用权抵押价格进行了预评估。</v>
      </c>
      <c r="AM6" s="2902"/>
    </row>
    <row r="7" spans="1:55" s="2876" customFormat="1">
      <c r="A7" s="2877" t="s">
        <v>2658</v>
      </c>
      <c r="B7" s="2878" t="str">
        <f>'预评函-1'!A6</f>
        <v>估价对象为使用的、位于贵州省普定县穿洞街道金马新村出让国有建设用地使用权。根据《国有土地使用证》[]，估价对象（分摊）出让国有建设用地使用权面积为13984.89平方米。根据《建设工程规划许可证》[]、《出让合同》[]，估价对象规划建筑面积为42003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2660</v>
      </c>
      <c r="B10" s="2878" t="str">
        <f>'预评函-1'!A11</f>
        <v>2019年11月11日（评估专业人员勘察现场之日）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根据《国有土地使用证》[]，估价对象（分摊）出让国有建设用地使用权面积为13984.89平方米。根据《建设工程规划许可证》[]、《出让合同》[]，估价对象规划建筑面积为42003平方米。</v>
      </c>
    </row>
    <row r="16" spans="1:55" s="2876" customFormat="1">
      <c r="A16" s="2877" t="s">
        <v>2670</v>
      </c>
      <c r="B16" s="2878" t="str">
        <f>'预评函-1'!A22</f>
        <v>本次估价对象为出让国有建设用地使用权，《国有土地使用证》[]证载土地终止日期为住宅2085年7月5日、商业2055年7月5日。截至估价期日，出让国有建设用地使用权剩余土地使用年限为。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2019年11月11日，在规划利用条件下、设定土地开发程度为红线外“七通”、宗地内场地平整，设定用途为，剩余土地使用年限为的出让国有建设用地使用权价格。</v>
      </c>
    </row>
    <row r="19" spans="1:48" s="2876" customFormat="1">
      <c r="A19" s="2877" t="s">
        <v>2673</v>
      </c>
      <c r="B19" s="2878"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估价期日：2019年11月11日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红线外七通、宗地红线内场地未平整</v>
      </c>
    </row>
    <row r="39" spans="1:2">
      <c r="A39" s="2877" t="s">
        <v>2720</v>
      </c>
      <c r="B39" s="2878" t="str">
        <f>'预评函-2'!L5</f>
        <v>红线外七通、宗地红线内场地平整</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13984.89</v>
      </c>
    </row>
    <row r="44" spans="1:2">
      <c r="A44" s="2877" t="s">
        <v>2741</v>
      </c>
      <c r="B44" s="2878" t="str">
        <f>'预评函-2'!O3</f>
        <v>规划建筑面积/㎡</v>
      </c>
    </row>
    <row r="45" spans="1:2">
      <c r="A45" s="2877" t="s">
        <v>2723</v>
      </c>
      <c r="B45" s="2878">
        <f>'预评函-2'!O5</f>
        <v>42003.000000000007</v>
      </c>
    </row>
    <row r="46" spans="1:2">
      <c r="A46" s="2877" t="s">
        <v>2724</v>
      </c>
      <c r="B46" s="2878">
        <f ca="1">'预评函-2'!P5</f>
        <v>7719</v>
      </c>
    </row>
    <row r="47" spans="1:2">
      <c r="A47" s="2877" t="s">
        <v>2725</v>
      </c>
      <c r="B47" s="2878">
        <f ca="1">'预评函-2'!Q5</f>
        <v>2570</v>
      </c>
    </row>
    <row r="48" spans="1:2">
      <c r="A48" s="2877" t="s">
        <v>2726</v>
      </c>
      <c r="B48" s="2878">
        <f ca="1">'预评函-2'!R5</f>
        <v>10795</v>
      </c>
    </row>
    <row r="49" spans="1:2">
      <c r="A49" s="2877" t="s">
        <v>2742</v>
      </c>
      <c r="B49" s="2878" t="str">
        <f>'预评函-2'!A6</f>
        <v>抵押价格</v>
      </c>
    </row>
    <row r="50" spans="1:2">
      <c r="A50" s="2877" t="s">
        <v>2727</v>
      </c>
      <c r="B50" s="2878" t="str">
        <f>'预评函-2'!R6</f>
        <v>——</v>
      </c>
    </row>
    <row r="51" spans="1:2">
      <c r="A51" s="2877" t="s">
        <v>2743</v>
      </c>
      <c r="B51" s="2878" t="str">
        <f>'预评函-2'!A7</f>
        <v>——</v>
      </c>
    </row>
    <row r="52" spans="1:2">
      <c r="A52" s="2877" t="s">
        <v>2728</v>
      </c>
      <c r="B52" s="2878">
        <f ca="1">'预评函-2'!R7</f>
        <v>10795</v>
      </c>
    </row>
    <row r="53" spans="1:2">
      <c r="A53" s="2877" t="s">
        <v>2744</v>
      </c>
      <c r="B53" s="2878">
        <f>'预评函-2'!A8</f>
        <v>0</v>
      </c>
    </row>
    <row r="54" spans="1:2" s="2892" customFormat="1" ht="16.2" thickBot="1">
      <c r="A54" s="2899" t="s">
        <v>2729</v>
      </c>
      <c r="B54" s="2900" t="str">
        <f>'预评函-2'!R8</f>
        <v>——</v>
      </c>
    </row>
    <row r="55" spans="1:2" ht="16.2"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2.基础设施条件：估价对象实际开发程度为红线外七通、宗地红线内场地未平整；本次评估设定开发程度为红线外七通、宗地红线内场地平整。</v>
      </c>
    </row>
    <row r="57" spans="1:2">
      <c r="A57" s="2877" t="s">
        <v>2681</v>
      </c>
      <c r="B57" s="2878" t="str">
        <f>'预评函-3'!A4</f>
        <v>3.估价规划限制条件：详见《建设工程规划许可证》[]、《出让合同》[]。</v>
      </c>
    </row>
    <row r="58" spans="1:2" s="2892" customFormat="1" ht="16.2" thickBot="1">
      <c r="A58" s="2899" t="s">
        <v>2730</v>
      </c>
      <c r="B58" s="2900" t="str">
        <f>'预评函-3'!A5</f>
        <v>4.影响价格的其他限定条件：无。</v>
      </c>
    </row>
    <row r="59" spans="1:2" ht="16.2"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国有土地使用权》复印件，截至估价期日，估价对象抵押权未见登记。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综上，本次评估不存在估价师知悉的法定优先受偿款</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2693</v>
      </c>
      <c r="B68" s="2903">
        <f>'预评函-3'!D30</f>
        <v>42558</v>
      </c>
    </row>
    <row r="69" spans="1:2" ht="16.2"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6.2" thickBot="1">
      <c r="A72" s="2899" t="s">
        <v>2692</v>
      </c>
      <c r="B72" s="2905">
        <f>'预评函-3'!B21</f>
        <v>0</v>
      </c>
    </row>
    <row r="73" spans="1:2" ht="16.2"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9" sqref="E9"/>
    </sheetView>
  </sheetViews>
  <sheetFormatPr defaultColWidth="10" defaultRowHeight="15.6"/>
  <cols>
    <col min="1" max="1" width="15.33203125" style="1691" customWidth="1"/>
    <col min="2" max="2" width="11.33203125" style="1691" customWidth="1"/>
    <col min="3" max="3" width="12.6640625" style="1691" customWidth="1"/>
    <col min="4" max="4" width="14.109375" style="1691" customWidth="1"/>
    <col min="5" max="5" width="12.44140625" style="1691" customWidth="1"/>
    <col min="6" max="6" width="11.33203125" style="1691" customWidth="1"/>
    <col min="7" max="7" width="12.33203125" style="1691" customWidth="1"/>
    <col min="8" max="8" width="10" style="1691" customWidth="1"/>
    <col min="9" max="9" width="12.441406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6.2" thickBot="1">
      <c r="A1" s="1659" t="s">
        <v>1938</v>
      </c>
      <c r="B1" s="3243" t="str">
        <f>IF(B10="北京市","北京市",C10)&amp;F10&amp;B16&amp;"国有建设用地使用权"&amp;B9&amp;"预评估"</f>
        <v>贵州省普定县穿洞街道金马新村出让国有建设用地使用权抵押价格预评估</v>
      </c>
      <c r="C1" s="3244"/>
      <c r="D1" s="3244"/>
      <c r="E1" s="3244"/>
      <c r="F1" s="3244"/>
      <c r="G1" s="3244"/>
      <c r="H1" s="3244"/>
      <c r="I1" s="3245"/>
      <c r="J1" s="1694"/>
      <c r="K1" s="2454" t="str">
        <f>IF(B10="北京市","北京市",C10)&amp;F10&amp;B16&amp;"国有建设用地使用权"&amp;B9</f>
        <v>贵州省普定县穿洞街道金马新村出让国有建设用地使用权抵押价格</v>
      </c>
      <c r="L1" s="1723"/>
      <c r="M1" s="1723"/>
      <c r="N1" s="1694"/>
      <c r="O1" s="1695"/>
      <c r="P1" s="1694"/>
      <c r="Q1" s="1694"/>
      <c r="R1" s="1694"/>
      <c r="S1" s="1694"/>
      <c r="T1" s="1694"/>
      <c r="U1" s="1694"/>
    </row>
    <row r="2" spans="1:21">
      <c r="A2" s="1660" t="s">
        <v>1939</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1940</v>
      </c>
      <c r="B3" s="1662">
        <v>43780</v>
      </c>
      <c r="C3" s="1663" t="s">
        <v>1996</v>
      </c>
      <c r="D3" s="1662">
        <f>B3</f>
        <v>43780</v>
      </c>
      <c r="E3" s="1694"/>
      <c r="F3" s="1694"/>
      <c r="G3" s="1694"/>
      <c r="H3" s="1660"/>
      <c r="I3" s="1695"/>
      <c r="J3" s="1694"/>
      <c r="K3" s="1774"/>
      <c r="L3" s="1723"/>
      <c r="M3" s="1723"/>
      <c r="N3" s="1694"/>
      <c r="O3" s="1695"/>
      <c r="P3" s="1694"/>
      <c r="Q3" s="1694"/>
      <c r="R3" s="1694"/>
      <c r="S3" s="1694"/>
      <c r="T3" s="1694"/>
      <c r="U3" s="1694"/>
    </row>
    <row r="4" spans="1:21" ht="31.8" thickBot="1">
      <c r="A4" s="1664" t="s">
        <v>1941</v>
      </c>
      <c r="B4" s="1843" t="s">
        <v>2890</v>
      </c>
      <c r="C4" s="1846">
        <f>SUMIF(土地估价师,B4,估价师及机构信息!E3:E24)</f>
        <v>0</v>
      </c>
      <c r="D4" s="1843" t="s">
        <v>2890</v>
      </c>
      <c r="E4" s="1846">
        <f>SUMIF(土地估价师,D4,估价师及机构信息!E3:E24)</f>
        <v>0</v>
      </c>
      <c r="F4" s="1843" t="s">
        <v>950</v>
      </c>
      <c r="G4" s="1846">
        <f>SUMIF(土地估价师,F4,估价师及机构信息!E3:E24)</f>
        <v>0</v>
      </c>
      <c r="H4" s="1843" t="s">
        <v>950</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6.2"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7.6">
      <c r="A6" s="1663" t="s">
        <v>2707</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t="s">
        <v>3216</v>
      </c>
      <c r="C8" s="1671"/>
      <c r="D8" s="3249" t="s">
        <v>1945</v>
      </c>
      <c r="E8" s="1844" t="s">
        <v>3218</v>
      </c>
      <c r="F8" s="1672"/>
      <c r="G8" s="1660"/>
      <c r="H8" s="1660"/>
      <c r="I8" s="1707"/>
      <c r="J8" s="1694"/>
      <c r="K8" s="1774"/>
      <c r="L8" s="1723"/>
      <c r="M8" s="1723"/>
      <c r="N8" s="1694"/>
      <c r="O8" s="1695"/>
      <c r="P8" s="1694"/>
      <c r="Q8" s="1694"/>
      <c r="R8" s="1694"/>
      <c r="S8" s="1694"/>
      <c r="T8" s="1694"/>
      <c r="U8" s="1694"/>
    </row>
    <row r="9" spans="1:21" ht="16.2" thickBot="1">
      <c r="A9" s="1673" t="s">
        <v>1944</v>
      </c>
      <c r="B9" s="1674" t="s">
        <v>3217</v>
      </c>
      <c r="C9" s="1675"/>
      <c r="D9" s="3250"/>
      <c r="E9" s="1674"/>
      <c r="F9" s="1747"/>
      <c r="G9" s="1742"/>
      <c r="H9" s="1742"/>
      <c r="I9" s="1743"/>
      <c r="J9" s="1694"/>
      <c r="K9" s="1774"/>
      <c r="L9" s="1723"/>
      <c r="M9" s="1723"/>
      <c r="N9" s="1694"/>
      <c r="O9" s="1695"/>
      <c r="P9" s="1694"/>
      <c r="Q9" s="1694"/>
      <c r="R9" s="1694"/>
      <c r="S9" s="1694"/>
      <c r="T9" s="1694"/>
      <c r="U9" s="1694"/>
    </row>
    <row r="10" spans="1:21" ht="16.2" thickTop="1">
      <c r="A10" s="1744" t="s">
        <v>2000</v>
      </c>
      <c r="B10" s="1719"/>
      <c r="C10" s="1676"/>
      <c r="D10" s="1667"/>
      <c r="E10" s="1677" t="s">
        <v>1947</v>
      </c>
      <c r="F10" s="1678" t="s">
        <v>2993</v>
      </c>
      <c r="G10" s="1745"/>
      <c r="H10" s="1746"/>
      <c r="I10" s="1667"/>
      <c r="J10" s="1694"/>
      <c r="K10" s="1774"/>
      <c r="L10" s="1723"/>
      <c r="M10" s="1723"/>
      <c r="N10" s="1694"/>
      <c r="O10" s="1695"/>
      <c r="P10" s="1694"/>
      <c r="Q10" s="1694"/>
      <c r="R10" s="1694"/>
      <c r="S10" s="1694"/>
      <c r="T10" s="1694"/>
      <c r="U10" s="1694"/>
    </row>
    <row r="11" spans="1:21">
      <c r="A11" s="1697" t="s">
        <v>2001</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46"/>
      <c r="C12" s="3247"/>
      <c r="D12" s="3248"/>
      <c r="E12" s="1699" t="s">
        <v>2062</v>
      </c>
      <c r="F12" s="3264" t="s">
        <v>2891</v>
      </c>
      <c r="G12" s="3265"/>
      <c r="H12" s="3265"/>
      <c r="I12" s="3266"/>
      <c r="J12" s="1694"/>
      <c r="K12" s="1774"/>
      <c r="L12" s="1723"/>
      <c r="M12" s="1723"/>
      <c r="N12" s="1694"/>
      <c r="O12" s="1695"/>
      <c r="P12" s="1694"/>
      <c r="Q12" s="1694"/>
      <c r="R12" s="1694"/>
      <c r="S12" s="1694"/>
      <c r="T12" s="1694"/>
      <c r="U12" s="1694"/>
    </row>
    <row r="13" spans="1:21">
      <c r="A13" s="1687" t="s">
        <v>2060</v>
      </c>
      <c r="B13" s="3246"/>
      <c r="C13" s="3247"/>
      <c r="D13" s="3248"/>
      <c r="E13" s="1699" t="s">
        <v>2062</v>
      </c>
      <c r="F13" s="3264" t="s">
        <v>2892</v>
      </c>
      <c r="G13" s="3265"/>
      <c r="H13" s="3265"/>
      <c r="I13" s="3266"/>
      <c r="J13" s="1694"/>
      <c r="K13" s="1774"/>
      <c r="L13" s="1723"/>
      <c r="M13" s="1723"/>
      <c r="N13" s="1694"/>
      <c r="O13" s="1695"/>
      <c r="P13" s="1694"/>
      <c r="Q13" s="1694"/>
      <c r="R13" s="1694"/>
      <c r="S13" s="1694"/>
      <c r="T13" s="1694"/>
      <c r="U13" s="1694"/>
    </row>
    <row r="14" spans="1:21">
      <c r="A14" s="1661" t="s">
        <v>2063</v>
      </c>
      <c r="B14" s="1699"/>
      <c r="C14" s="1845" t="s">
        <v>2994</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31.2">
      <c r="A16" s="1680" t="s">
        <v>1948</v>
      </c>
      <c r="B16" s="1681" t="s">
        <v>2981</v>
      </c>
      <c r="C16" s="1699" t="s">
        <v>1949</v>
      </c>
      <c r="D16" s="2645" t="s">
        <v>1950</v>
      </c>
      <c r="E16" s="1722" t="s">
        <v>2982</v>
      </c>
      <c r="F16" s="1722"/>
      <c r="G16" s="1722"/>
      <c r="H16" s="1722"/>
      <c r="I16" s="1686" t="s">
        <v>1955</v>
      </c>
      <c r="J16" s="1694"/>
      <c r="K16" s="2455" t="str">
        <f>IF(D17="","",D16&amp;TEXT(D17,"yyyy年m月d日;;"))</f>
        <v>住宅2085年7月5日</v>
      </c>
      <c r="L16" s="1699" t="str">
        <f>IF(OR(K16="",M16=""),"","、")</f>
        <v>、</v>
      </c>
      <c r="M16" s="2455" t="str">
        <f>IF(E17="","",E16&amp;TEXT(E17,"yyyy年m月d日;;"))</f>
        <v>商业2055年7月5日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1956</v>
      </c>
      <c r="D17" s="1700">
        <v>67758</v>
      </c>
      <c r="E17" s="1700">
        <v>56800</v>
      </c>
      <c r="F17" s="1700"/>
      <c r="G17" s="1700"/>
      <c r="H17" s="1700"/>
      <c r="I17" s="1700"/>
      <c r="J17" s="1694"/>
      <c r="K17" s="2454" t="str">
        <f>CONCATENATE(K16,L16,M16,N16,O16,P16,Q16,R16,S16,T16,,U16)</f>
        <v>住宅2085年7月5日、商业2055年7月5日</v>
      </c>
      <c r="L17" s="1723"/>
      <c r="M17" s="1723"/>
      <c r="N17" s="1694"/>
      <c r="O17" s="1695"/>
      <c r="P17" s="1694"/>
      <c r="Q17" s="1694"/>
      <c r="R17" s="1694"/>
      <c r="S17" s="1694"/>
      <c r="T17" s="1694"/>
      <c r="U17" s="1694"/>
    </row>
    <row r="18" spans="1:21">
      <c r="A18" s="1763"/>
      <c r="B18" s="1682"/>
      <c r="C18" s="1683" t="s">
        <v>1957</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65.69</v>
      </c>
      <c r="E19" s="1685">
        <f>IF(B16="出让",IF(E17="","",ROUNDDOWN(MIN((E17-$D$3)/365,E18),2)),E18)</f>
        <v>35.67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61"/>
      <c r="E20" s="3262"/>
      <c r="F20" s="3262"/>
      <c r="G20" s="3262"/>
      <c r="H20" s="3262"/>
      <c r="I20" s="3263"/>
      <c r="J20" s="1694"/>
      <c r="K20" s="1774"/>
      <c r="L20" s="1723"/>
      <c r="M20" s="1723"/>
      <c r="N20" s="1694"/>
      <c r="O20" s="1695"/>
      <c r="P20" s="1694"/>
      <c r="Q20" s="1694"/>
      <c r="R20" s="1694"/>
      <c r="S20" s="1694"/>
      <c r="T20" s="1694"/>
      <c r="U20" s="1694"/>
    </row>
    <row r="21" spans="1:21">
      <c r="A21" s="1763" t="s">
        <v>1959</v>
      </c>
      <c r="B21" s="1764" t="s">
        <v>1960</v>
      </c>
      <c r="C21" s="1759">
        <f>'数据-汇总表'!E3</f>
        <v>42003.000000000007</v>
      </c>
      <c r="D21" s="1760" t="s">
        <v>1961</v>
      </c>
      <c r="E21" s="3251" t="s">
        <v>1999</v>
      </c>
      <c r="F21" s="3252"/>
      <c r="G21" s="3252"/>
      <c r="H21" s="3252"/>
      <c r="I21" s="3253"/>
      <c r="J21" s="1694"/>
      <c r="K21" s="1774"/>
      <c r="L21" s="1723"/>
      <c r="M21" s="1723"/>
      <c r="N21" s="1694"/>
      <c r="O21" s="1695"/>
      <c r="P21" s="1694"/>
      <c r="Q21" s="1694"/>
      <c r="R21" s="1694"/>
      <c r="S21" s="1694"/>
      <c r="T21" s="1694"/>
      <c r="U21" s="1694"/>
    </row>
    <row r="22" spans="1:21">
      <c r="A22" s="3145" t="s">
        <v>950</v>
      </c>
      <c r="B22" s="1661" t="s">
        <v>1962</v>
      </c>
      <c r="C22" s="1686">
        <f>'数据-汇总表'!D3</f>
        <v>13984.89</v>
      </c>
      <c r="D22" s="1687" t="s">
        <v>1961</v>
      </c>
      <c r="E22" s="3251" t="s">
        <v>2893</v>
      </c>
      <c r="F22" s="3252"/>
      <c r="G22" s="3252"/>
      <c r="H22" s="3252"/>
      <c r="I22" s="3253"/>
      <c r="J22" s="1694"/>
      <c r="K22" s="1774"/>
      <c r="L22" s="1723"/>
      <c r="M22" s="1723"/>
      <c r="N22" s="1694"/>
      <c r="O22" s="1695"/>
      <c r="P22" s="1694"/>
      <c r="Q22" s="1694"/>
      <c r="R22" s="1694"/>
      <c r="S22" s="1694"/>
      <c r="T22" s="1694"/>
      <c r="U22" s="1694"/>
    </row>
    <row r="23" spans="1:21" ht="31.8" thickBot="1">
      <c r="A23" s="1765" t="s">
        <v>1963</v>
      </c>
      <c r="B23" s="1701" t="s">
        <v>1964</v>
      </c>
      <c r="C23" s="1702" t="s">
        <v>2983</v>
      </c>
      <c r="D23" s="1703" t="s">
        <v>1965</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254" t="s">
        <v>1967</v>
      </c>
      <c r="C24" s="3255"/>
      <c r="D24" s="3256" t="s">
        <v>1968</v>
      </c>
      <c r="E24" s="3257"/>
      <c r="F24" s="1708" t="s">
        <v>1969</v>
      </c>
      <c r="G24" s="1694"/>
      <c r="H24" s="1694"/>
      <c r="I24" s="1707"/>
      <c r="J24" s="1694"/>
      <c r="K24" s="3242"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31.2">
      <c r="A25" s="1751"/>
      <c r="B25" s="1748" t="s">
        <v>2326</v>
      </c>
      <c r="C25" s="1709" t="s">
        <v>1971</v>
      </c>
      <c r="D25" s="1710"/>
      <c r="E25" s="1711" t="s">
        <v>950</v>
      </c>
      <c r="F25" s="1712"/>
      <c r="G25" s="1694"/>
      <c r="H25" s="1694"/>
      <c r="I25" s="1707"/>
      <c r="J25" s="1694"/>
      <c r="K25" s="3242"/>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47.4" thickBot="1">
      <c r="A26" s="1752"/>
      <c r="B26" s="1749" t="s">
        <v>1972</v>
      </c>
      <c r="C26" s="1709" t="s">
        <v>2327</v>
      </c>
      <c r="D26" s="1660"/>
      <c r="E26" s="1660"/>
      <c r="F26" s="1688"/>
      <c r="G26" s="1694"/>
      <c r="H26" s="1694"/>
      <c r="I26" s="1707"/>
      <c r="J26" s="1694"/>
      <c r="K26" s="3242"/>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3"/>
      <c r="N26" s="1694"/>
      <c r="O26" s="1695"/>
      <c r="P26" s="1694"/>
      <c r="Q26" s="1694"/>
      <c r="R26" s="1694"/>
      <c r="S26" s="1694"/>
      <c r="T26" s="1694"/>
      <c r="U26" s="1694"/>
    </row>
    <row r="27" spans="1:21">
      <c r="A27" s="1755" t="s">
        <v>1973</v>
      </c>
      <c r="B27" s="1753" t="s">
        <v>1974</v>
      </c>
      <c r="C27" s="1713"/>
      <c r="D27" s="2650"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51"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51" t="s">
        <v>1976</v>
      </c>
      <c r="E29" s="1716"/>
      <c r="F29" s="1688"/>
      <c r="G29" s="1694"/>
      <c r="H29" s="1694"/>
      <c r="I29" s="1707"/>
      <c r="J29" s="1694"/>
      <c r="K29" s="1774"/>
      <c r="L29" s="1723"/>
      <c r="M29" s="1723"/>
      <c r="N29" s="1694"/>
      <c r="O29" s="1695"/>
      <c r="P29" s="1694"/>
      <c r="Q29" s="1694"/>
      <c r="R29" s="1694"/>
      <c r="S29" s="1694"/>
      <c r="T29" s="1694"/>
      <c r="U29" s="1694"/>
    </row>
    <row r="30" spans="1:21" ht="16.2" thickBot="1">
      <c r="A30" s="1757"/>
      <c r="B30" s="1754" t="s">
        <v>1977</v>
      </c>
      <c r="C30" s="1717"/>
      <c r="D30" s="2652" t="s">
        <v>1977</v>
      </c>
      <c r="E30" s="1718"/>
      <c r="F30" s="1689"/>
      <c r="G30" s="1742"/>
      <c r="H30" s="1742"/>
      <c r="I30" s="1743"/>
      <c r="J30" s="1694"/>
      <c r="K30" s="1774"/>
      <c r="L30" s="1723"/>
      <c r="M30" s="1723"/>
      <c r="N30" s="1694"/>
      <c r="O30" s="1695"/>
      <c r="P30" s="1694"/>
      <c r="Q30" s="1694"/>
      <c r="R30" s="1694"/>
      <c r="S30" s="1694"/>
      <c r="T30" s="1694"/>
      <c r="U30" s="1694"/>
    </row>
    <row r="31" spans="1:21" ht="16.2" thickTop="1">
      <c r="A31" s="3269" t="s">
        <v>2002</v>
      </c>
      <c r="B31" s="1764" t="s">
        <v>2003</v>
      </c>
      <c r="C31" s="3267" t="s">
        <v>3071</v>
      </c>
      <c r="D31" s="3268"/>
      <c r="E31" s="1694"/>
      <c r="F31" s="1694"/>
      <c r="G31" s="1694"/>
      <c r="H31" s="1694"/>
      <c r="I31" s="1707"/>
      <c r="J31" s="1694"/>
      <c r="K31" s="2457"/>
      <c r="L31" s="1694"/>
      <c r="M31" s="1694"/>
      <c r="N31" s="1694"/>
      <c r="O31" s="1694"/>
      <c r="P31" s="1694"/>
      <c r="Q31" s="1694"/>
      <c r="R31" s="1694"/>
      <c r="S31" s="1694"/>
      <c r="T31" s="1694"/>
      <c r="U31" s="1694"/>
    </row>
    <row r="32" spans="1:21">
      <c r="A32" s="3269"/>
      <c r="B32" s="1661" t="s">
        <v>2004</v>
      </c>
      <c r="C32" s="1719" t="s">
        <v>3072</v>
      </c>
      <c r="D32" s="1720"/>
      <c r="E32" s="1694"/>
      <c r="F32" s="1694"/>
      <c r="G32" s="1694"/>
      <c r="H32" s="1694"/>
      <c r="I32" s="1707"/>
      <c r="J32" s="1694"/>
      <c r="K32" s="2457"/>
      <c r="L32" s="1694"/>
      <c r="M32" s="1694"/>
      <c r="N32" s="1694"/>
      <c r="O32" s="1694"/>
      <c r="P32" s="1694"/>
      <c r="Q32" s="1694"/>
      <c r="R32" s="1694"/>
      <c r="S32" s="1694"/>
      <c r="T32" s="1694"/>
      <c r="U32" s="1694"/>
    </row>
    <row r="33" spans="1:21">
      <c r="A33" s="3269"/>
      <c r="B33" s="1661" t="s">
        <v>2005</v>
      </c>
      <c r="C33" s="1721" t="s">
        <v>2983</v>
      </c>
      <c r="D33" s="1838"/>
      <c r="E33" s="1694"/>
      <c r="F33" s="1694"/>
      <c r="G33" s="1694"/>
      <c r="H33" s="1694"/>
      <c r="I33" s="1707"/>
      <c r="J33" s="1694"/>
      <c r="K33" s="2457"/>
      <c r="L33" s="1694"/>
      <c r="M33" s="1694"/>
      <c r="N33" s="1694"/>
      <c r="O33" s="1694"/>
      <c r="P33" s="1694"/>
      <c r="Q33" s="1694"/>
      <c r="R33" s="1694"/>
      <c r="S33" s="1694"/>
      <c r="T33" s="1694"/>
      <c r="U33" s="1694"/>
    </row>
    <row r="34" spans="1:21">
      <c r="A34" s="3270"/>
      <c r="B34" s="1661" t="s">
        <v>2006</v>
      </c>
      <c r="C34" s="3271"/>
      <c r="D34" s="3272"/>
      <c r="E34" s="1694"/>
      <c r="F34" s="1694"/>
      <c r="G34" s="1694"/>
      <c r="H34" s="1694"/>
      <c r="I34" s="1707"/>
      <c r="J34" s="1694"/>
      <c r="K34" s="2457"/>
      <c r="L34" s="1694"/>
      <c r="M34" s="1694"/>
      <c r="N34" s="1694"/>
      <c r="O34" s="1694"/>
      <c r="P34" s="1694"/>
      <c r="Q34" s="1694"/>
      <c r="R34" s="1694"/>
      <c r="S34" s="1694"/>
      <c r="T34" s="1694"/>
      <c r="U34" s="1694"/>
    </row>
    <row r="35" spans="1:21" ht="31.2">
      <c r="A35" s="3273" t="s">
        <v>845</v>
      </c>
      <c r="B35" s="1722" t="s">
        <v>3073</v>
      </c>
      <c r="C35" s="1776" t="str">
        <f>IF(B35="场地平整","——","具体情况：")</f>
        <v>具体情况：</v>
      </c>
      <c r="D35" s="3275" t="s">
        <v>3075</v>
      </c>
      <c r="E35" s="3276"/>
      <c r="F35" s="3276"/>
      <c r="G35" s="3276"/>
      <c r="H35" s="3276"/>
      <c r="I35" s="3277"/>
      <c r="J35" s="1694"/>
      <c r="K35" s="1775"/>
      <c r="L35" s="1723"/>
      <c r="M35" s="1723"/>
      <c r="N35" s="1694"/>
      <c r="O35" s="1695"/>
      <c r="P35" s="1694"/>
      <c r="Q35" s="1694"/>
      <c r="R35" s="1694"/>
      <c r="S35" s="1694"/>
      <c r="T35" s="1694"/>
      <c r="U35" s="1694"/>
    </row>
    <row r="36" spans="1:21" ht="31.2">
      <c r="A36" s="3269"/>
      <c r="B36" s="3278" t="s">
        <v>2055</v>
      </c>
      <c r="C36" s="3279"/>
      <c r="D36" s="1792" t="s">
        <v>3074</v>
      </c>
      <c r="E36" s="3280"/>
      <c r="F36" s="3280"/>
      <c r="G36" s="1687" t="str">
        <f>IF(B35="场地未平整","估价结果处理","")</f>
        <v>估价结果处理</v>
      </c>
      <c r="H36" s="3281"/>
      <c r="I36" s="3281"/>
      <c r="J36" s="1694"/>
      <c r="K36" s="1775"/>
      <c r="L36" s="1723"/>
      <c r="M36" s="1723"/>
      <c r="N36" s="1694"/>
      <c r="O36" s="1695"/>
      <c r="P36" s="1694"/>
      <c r="Q36" s="1694"/>
      <c r="R36" s="1694"/>
      <c r="S36" s="1694"/>
      <c r="T36" s="1694"/>
      <c r="U36" s="1694"/>
    </row>
    <row r="37" spans="1:21" ht="31.2">
      <c r="A37" s="3269"/>
      <c r="B37" s="3258" t="s">
        <v>846</v>
      </c>
      <c r="C37" s="1724" t="s">
        <v>847</v>
      </c>
      <c r="D37" s="1725"/>
      <c r="E37" s="1726"/>
      <c r="F37" s="1694"/>
      <c r="G37" s="1694"/>
      <c r="H37" s="1694"/>
      <c r="I37" s="1707"/>
      <c r="J37" s="1694"/>
      <c r="K37" s="1775"/>
      <c r="L37" s="1694"/>
      <c r="M37" s="1694"/>
      <c r="N37" s="1694"/>
      <c r="O37" s="1694"/>
      <c r="P37" s="1694"/>
      <c r="Q37" s="1694"/>
      <c r="R37" s="1694"/>
      <c r="S37" s="1694"/>
      <c r="T37" s="1694"/>
      <c r="U37" s="1694"/>
    </row>
    <row r="38" spans="1:21">
      <c r="A38" s="3269"/>
      <c r="B38" s="3259"/>
      <c r="C38" s="1669" t="s">
        <v>848</v>
      </c>
      <c r="D38" s="1791">
        <f>ROUNDDOWN(MIN(('数据-取费表'!$B$2-D37)/365,D34),1)</f>
        <v>119.9</v>
      </c>
      <c r="E38" s="1727" t="s">
        <v>849</v>
      </c>
      <c r="F38" s="1694"/>
      <c r="G38" s="1694"/>
      <c r="H38" s="1694"/>
      <c r="I38" s="1707"/>
      <c r="J38" s="1694"/>
      <c r="K38" s="1775"/>
      <c r="L38" s="1694"/>
      <c r="M38" s="1694"/>
      <c r="N38" s="1694"/>
      <c r="O38" s="1694"/>
      <c r="P38" s="1694"/>
      <c r="Q38" s="1694"/>
      <c r="R38" s="1694"/>
      <c r="S38" s="1694"/>
      <c r="T38" s="1694"/>
      <c r="U38" s="1694"/>
    </row>
    <row r="39" spans="1:21">
      <c r="A39" s="3270"/>
      <c r="B39" s="326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c r="C40" s="1690"/>
      <c r="D40" s="1690"/>
      <c r="E40" s="1690"/>
      <c r="F40" s="1690"/>
      <c r="G40" s="1690"/>
      <c r="H40" s="1690"/>
      <c r="I40" s="1707"/>
      <c r="J40" s="1694"/>
      <c r="K40" s="1730">
        <f>COUNTIF(B40:H40,"——")</f>
        <v>0</v>
      </c>
      <c r="L40" s="1699" t="s">
        <v>1979</v>
      </c>
      <c r="M40" s="1696" t="s">
        <v>1980</v>
      </c>
      <c r="N40" s="1696" t="s">
        <v>1981</v>
      </c>
      <c r="O40" s="1696" t="s">
        <v>1982</v>
      </c>
      <c r="P40" s="1696" t="s">
        <v>1983</v>
      </c>
      <c r="Q40" s="1696" t="s">
        <v>1984</v>
      </c>
      <c r="R40" s="1696" t="s">
        <v>1985</v>
      </c>
      <c r="S40" s="3241" t="s">
        <v>1986</v>
      </c>
      <c r="T40" s="1731" t="str">
        <f>NUMBERSTRING(7-K40,1)&amp;"通"</f>
        <v>七通</v>
      </c>
      <c r="U40" s="1694"/>
    </row>
    <row r="41" spans="1:21">
      <c r="A41" s="1663"/>
      <c r="B41" s="3274" t="s">
        <v>1720</v>
      </c>
      <c r="C41" s="3274"/>
      <c r="D41" s="3274"/>
      <c r="E41" s="327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1"/>
      <c r="T41" s="1733" t="str">
        <f>IF(T40="一通",L41,IF(T40="二通",M41,IF(T40="三通",N41,IF(T40="四通",O41,IF(T40="五通",P41,IF(T40="六通",Q41,R41))))))</f>
        <v>、、、、、、</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46.8">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3" width="9.44140625" style="15" hidden="1" customWidth="1"/>
    <col min="34" max="35" width="9.44140625" style="15" customWidth="1"/>
    <col min="36" max="46" width="9.44140625" style="15" hidden="1" customWidth="1"/>
    <col min="47" max="47" width="18.109375" style="15" hidden="1"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2334</v>
      </c>
      <c r="BA2" s="236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13984.89</v>
      </c>
      <c r="B3" s="22">
        <f>IF(C3="否",G5-AT5,G5)</f>
        <v>42003.000000000007</v>
      </c>
      <c r="C3" s="23" t="s">
        <v>2983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42003.000000000007</v>
      </c>
      <c r="H5" s="27">
        <f t="shared" ref="H5:AT5" si="0">SUM(H13:H641)</f>
        <v>42003.000000000007</v>
      </c>
      <c r="I5" s="27">
        <f t="shared" si="0"/>
        <v>39902.850000000006</v>
      </c>
      <c r="J5" s="27">
        <f t="shared" si="0"/>
        <v>0</v>
      </c>
      <c r="K5" s="27">
        <f t="shared" si="0"/>
        <v>2100.1499999999996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42003.000000000007</v>
      </c>
      <c r="BA5" s="29">
        <f t="shared" si="1"/>
        <v>42003.000000000007</v>
      </c>
      <c r="BB5" s="29">
        <f t="shared" si="1"/>
        <v>39902.850000000006</v>
      </c>
      <c r="BC5" s="29">
        <f t="shared" si="1"/>
        <v>2100.1499999999996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13984.89</v>
      </c>
      <c r="F6" s="27" t="s">
        <v>1</v>
      </c>
      <c r="G6" s="27" t="s">
        <v>2</v>
      </c>
      <c r="H6" s="33">
        <f>SUMIF(I$12:AB$12,"总值",I6:AB6)</f>
        <v>13984.89</v>
      </c>
      <c r="I6" s="27">
        <f t="shared" ref="I6:AB6" si="2">ROUND($A$3*I5/$B$3,2)</f>
        <v>13285.65</v>
      </c>
      <c r="J6" s="27">
        <f t="shared" si="2"/>
        <v>0</v>
      </c>
      <c r="K6" s="27">
        <f t="shared" si="2"/>
        <v>699.24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13984.89</v>
      </c>
      <c r="AZ6" s="27" t="s">
        <v>3</v>
      </c>
      <c r="BA6" s="27">
        <f>ROUND($AY$6*BA5/$AZ$5,2)</f>
        <v>13984.89</v>
      </c>
      <c r="BB6" s="27">
        <f>ROUND($AY$6*BB5/$AZ$5,2)</f>
        <v>13285.65</v>
      </c>
      <c r="BC6" s="27">
        <f t="shared" ref="BC6:BH6" si="4">ROUND($AY$6*BC5/$AZ$5,2)</f>
        <v>699.24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3017" t="s">
        <v>2984</v>
      </c>
      <c r="J9" s="51"/>
      <c r="K9" s="3017" t="s">
        <v>2984</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3017" t="s">
        <v>921</v>
      </c>
      <c r="J10" s="51"/>
      <c r="K10" s="3019" t="s">
        <v>2982</v>
      </c>
      <c r="L10" s="51"/>
      <c r="M10" s="3019"/>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13"/>
      <c r="B13" s="3013"/>
      <c r="C13" s="3013"/>
      <c r="D13" s="3014" t="s">
        <v>1677</v>
      </c>
      <c r="E13" s="27">
        <f t="shared" ref="E13:E20" si="6">IF($C$3="是",ROUND($A$3*G13/$B$3,2),ROUND($A$3*(G13-AT13)/$B$3,2))</f>
        <v>13984.89</v>
      </c>
      <c r="F13" s="81"/>
      <c r="G13" s="82">
        <f t="shared" ref="G13:G20" si="7">H13+AC13+AT13</f>
        <v>42003.000000000007</v>
      </c>
      <c r="H13" s="33">
        <f t="shared" ref="H13:H20" si="8">SUMIF(I$12:AB$12,"总值",I13:AB13)</f>
        <v>42003.000000000007</v>
      </c>
      <c r="I13" s="3016">
        <f>13300.95*3</f>
        <v>39902.850000000006</v>
      </c>
      <c r="J13" s="3016"/>
      <c r="K13" s="3016">
        <f>700.05*3</f>
        <v>2100.1499999999996</v>
      </c>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13984.89</v>
      </c>
      <c r="AZ13" s="27">
        <f t="shared" ref="AZ13:AZ20" si="12">BA13+BL13</f>
        <v>42003.000000000007</v>
      </c>
      <c r="BA13" s="27">
        <f t="shared" ref="BA13:BA20" si="13">SUM(BB13:BK13)</f>
        <v>42003.000000000007</v>
      </c>
      <c r="BB13" s="27">
        <f t="shared" ref="BB13:BB20" si="14">IF($D13="是",I13-J13,0)</f>
        <v>39902.850000000006</v>
      </c>
      <c r="BC13" s="27">
        <f t="shared" ref="BC13:BC20" si="15">IF($D13="是",K13-L13,0)</f>
        <v>2100.1499999999996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46.8">
      <c r="A3" s="3282"/>
      <c r="B3" s="3282"/>
      <c r="C3" s="3282"/>
      <c r="D3" s="3283"/>
      <c r="E3" s="328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202</v>
      </c>
      <c r="B1" s="1983"/>
      <c r="C1" s="1983"/>
      <c r="D1" s="1983"/>
      <c r="E1" s="1983"/>
      <c r="F1" s="1983"/>
      <c r="G1" s="1983"/>
      <c r="H1" s="1983"/>
      <c r="I1" s="1983"/>
      <c r="J1" s="1983"/>
      <c r="K1" s="1983"/>
      <c r="L1" s="1983"/>
    </row>
    <row r="2" spans="1:16" ht="14.4">
      <c r="A2" s="3293" t="s">
        <v>203</v>
      </c>
      <c r="B2" s="3293"/>
      <c r="C2" s="3293"/>
      <c r="D2" s="1974" t="s">
        <v>204</v>
      </c>
      <c r="E2" s="106" t="s">
        <v>205</v>
      </c>
      <c r="F2" s="1983"/>
      <c r="G2" s="1198"/>
      <c r="H2" s="1199"/>
      <c r="I2" s="1200" t="s">
        <v>855</v>
      </c>
      <c r="J2" s="1983"/>
      <c r="K2" s="1983"/>
      <c r="L2" s="1983"/>
    </row>
    <row r="3" spans="1:16" ht="15" thickBot="1">
      <c r="A3" s="3294" t="s">
        <v>206</v>
      </c>
      <c r="B3" s="3294"/>
      <c r="C3" s="3294"/>
      <c r="D3" s="107">
        <f>'数据-基础表'!AY6</f>
        <v>13984.89</v>
      </c>
      <c r="E3" s="107">
        <f>'数据-基础表'!AZ5</f>
        <v>42003.000000000007</v>
      </c>
      <c r="F3" s="1983"/>
      <c r="G3" s="280" t="s">
        <v>856</v>
      </c>
      <c r="H3" s="275" t="s">
        <v>857</v>
      </c>
      <c r="I3" s="1975">
        <f>ROUND('数据-基础表'!B3/'数据-基础表'!A3,2)</f>
        <v>3</v>
      </c>
      <c r="J3" s="1983"/>
      <c r="K3" s="1983"/>
      <c r="L3" s="1983"/>
    </row>
    <row r="4" spans="1:16" ht="14.4">
      <c r="A4" s="3295"/>
      <c r="B4" s="3296"/>
      <c r="C4" s="3297"/>
      <c r="D4" s="108" t="s">
        <v>204</v>
      </c>
      <c r="E4" s="109" t="s">
        <v>205</v>
      </c>
      <c r="F4" s="1983"/>
      <c r="G4" s="1201"/>
      <c r="H4" s="275" t="s">
        <v>858</v>
      </c>
      <c r="I4" s="1975">
        <f>ROUND(SUMIF('数据-基础表'!I9:AS9,"地上",'数据-基础表'!I5:AS5)/'数据-基础表'!A3,2)</f>
        <v>3</v>
      </c>
      <c r="J4" s="1983"/>
      <c r="K4" s="1983"/>
      <c r="L4" s="1983"/>
    </row>
    <row r="5" spans="1:16" ht="14.4">
      <c r="A5" s="110" t="s">
        <v>207</v>
      </c>
      <c r="B5" s="3298" t="s">
        <v>230</v>
      </c>
      <c r="C5" s="3298"/>
      <c r="D5" s="111">
        <f>ROUND($D$3*E5/$E$3,2)</f>
        <v>13285.65</v>
      </c>
      <c r="E5" s="112">
        <f>SUMIF('数据-基础表'!$11:$11,"住宅",'数据-基础表'!$5:$5)</f>
        <v>39902.850000000006</v>
      </c>
      <c r="F5" s="1983"/>
      <c r="G5" s="280" t="s">
        <v>859</v>
      </c>
      <c r="H5" s="275" t="s">
        <v>857</v>
      </c>
      <c r="I5" s="1975">
        <f>ROUND(E31/D31,2)</f>
        <v>3</v>
      </c>
      <c r="J5" s="1983"/>
      <c r="K5" s="1983"/>
      <c r="L5" s="1983"/>
    </row>
    <row r="6" spans="1:16" ht="15" thickBot="1">
      <c r="A6" s="113"/>
      <c r="B6" s="3298" t="s">
        <v>208</v>
      </c>
      <c r="C6" s="3298"/>
      <c r="D6" s="111">
        <f>ROUND($D$3*E6/$E$3,2)</f>
        <v>699.24</v>
      </c>
      <c r="E6" s="112">
        <f>E3-E5</f>
        <v>2100.1500000000015</v>
      </c>
      <c r="F6" s="1983"/>
      <c r="G6" s="1201"/>
      <c r="H6" s="275" t="s">
        <v>858</v>
      </c>
      <c r="I6" s="1975">
        <f>ROUND(F31/D31,2)</f>
        <v>3</v>
      </c>
      <c r="J6" s="1983"/>
      <c r="K6" s="1983"/>
      <c r="L6" s="1983"/>
    </row>
    <row r="7" spans="1:16" ht="14.4">
      <c r="A7" s="3290"/>
      <c r="B7" s="3291"/>
      <c r="C7" s="3292"/>
      <c r="D7" s="108" t="s">
        <v>204</v>
      </c>
      <c r="E7" s="114" t="s">
        <v>231</v>
      </c>
      <c r="F7" s="1983"/>
      <c r="G7" s="1156" t="s">
        <v>1644</v>
      </c>
      <c r="H7" s="1157"/>
      <c r="I7" s="1847"/>
      <c r="J7" s="1983"/>
      <c r="K7" s="1983"/>
      <c r="L7" s="1983"/>
    </row>
    <row r="8" spans="1:16" ht="14.4">
      <c r="A8" s="110" t="s">
        <v>209</v>
      </c>
      <c r="B8" s="115" t="s">
        <v>210</v>
      </c>
      <c r="C8" s="111" t="s">
        <v>211</v>
      </c>
      <c r="D8" s="111">
        <f t="shared" ref="D8:D15" si="0">ROUND($D$3*E8/$E$3,2)</f>
        <v>13984.89</v>
      </c>
      <c r="E8" s="116">
        <f>SUMIF('数据-基础表'!BB10:BK10,"地上",'数据-基础表'!BB5:BK5)</f>
        <v>42003.000000000007</v>
      </c>
      <c r="F8" s="1983"/>
      <c r="G8" s="1985"/>
      <c r="H8" s="1985"/>
      <c r="I8" s="1983"/>
      <c r="J8" s="1983"/>
      <c r="K8" s="1983"/>
      <c r="L8" s="1983"/>
    </row>
    <row r="9" spans="1:16" ht="14.4">
      <c r="A9" s="117"/>
      <c r="B9" s="118"/>
      <c r="C9" s="111" t="s">
        <v>212</v>
      </c>
      <c r="D9" s="111">
        <f t="shared" si="0"/>
        <v>0</v>
      </c>
      <c r="E9" s="119">
        <v>0</v>
      </c>
      <c r="F9" s="1983"/>
      <c r="G9" s="1985"/>
      <c r="H9" s="1985"/>
      <c r="I9" s="1983"/>
      <c r="J9" s="1983"/>
      <c r="K9" s="1983"/>
      <c r="L9" s="1983"/>
    </row>
    <row r="10" spans="1:16" ht="14.4">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215</v>
      </c>
      <c r="D16" s="115">
        <f>SUM(D8:D15)</f>
        <v>13984.89</v>
      </c>
      <c r="E16" s="120">
        <f>SUM(E8:E15)</f>
        <v>42003.000000000007</v>
      </c>
      <c r="F16" s="1983"/>
      <c r="G16" s="1985"/>
      <c r="H16" s="968" t="s">
        <v>219</v>
      </c>
      <c r="I16" s="969"/>
      <c r="J16" s="1983"/>
      <c r="K16" s="3284" t="s">
        <v>2567</v>
      </c>
      <c r="L16" s="3285"/>
      <c r="M16" s="3285"/>
      <c r="N16" s="3285"/>
      <c r="O16" s="3285"/>
      <c r="P16" s="3286"/>
    </row>
    <row r="17" spans="1:19" ht="14.4">
      <c r="A17" s="121" t="s">
        <v>216</v>
      </c>
      <c r="B17" s="122" t="s">
        <v>217</v>
      </c>
      <c r="C17" s="2297" t="s">
        <v>2314</v>
      </c>
      <c r="D17" s="108" t="s">
        <v>204</v>
      </c>
      <c r="E17" s="124" t="s">
        <v>205</v>
      </c>
      <c r="F17" s="125"/>
      <c r="G17" s="1366"/>
      <c r="H17" s="970" t="s">
        <v>218</v>
      </c>
      <c r="I17" s="971" t="s">
        <v>2313</v>
      </c>
      <c r="J17" s="1983"/>
      <c r="K17" s="3287" t="s">
        <v>2568</v>
      </c>
      <c r="L17" s="3288"/>
      <c r="M17" s="3289"/>
      <c r="N17" s="3287" t="s">
        <v>2569</v>
      </c>
      <c r="O17" s="3288"/>
      <c r="P17" s="3289"/>
      <c r="R17" s="2298" t="s">
        <v>2312</v>
      </c>
      <c r="S17" s="144"/>
    </row>
    <row r="18" spans="1:19" ht="14.4">
      <c r="A18" s="117"/>
      <c r="B18" s="128"/>
      <c r="C18" s="129"/>
      <c r="D18" s="2641"/>
      <c r="E18" s="130" t="s">
        <v>220</v>
      </c>
      <c r="F18" s="131" t="s">
        <v>221</v>
      </c>
      <c r="G18" s="1367" t="s">
        <v>222</v>
      </c>
      <c r="H18" s="972" t="s">
        <v>223</v>
      </c>
      <c r="I18" s="973" t="s">
        <v>224</v>
      </c>
      <c r="J18" s="1983"/>
      <c r="K18" s="2604" t="s">
        <v>2570</v>
      </c>
      <c r="L18" s="2605" t="s">
        <v>2571</v>
      </c>
      <c r="M18" s="2606" t="s">
        <v>2572</v>
      </c>
      <c r="N18" s="2604" t="s">
        <v>2570</v>
      </c>
      <c r="O18" s="2605" t="s">
        <v>2571</v>
      </c>
      <c r="P18" s="2606" t="s">
        <v>2572</v>
      </c>
      <c r="R18" s="2299" t="s">
        <v>2310</v>
      </c>
      <c r="S18" s="2299" t="s">
        <v>2311</v>
      </c>
    </row>
    <row r="19" spans="1:19" ht="14.4">
      <c r="A19" s="133"/>
      <c r="B19" s="115" t="s">
        <v>225</v>
      </c>
      <c r="C19" s="3023" t="s">
        <v>2985</v>
      </c>
      <c r="D19" s="111">
        <f t="shared" ref="D19:D26" si="1">ROUND($D$3*E19/$E$3,2)</f>
        <v>13285.65</v>
      </c>
      <c r="E19" s="134">
        <f t="shared" ref="E19:E26" si="2">SUM(F19:G19)</f>
        <v>39902.850000000006</v>
      </c>
      <c r="F19" s="135">
        <f>'数据-基础表'!I13</f>
        <v>39902.850000000006</v>
      </c>
      <c r="G19" s="1368"/>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13285.65</v>
      </c>
      <c r="S19" s="2300">
        <f t="shared" si="5"/>
        <v>39902.850000000006</v>
      </c>
    </row>
    <row r="20" spans="1:19" ht="14.4">
      <c r="A20" s="138"/>
      <c r="B20" s="115" t="s">
        <v>226</v>
      </c>
      <c r="C20" s="3023" t="s">
        <v>2986</v>
      </c>
      <c r="D20" s="111">
        <f t="shared" si="1"/>
        <v>699.24</v>
      </c>
      <c r="E20" s="134">
        <f t="shared" si="2"/>
        <v>2100.1499999999996</v>
      </c>
      <c r="F20" s="135">
        <f>'数据-基础表'!K13</f>
        <v>2100.1499999999996</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699.24</v>
      </c>
      <c r="S20" s="2300">
        <f t="shared" si="5"/>
        <v>2100.1499999999996</v>
      </c>
    </row>
    <row r="21" spans="1:19" ht="14.4">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215</v>
      </c>
      <c r="D27" s="134">
        <f>SUM(D19:D26)</f>
        <v>13984.89</v>
      </c>
      <c r="E27" s="143">
        <f>IF(SUM(E19:E26)='数据-基础表'!BA5,SUM(E19:E26),IF(F27="地上面积有误","面积有误","地下面积有误"))</f>
        <v>42003.000000000007</v>
      </c>
      <c r="F27" s="134">
        <f>IF(SUM(F19:F26)=E8,SUM(F19:F26),"地上面积有误")</f>
        <v>42003.000000000007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13984.89</v>
      </c>
      <c r="S27" s="275">
        <f>IF(SUM(S19:S26)=$E$3,SUM(S19:S26),SUM(S19:S26)&amp;"误差"&amp;ROUND(SUM(S19:S26)-E3,2))</f>
        <v>42003.000000000007</v>
      </c>
    </row>
    <row r="28" spans="1:19" ht="14.4">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13984.89</v>
      </c>
      <c r="E31" s="1372">
        <f>E27+E30</f>
        <v>42003.000000000007</v>
      </c>
      <c r="F31" s="1373">
        <f>F27+F30</f>
        <v>42003.000000000007</v>
      </c>
      <c r="G31" s="1374">
        <f>G27+G30</f>
        <v>0</v>
      </c>
      <c r="H31" s="1983"/>
      <c r="I31" s="1983"/>
      <c r="J31" s="1983"/>
      <c r="K31" s="1983"/>
      <c r="L31" s="1983"/>
    </row>
    <row r="32" spans="1:19" ht="14.4">
      <c r="A32" s="1983"/>
      <c r="B32" s="2362" t="s">
        <v>2322</v>
      </c>
      <c r="C32" s="2646"/>
      <c r="D32" s="1201"/>
      <c r="E32" s="1201">
        <f>SUMIF(C19:C26,"*住宅*",E19:E26)</f>
        <v>39902.850000000006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Q6" sqref="Q6"/>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235</v>
      </c>
      <c r="B2" s="2337">
        <f>项目基本情况!D3</f>
        <v>43780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2325</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2829</v>
      </c>
      <c r="O5" s="163" t="s">
        <v>246</v>
      </c>
      <c r="P5" s="165" t="s">
        <v>247</v>
      </c>
      <c r="Q5" s="166" t="s">
        <v>248</v>
      </c>
      <c r="R5" s="167" t="s">
        <v>249</v>
      </c>
      <c r="S5" s="2620" t="s">
        <v>2573</v>
      </c>
      <c r="T5" s="168" t="s">
        <v>250</v>
      </c>
      <c r="U5" s="169" t="s">
        <v>251</v>
      </c>
      <c r="V5" s="159" t="s">
        <v>252</v>
      </c>
      <c r="W5" s="159" t="s">
        <v>253</v>
      </c>
      <c r="X5" s="1819"/>
      <c r="Y5" s="170" t="s">
        <v>254</v>
      </c>
      <c r="Z5" s="171" t="s">
        <v>255</v>
      </c>
      <c r="AA5" s="159" t="s">
        <v>252</v>
      </c>
      <c r="AB5" s="159" t="s">
        <v>253</v>
      </c>
      <c r="AC5" s="1820"/>
      <c r="AD5" s="172" t="s">
        <v>254</v>
      </c>
      <c r="AE5" s="1" t="s">
        <v>868</v>
      </c>
      <c r="AF5" s="159" t="s">
        <v>256</v>
      </c>
      <c r="AG5" s="170" t="s">
        <v>257</v>
      </c>
      <c r="AH5" s="1820" t="s">
        <v>2324</v>
      </c>
      <c r="AI5" s="171" t="s">
        <v>2293</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住宅</v>
      </c>
      <c r="B6" s="2336" t="str">
        <f>IF(A6=0,"","经营性")</f>
        <v>经营性</v>
      </c>
      <c r="C6" s="173" t="s">
        <v>921</v>
      </c>
      <c r="D6" s="2307">
        <f>SUMIF(项目基本情况!D$15:I$15,C6,项目基本情况!D$18:I$18)</f>
        <v>70</v>
      </c>
      <c r="E6" s="2308">
        <f>IF(B6="","",SUMIF(项目基本情况!D$15:I$15,C6,项目基本情况!D$17:I$17))</f>
        <v>67758</v>
      </c>
      <c r="F6" s="174">
        <f>SUMIF(项目基本情况!D$15:I$15,C6,项目基本情况!D$19:I$19)</f>
        <v>65.69</v>
      </c>
      <c r="G6" s="175">
        <f>IF(ISERROR(ROUND(POWER(1+H6,D6-F6)*(POWER(1+H6,F6)-1)/(POWER(1+H6,D6)-1),3)),0,ROUND(POWER(1+H6,D6-F6)*(POWER(1+H6,F6)-1)/(POWER(1+H6,D6)-1),3))</f>
        <v>0.98699999999999999</v>
      </c>
      <c r="H6" s="3024">
        <v>0.04</v>
      </c>
      <c r="I6" s="3024">
        <v>4.4999999999999998E-2</v>
      </c>
      <c r="J6" s="176">
        <v>8.5000000000000006E-2</v>
      </c>
      <c r="K6" s="179">
        <f>SUMIF('数据-汇总表'!C$19:C$33,'数据-取费表'!A6,'数据-汇总表'!E$19:E$33)</f>
        <v>39902.850000000006</v>
      </c>
      <c r="L6" s="3025">
        <v>2000</v>
      </c>
      <c r="M6" s="177">
        <f t="shared" ref="M6:M14" si="0">ROUND(K6*L6/10000,0)</f>
        <v>7981</v>
      </c>
      <c r="N6" s="3026">
        <v>0</v>
      </c>
      <c r="O6" s="177">
        <f>IF($N$5="成新度","——",ROUND(M6*N6,0))</f>
        <v>0</v>
      </c>
      <c r="P6" s="178">
        <f>IF($N$5="成新度","——",M6-O6)</f>
        <v>7981</v>
      </c>
      <c r="Q6" s="3027">
        <v>0.2</v>
      </c>
      <c r="R6" s="179">
        <f>SUMIF('数据-汇总表'!C$19:C$33,A6,'数据-汇总表'!R$19:R$33)</f>
        <v>13285.65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0.92400000000000004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2982</v>
      </c>
      <c r="D7" s="2307">
        <f>SUMIF(项目基本情况!D$15:I$15,C7,项目基本情况!D$18:I$18)</f>
        <v>40</v>
      </c>
      <c r="E7" s="2308">
        <f>IF(B7="","",SUMIF(项目基本情况!D$15:I$15,C7,项目基本情况!D$17:I$17))</f>
        <v>56800</v>
      </c>
      <c r="F7" s="174">
        <f>SUMIF(项目基本情况!D$15:I$15,C7,项目基本情况!D$19:I$19)</f>
        <v>35.67</v>
      </c>
      <c r="G7" s="175">
        <f t="shared" ref="G7:G11" si="2">IF(ISERROR(ROUND(POWER(1+H7,D7-F7)*(POWER(1+H7,F7)-1)/(POWER(1+H7,D7)-1),3)),0,ROUND(POWER(1+H7,D7-F7)*(POWER(1+H7,F7)-1)/(POWER(1+H7,D7)-1),3))</f>
        <v>0.96099999999999997</v>
      </c>
      <c r="H7" s="3024">
        <v>0.05</v>
      </c>
      <c r="I7" s="3024">
        <v>5.5E-2</v>
      </c>
      <c r="J7" s="176">
        <v>8.5000000000000006E-2</v>
      </c>
      <c r="K7" s="179">
        <f>SUMIF('数据-汇总表'!C$19:C$33,'数据-取费表'!A7,'数据-汇总表'!E$19:E$33)</f>
        <v>2100.1499999999996</v>
      </c>
      <c r="L7" s="3025">
        <v>2200</v>
      </c>
      <c r="M7" s="177">
        <f t="shared" si="0"/>
        <v>462</v>
      </c>
      <c r="N7" s="3026">
        <v>0</v>
      </c>
      <c r="O7" s="177">
        <f t="shared" ref="O7:O14" si="3">IF($N$5="成新度","——",ROUND(M7*N7,0))</f>
        <v>0</v>
      </c>
      <c r="P7" s="178">
        <f t="shared" ref="P7:P14" si="4">IF($N$5="成新度","——",M7-O7)</f>
        <v>462</v>
      </c>
      <c r="Q7" s="3027">
        <v>0.2</v>
      </c>
      <c r="R7" s="179">
        <f>SUMIF('数据-汇总表'!C$19:C$33,A7,'数据-汇总表'!R$19:R$33)</f>
        <v>699.24</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1.5</v>
      </c>
      <c r="V7" s="181">
        <v>2.5000000000000001E-2</v>
      </c>
      <c r="W7" s="181">
        <v>0.1</v>
      </c>
      <c r="X7" s="2320"/>
      <c r="Y7" s="182">
        <v>1</v>
      </c>
      <c r="Z7" s="183"/>
      <c r="AA7" s="176"/>
      <c r="AB7" s="176"/>
      <c r="AC7" s="2323"/>
      <c r="AD7" s="184"/>
      <c r="AE7" s="972">
        <f t="shared" ref="AE7:AE13" ca="1" si="6">IF(AN7="",0,SUMIF(INDIRECT("'"&amp;AN7&amp;"'"&amp;"!E:E"),$AE$5,INDIRECT("'"&amp;AN7&amp;"'"&amp;"!F:F")))</f>
        <v>34.17</v>
      </c>
      <c r="AF7" s="141"/>
      <c r="AG7" s="1213">
        <f t="shared" ref="AG7:AG13" si="7">IF(AF7="",0,AE7-AF7)</f>
        <v>0</v>
      </c>
      <c r="AH7" s="141"/>
      <c r="AI7" s="187">
        <v>365</v>
      </c>
      <c r="AJ7" s="188"/>
      <c r="AK7" s="189">
        <v>1.4999999999999999E-2</v>
      </c>
      <c r="AL7" s="190">
        <v>1.5E-3</v>
      </c>
      <c r="AM7" s="2389">
        <v>0.02</v>
      </c>
      <c r="AN7" s="2391" t="s">
        <v>2987</v>
      </c>
      <c r="AO7" s="1999"/>
      <c r="AP7" s="1204">
        <f t="shared" ref="AP7:AP13" si="8">ROUND(1-1/(1+H7)^F7,3)</f>
        <v>0.82499999999999996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2315</v>
      </c>
      <c r="B14" s="2305" t="s">
        <v>1678</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2317</v>
      </c>
      <c r="B15" s="2305" t="s">
        <v>1678</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262</v>
      </c>
      <c r="B16" s="199"/>
      <c r="C16" s="200"/>
      <c r="D16" s="201"/>
      <c r="E16" s="199"/>
      <c r="F16" s="199"/>
      <c r="G16" s="202">
        <f>ROUND(SUMPRODUCT(G6:G13,K6:K13)/SUMPRODUCT((G6:G13&gt;0)*(K6:K13)),3)</f>
        <v>0.98599999999999999</v>
      </c>
      <c r="H16" s="203">
        <f>ROUND(SUMPRODUCT(H6:H13,K6:K13)/SUMPRODUCT((H6:H13&gt;0)*(K6:K13)),3)</f>
        <v>4.1000000000000002E-2</v>
      </c>
      <c r="I16" s="204"/>
      <c r="J16" s="204"/>
      <c r="K16" s="205">
        <f>SUM(K6:K15)</f>
        <v>42003.000000000007</v>
      </c>
      <c r="L16" s="206">
        <f>ROUND(M16*10000/SUM(K6:K14),0)</f>
        <v>2010</v>
      </c>
      <c r="M16" s="206">
        <f>SUM(M6:M14)</f>
        <v>8443</v>
      </c>
      <c r="N16" s="207">
        <f>ROUND(SUMPRODUCT(M6:M14,N6:N14)/M16,3)</f>
        <v>0</v>
      </c>
      <c r="O16" s="206">
        <f>SUM(O6:O14)</f>
        <v>0</v>
      </c>
      <c r="P16" s="206">
        <f>SUM(P6:P14)</f>
        <v>8443</v>
      </c>
      <c r="Q16" s="208">
        <f>ROUND(SUMPRODUCT(Q6:Q13,K6:K13)/SUMPRODUCT((Q6:Q13&gt;0)*(K6:K13)),2)</f>
        <v>0.2</v>
      </c>
      <c r="R16" s="2310">
        <f>SUM(R6:R13)</f>
        <v>13984.89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0.91900000000000004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89" t="s">
        <v>3068</v>
      </c>
      <c r="T18" s="3189" t="s">
        <v>3069</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264</v>
      </c>
      <c r="B19" s="218">
        <v>0</v>
      </c>
      <c r="C19" s="2363" t="s">
        <v>2337</v>
      </c>
      <c r="D19" s="1992"/>
      <c r="E19" s="1991"/>
      <c r="F19" s="1991"/>
      <c r="G19" s="1991"/>
      <c r="H19" s="1991"/>
      <c r="I19" s="1991"/>
      <c r="J19" s="1991"/>
      <c r="K19" s="1990"/>
      <c r="L19" s="1990"/>
      <c r="M19" s="1988"/>
      <c r="N19" s="1988"/>
      <c r="O19" s="1988"/>
      <c r="P19" s="1988"/>
      <c r="Q19" s="1988"/>
      <c r="R19" s="1988"/>
      <c r="S19" s="1988" t="s">
        <v>3067</v>
      </c>
      <c r="T19" s="1988">
        <v>1.6</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265</v>
      </c>
      <c r="B20" s="220">
        <v>1.5</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267</v>
      </c>
      <c r="B22" s="222">
        <f>B19+B20</f>
        <v>1.5</v>
      </c>
      <c r="C22" s="1991"/>
      <c r="D22" s="1992"/>
      <c r="E22" s="1991">
        <f>(G6*K6+G7*K7)/22380</f>
        <v>1.849971273458445</v>
      </c>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2339</v>
      </c>
      <c r="B27" s="227">
        <v>75</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2340</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278</v>
      </c>
      <c r="B33" s="1379">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279</v>
      </c>
      <c r="B34" s="233">
        <v>0.05</v>
      </c>
      <c r="C34" s="2364" t="s">
        <v>2896</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276</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280</v>
      </c>
      <c r="B37" s="236">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281</v>
      </c>
      <c r="B38" s="233">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285</v>
      </c>
      <c r="B44" s="242">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289</v>
      </c>
      <c r="B48" s="246">
        <v>0.03</v>
      </c>
      <c r="C48" s="3074"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294</v>
      </c>
      <c r="B53" s="251" t="s">
        <v>1406</v>
      </c>
      <c r="C53" s="3075" t="s">
        <v>2906</v>
      </c>
      <c r="D53" s="3076"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8" t="s">
        <v>2908</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8" t="s">
        <v>2909</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8" t="s">
        <v>2910</v>
      </c>
      <c r="B56" s="3194"/>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8" t="s">
        <v>2911</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8" t="s">
        <v>2912</v>
      </c>
      <c r="B58" s="186">
        <v>5</v>
      </c>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8" t="s">
        <v>2913</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8"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8"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8"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99" t="s">
        <v>1662</v>
      </c>
      <c r="B1" s="3300"/>
      <c r="C1" s="3300"/>
      <c r="D1" s="3300"/>
      <c r="E1" s="3300"/>
      <c r="F1" s="3300"/>
      <c r="G1" s="3300"/>
      <c r="H1" s="2001"/>
      <c r="I1" s="2002"/>
      <c r="J1" s="2003"/>
      <c r="K1" s="2001"/>
      <c r="L1" s="2002"/>
      <c r="M1" s="2003"/>
      <c r="N1" s="2001"/>
      <c r="O1" s="2002"/>
      <c r="P1" s="2003"/>
      <c r="Q1" s="2004"/>
      <c r="R1" s="2005"/>
    </row>
    <row r="2" spans="1:18" ht="15" thickBot="1">
      <c r="A2" s="1221"/>
      <c r="B2" s="1222"/>
      <c r="C2" s="1223" t="s">
        <v>1663</v>
      </c>
      <c r="D2" s="1224"/>
      <c r="E2" s="1225"/>
      <c r="F2" s="1226"/>
      <c r="G2" s="1223" t="s">
        <v>1664</v>
      </c>
      <c r="H2" s="2007"/>
      <c r="I2" s="2007"/>
      <c r="J2" s="2007"/>
      <c r="K2" s="2007"/>
      <c r="L2" s="2007"/>
      <c r="M2" s="2007"/>
      <c r="N2" s="2007"/>
      <c r="O2" s="2007"/>
      <c r="P2" s="2007"/>
      <c r="Q2" s="2007"/>
      <c r="R2" s="2007"/>
    </row>
    <row r="3" spans="1:18" ht="57.6">
      <c r="A3" s="1227" t="s">
        <v>1665</v>
      </c>
      <c r="B3" s="1228" t="s">
        <v>1652</v>
      </c>
      <c r="C3" s="3080" t="s">
        <v>2924</v>
      </c>
      <c r="D3" s="2008"/>
      <c r="E3" s="1229" t="s">
        <v>1665</v>
      </c>
      <c r="F3" s="1230" t="s">
        <v>1653</v>
      </c>
      <c r="G3" s="3084" t="s">
        <v>2923</v>
      </c>
      <c r="H3" s="2007"/>
      <c r="I3" s="2007"/>
      <c r="J3" s="2007"/>
      <c r="K3" s="2007"/>
      <c r="L3" s="2007"/>
      <c r="M3" s="2007"/>
      <c r="N3" s="2007"/>
      <c r="O3" s="2007"/>
      <c r="P3" s="2007"/>
      <c r="Q3" s="2007"/>
      <c r="R3" s="2007"/>
    </row>
    <row r="4" spans="1:18" ht="43.2">
      <c r="A4" s="1229"/>
      <c r="B4" s="1231" t="s">
        <v>1666</v>
      </c>
      <c r="C4" s="3081" t="s">
        <v>2925</v>
      </c>
      <c r="D4" s="2008"/>
      <c r="E4" s="1232"/>
      <c r="F4" s="1233" t="s">
        <v>1667</v>
      </c>
      <c r="G4" s="3082" t="s">
        <v>2920</v>
      </c>
      <c r="H4" s="2007"/>
      <c r="I4" s="2007"/>
      <c r="J4" s="2007"/>
      <c r="K4" s="2007"/>
      <c r="L4" s="2007"/>
      <c r="M4" s="2007"/>
      <c r="N4" s="2007"/>
      <c r="O4" s="2007"/>
      <c r="P4" s="2007"/>
      <c r="Q4" s="2007"/>
      <c r="R4" s="2007"/>
    </row>
    <row r="5" spans="1:18" ht="43.2">
      <c r="A5" s="1229"/>
      <c r="B5" s="1231" t="s">
        <v>1668</v>
      </c>
      <c r="C5" s="3081" t="s">
        <v>2926</v>
      </c>
      <c r="D5" s="2008"/>
      <c r="E5" s="1232"/>
      <c r="F5" s="1231" t="s">
        <v>2547</v>
      </c>
      <c r="G5" s="3082" t="s">
        <v>2921</v>
      </c>
      <c r="H5" s="2007"/>
      <c r="I5" s="2007"/>
      <c r="J5" s="2007"/>
      <c r="K5" s="2007"/>
      <c r="L5" s="2007"/>
      <c r="M5" s="2007"/>
      <c r="N5" s="2007"/>
      <c r="O5" s="2007"/>
      <c r="P5" s="2007"/>
      <c r="Q5" s="2007"/>
      <c r="R5" s="2007"/>
    </row>
    <row r="6" spans="1:18" ht="57.6">
      <c r="A6" s="1229"/>
      <c r="B6" s="1231" t="s">
        <v>1654</v>
      </c>
      <c r="C6" s="3082" t="s">
        <v>2920</v>
      </c>
      <c r="D6" s="2008"/>
      <c r="E6" s="1232"/>
      <c r="F6" s="1231" t="s">
        <v>2548</v>
      </c>
      <c r="G6" s="3082" t="s">
        <v>2918</v>
      </c>
      <c r="H6" s="2007"/>
      <c r="I6" s="2007"/>
      <c r="J6" s="2007"/>
      <c r="K6" s="2007"/>
      <c r="L6" s="2007"/>
      <c r="M6" s="2007"/>
      <c r="N6" s="2007"/>
      <c r="O6" s="2007"/>
      <c r="P6" s="2007"/>
      <c r="Q6" s="2007"/>
      <c r="R6" s="2007"/>
    </row>
    <row r="7" spans="1:18" ht="43.8" thickBot="1">
      <c r="A7" s="1229"/>
      <c r="B7" s="1231" t="s">
        <v>2547</v>
      </c>
      <c r="C7" s="3082" t="s">
        <v>2921</v>
      </c>
      <c r="D7" s="2009"/>
      <c r="E7" s="1234"/>
      <c r="F7" s="1235" t="s">
        <v>1669</v>
      </c>
      <c r="G7" s="3085" t="s">
        <v>2922</v>
      </c>
      <c r="H7" s="2007"/>
      <c r="I7" s="2007"/>
      <c r="J7" s="2007"/>
      <c r="K7" s="2007"/>
      <c r="L7" s="2007"/>
      <c r="M7" s="2007"/>
      <c r="N7" s="2007"/>
      <c r="O7" s="2007"/>
      <c r="P7" s="2007"/>
      <c r="Q7" s="2007"/>
      <c r="R7" s="2007"/>
    </row>
    <row r="8" spans="1:18" ht="28.8">
      <c r="A8" s="1229"/>
      <c r="B8" s="1231" t="s">
        <v>2548</v>
      </c>
      <c r="C8" s="3082" t="s">
        <v>2918</v>
      </c>
      <c r="D8" s="2009"/>
      <c r="E8" s="2009"/>
      <c r="F8" s="1554"/>
      <c r="G8" s="1554"/>
      <c r="H8" s="2007"/>
      <c r="I8" s="2007"/>
      <c r="J8" s="2007"/>
      <c r="K8" s="2007"/>
      <c r="L8" s="2007"/>
      <c r="M8" s="2007"/>
      <c r="N8" s="2007"/>
      <c r="O8" s="2007"/>
      <c r="P8" s="2007"/>
      <c r="Q8" s="2007"/>
      <c r="R8" s="2007"/>
    </row>
    <row r="9" spans="1:18" ht="43.2">
      <c r="A9" s="1229"/>
      <c r="B9" s="1231" t="s">
        <v>1655</v>
      </c>
      <c r="C9" s="3081" t="s">
        <v>2919</v>
      </c>
      <c r="D9" s="2008"/>
      <c r="E9" s="2009"/>
      <c r="F9" s="1554"/>
      <c r="G9" s="1554"/>
      <c r="H9" s="2007"/>
      <c r="I9" s="2007"/>
      <c r="J9" s="2007"/>
      <c r="K9" s="2007"/>
      <c r="L9" s="2007"/>
      <c r="M9" s="2007"/>
      <c r="N9" s="2007"/>
      <c r="O9" s="2007"/>
      <c r="P9" s="2007"/>
      <c r="Q9" s="2007"/>
      <c r="R9" s="2007"/>
    </row>
    <row r="10" spans="1:18" s="2015" customFormat="1" ht="15" thickBot="1">
      <c r="A10" s="1236"/>
      <c r="B10" s="1237" t="s">
        <v>1670</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1671</v>
      </c>
      <c r="B13" s="2577"/>
      <c r="C13" s="2577"/>
      <c r="D13" s="1224"/>
      <c r="E13" s="2577"/>
      <c r="F13" s="2577"/>
      <c r="G13" s="2577"/>
    </row>
    <row r="14" spans="1:18" ht="15" thickBot="1">
      <c r="A14" s="1238"/>
      <c r="B14" s="1239"/>
      <c r="C14" s="1240" t="s">
        <v>1663</v>
      </c>
      <c r="D14" s="2008"/>
      <c r="E14" s="1241"/>
      <c r="F14" s="1241"/>
      <c r="G14" s="1223" t="s">
        <v>1664</v>
      </c>
    </row>
    <row r="15" spans="1:18" ht="57.6">
      <c r="A15" s="2587" t="s">
        <v>1656</v>
      </c>
      <c r="B15" s="1242" t="s">
        <v>1652</v>
      </c>
      <c r="C15" s="1243" t="str">
        <f>C3</f>
        <v>估价对象周边居住用地比例、居住小区规模和社区发展完善程度，综合评价居住社区成熟度一般</v>
      </c>
      <c r="D15" s="2008"/>
      <c r="E15" s="2584" t="s">
        <v>1657</v>
      </c>
      <c r="F15" s="1242" t="s">
        <v>1672</v>
      </c>
      <c r="G15" s="1244" t="str">
        <f>G3</f>
        <v>估价对象位于XX开发区，园区建设成熟度XX，产业集聚程度XX</v>
      </c>
    </row>
    <row r="16" spans="1:18" ht="43.2">
      <c r="A16" s="2588"/>
      <c r="B16" s="1245" t="s">
        <v>1666</v>
      </c>
      <c r="C16" s="1246" t="str">
        <f>C4</f>
        <v>估价对象位于XX商圈，周边商业氛围成熟，人流量大，商业繁华度好</v>
      </c>
      <c r="D16" s="2008"/>
      <c r="E16" s="2585"/>
      <c r="F16" s="1247" t="s">
        <v>1667</v>
      </c>
      <c r="G16" s="1005" t="str">
        <f>G4</f>
        <v>估价对象周边道路状况、公共交通通达情况、停车便捷程度，综合评价交通便捷度较好</v>
      </c>
    </row>
    <row r="17" spans="1:7" ht="43.2">
      <c r="A17" s="2588"/>
      <c r="B17" s="1245" t="s">
        <v>1668</v>
      </c>
      <c r="C17" s="1246" t="str">
        <f>C5</f>
        <v>估价对象位于XX商圈，周边办公楼项目较多，入驻率高，办公集聚程度较好</v>
      </c>
      <c r="D17" s="2009"/>
      <c r="E17" s="2585"/>
      <c r="F17" s="1247" t="s">
        <v>1673</v>
      </c>
      <c r="G17" s="2793"/>
    </row>
    <row r="18" spans="1:7" ht="57.6">
      <c r="A18" s="2588"/>
      <c r="B18" s="1247" t="s">
        <v>1654</v>
      </c>
      <c r="C18" s="1005" t="str">
        <f>C6</f>
        <v>估价对象周边道路状况、公共交通通达情况、停车便捷程度，综合评价交通便捷度较好</v>
      </c>
      <c r="D18" s="2009"/>
      <c r="E18" s="2585"/>
      <c r="F18" s="1247" t="s">
        <v>1669</v>
      </c>
      <c r="G18" s="1005" t="str">
        <f>G7</f>
        <v>该园区内是否有污染型企业，绿化情况，卫生条件，整体环境状况判断</v>
      </c>
    </row>
    <row r="19" spans="1:7" ht="28.8">
      <c r="A19" s="2588"/>
      <c r="B19" s="1247" t="s">
        <v>1658</v>
      </c>
      <c r="C19" s="2793"/>
      <c r="D19" s="2008"/>
      <c r="E19" s="2585"/>
      <c r="F19" s="1231" t="s">
        <v>2547</v>
      </c>
      <c r="G19" s="1005" t="str">
        <f>G5</f>
        <v>估价对象所在区域公共配套设施齐备情况</v>
      </c>
    </row>
    <row r="20" spans="1:7" ht="43.2">
      <c r="A20" s="2588"/>
      <c r="B20" s="1247" t="s">
        <v>1659</v>
      </c>
      <c r="C20" s="1246" t="str">
        <f>C9</f>
        <v>区域自然环境：；人文环境；综合评价环境状况一般</v>
      </c>
      <c r="D20" s="2009"/>
      <c r="E20" s="2585"/>
      <c r="F20" s="1231" t="s">
        <v>2548</v>
      </c>
      <c r="G20" s="1005" t="str">
        <f>G6</f>
        <v>估价对象所在区域基础设施水平</v>
      </c>
    </row>
    <row r="21" spans="1:7" ht="28.8">
      <c r="A21" s="2588"/>
      <c r="B21" s="1231" t="s">
        <v>2547</v>
      </c>
      <c r="C21" s="1005" t="str">
        <f>C7</f>
        <v>估价对象所在区域公共配套设施齐备情况</v>
      </c>
      <c r="D21" s="2008"/>
      <c r="E21" s="2585"/>
      <c r="F21" s="1247" t="s">
        <v>1660</v>
      </c>
      <c r="G21" s="3086"/>
    </row>
    <row r="22" spans="1:7" ht="28.8">
      <c r="A22" s="2588"/>
      <c r="B22" s="1231" t="s">
        <v>2548</v>
      </c>
      <c r="C22" s="1005" t="str">
        <f>C8</f>
        <v>估价对象所在区域基础设施水平</v>
      </c>
      <c r="D22" s="2008"/>
      <c r="E22" s="2585"/>
      <c r="F22" s="1247" t="s">
        <v>1670</v>
      </c>
      <c r="G22" s="2793"/>
    </row>
    <row r="23" spans="1:7" ht="15" thickBot="1">
      <c r="A23" s="2588"/>
      <c r="B23" s="1247" t="s">
        <v>1660</v>
      </c>
      <c r="C23" s="3086"/>
      <c r="E23" s="2586"/>
      <c r="F23" s="1248" t="s">
        <v>1674</v>
      </c>
      <c r="G23" s="3087"/>
    </row>
    <row r="24" spans="1:7" ht="15" thickBot="1">
      <c r="A24" s="2589"/>
      <c r="B24" s="1248" t="s">
        <v>1661</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8" sqref="F28"/>
    </sheetView>
  </sheetViews>
  <sheetFormatPr defaultColWidth="14.6640625" defaultRowHeight="14.4"/>
  <cols>
    <col min="1" max="1" width="24.33203125" customWidth="1"/>
  </cols>
  <sheetData>
    <row r="1" spans="1:9" ht="15.6">
      <c r="A1" s="3044" t="s">
        <v>2845</v>
      </c>
      <c r="B1" s="3044">
        <f>SUM(B14:B23)</f>
        <v>42003.000000000007</v>
      </c>
      <c r="C1" s="3045"/>
      <c r="D1" s="3045"/>
      <c r="E1" s="3045"/>
      <c r="F1" s="3045"/>
    </row>
    <row r="2" spans="1:9" ht="15.6">
      <c r="A2" s="3044" t="s">
        <v>2846</v>
      </c>
      <c r="B2" s="3044">
        <f>SUM(C14:C23)</f>
        <v>13984.89</v>
      </c>
      <c r="C2" s="3045"/>
      <c r="D2" s="3045"/>
      <c r="E2" s="3045"/>
      <c r="F2" s="3045"/>
    </row>
    <row r="3" spans="1:9" ht="15.6">
      <c r="A3" s="3044" t="s">
        <v>2847</v>
      </c>
      <c r="B3" s="3046">
        <f>项目基本情况!D3</f>
        <v>43780</v>
      </c>
      <c r="C3" s="3045"/>
      <c r="D3" s="3045"/>
      <c r="E3" s="3045"/>
      <c r="F3" s="3045"/>
    </row>
    <row r="4" spans="1:9" ht="31.2">
      <c r="A4" s="3044" t="s">
        <v>2848</v>
      </c>
      <c r="B4" s="3044" t="s">
        <v>2849</v>
      </c>
      <c r="C4" s="3044" t="s">
        <v>2850</v>
      </c>
      <c r="D4" s="3044" t="s">
        <v>2851</v>
      </c>
      <c r="E4" s="3045"/>
      <c r="F4" s="3045"/>
    </row>
    <row r="5" spans="1:9" ht="15.6">
      <c r="A5" s="3044" t="s">
        <v>2852</v>
      </c>
      <c r="B5" s="3044">
        <f ca="1">SUM(D14:D23)</f>
        <v>10795</v>
      </c>
      <c r="C5" s="3044">
        <f ca="1">ROUND(B5*10000/$B$1,0)</f>
        <v>2570</v>
      </c>
      <c r="D5" s="3044">
        <f ca="1">ROUND(B5*10000/$B$2,0)</f>
        <v>7719</v>
      </c>
      <c r="E5" s="3045"/>
      <c r="F5" s="3045"/>
    </row>
    <row r="6" spans="1:9" ht="15.6">
      <c r="A6" s="3044" t="s">
        <v>2853</v>
      </c>
      <c r="B6" s="3044">
        <f>SUM(G14:G23)</f>
        <v>0</v>
      </c>
      <c r="C6" s="3044">
        <f t="shared" ref="C6:C8" si="0">ROUND(B6*10000/$B$1,0)</f>
        <v>0</v>
      </c>
      <c r="D6" s="3044">
        <f t="shared" ref="D6:D8" si="1">ROUND(B6*10000/$B$2,0)</f>
        <v>0</v>
      </c>
      <c r="E6" s="3045"/>
      <c r="F6" s="3045"/>
    </row>
    <row r="7" spans="1:9" ht="15.6">
      <c r="A7" s="3044" t="s">
        <v>2854</v>
      </c>
      <c r="B7" s="3044">
        <f ca="1">SUM(H14:H23)</f>
        <v>10795</v>
      </c>
      <c r="C7" s="3044">
        <f t="shared" ca="1" si="0"/>
        <v>2570</v>
      </c>
      <c r="D7" s="3044">
        <f t="shared" ca="1" si="1"/>
        <v>7719</v>
      </c>
      <c r="E7" s="3045"/>
      <c r="F7" s="3045"/>
    </row>
    <row r="8" spans="1:9" ht="15.6">
      <c r="A8" s="3044" t="s">
        <v>2855</v>
      </c>
      <c r="B8" s="3044">
        <f>SUM(I14:I23)</f>
        <v>0</v>
      </c>
      <c r="C8" s="3044">
        <f t="shared" si="0"/>
        <v>0</v>
      </c>
      <c r="D8" s="3044">
        <f t="shared" si="1"/>
        <v>0</v>
      </c>
      <c r="E8" s="3045"/>
      <c r="F8" s="3045"/>
    </row>
    <row r="9" spans="1:9" ht="15.6">
      <c r="A9" s="3044" t="s">
        <v>2856</v>
      </c>
      <c r="B9" s="3047"/>
      <c r="C9" s="3045"/>
      <c r="D9" s="3045"/>
      <c r="E9" s="3045"/>
      <c r="F9" s="3045"/>
    </row>
    <row r="10" spans="1:9" ht="15.6">
      <c r="A10" s="3044" t="s">
        <v>2857</v>
      </c>
      <c r="B10" s="3047"/>
      <c r="C10" s="3045"/>
      <c r="D10" s="3045"/>
      <c r="E10" s="3045"/>
      <c r="F10" s="3045"/>
    </row>
    <row r="11" spans="1:9" ht="15.6">
      <c r="A11" s="3044" t="s">
        <v>2874</v>
      </c>
      <c r="B11" s="3047"/>
      <c r="C11" s="3045"/>
      <c r="D11" s="3045"/>
      <c r="E11" s="3045"/>
      <c r="F11" s="3045"/>
    </row>
    <row r="12" spans="1:9" ht="15.6">
      <c r="A12" s="3045"/>
      <c r="B12" s="3045"/>
      <c r="C12" s="3045"/>
      <c r="D12" s="3045"/>
      <c r="E12" s="3045"/>
      <c r="F12" s="3045"/>
    </row>
    <row r="13" spans="1:9" ht="31.2">
      <c r="A13" s="3050" t="s">
        <v>2873</v>
      </c>
      <c r="B13" s="3048" t="s">
        <v>2845</v>
      </c>
      <c r="C13" s="3048" t="s">
        <v>2846</v>
      </c>
      <c r="D13" s="3048" t="s">
        <v>2858</v>
      </c>
      <c r="E13" s="3044" t="s">
        <v>2872</v>
      </c>
      <c r="F13" s="3044" t="s">
        <v>2851</v>
      </c>
      <c r="G13" s="3048" t="s">
        <v>2859</v>
      </c>
      <c r="H13" s="3048" t="s">
        <v>2860</v>
      </c>
      <c r="I13" s="3048" t="s">
        <v>2861</v>
      </c>
    </row>
    <row r="14" spans="1:9" ht="15.6">
      <c r="A14" s="3051" t="s">
        <v>2871</v>
      </c>
      <c r="B14" s="3048">
        <f>结果表!L38</f>
        <v>42003.000000000007</v>
      </c>
      <c r="C14" s="3048">
        <f>结果表!K38</f>
        <v>13984.89</v>
      </c>
      <c r="D14" s="3048">
        <f ca="1">结果表!C42</f>
        <v>10795</v>
      </c>
      <c r="E14" s="3048">
        <f ca="1">ROUND(D14*10000/B14,0)</f>
        <v>2570</v>
      </c>
      <c r="F14" s="3048">
        <f ca="1">ROUND(D14*10000/C14,0)</f>
        <v>7719</v>
      </c>
      <c r="G14" s="3048" t="str">
        <f>结果表!C44</f>
        <v>——</v>
      </c>
      <c r="H14" s="3048">
        <f ca="1">结果表!C45</f>
        <v>10795</v>
      </c>
      <c r="I14" s="3048" t="str">
        <f>结果表!C46</f>
        <v>——</v>
      </c>
    </row>
    <row r="15" spans="1:9" ht="15.6">
      <c r="A15" s="3051" t="s">
        <v>2862</v>
      </c>
      <c r="B15" s="3052"/>
      <c r="C15" s="3052"/>
      <c r="D15" s="3052"/>
      <c r="E15" s="3048" t="e">
        <f t="shared" ref="E15:E23" si="2">ROUND(D15*10000/B15,0)</f>
        <v>#DIV/0!</v>
      </c>
      <c r="F15" s="3048" t="e">
        <f t="shared" ref="F15:F23" si="3">ROUND(D15*10000/C15,0)</f>
        <v>#DIV/0!</v>
      </c>
      <c r="G15" s="3049"/>
      <c r="H15" s="3049"/>
      <c r="I15" s="3052"/>
    </row>
    <row r="16" spans="1:9" ht="15.6">
      <c r="A16" s="3051" t="s">
        <v>2863</v>
      </c>
      <c r="B16" s="3052"/>
      <c r="C16" s="3052"/>
      <c r="D16" s="3052"/>
      <c r="E16" s="3048" t="e">
        <f t="shared" si="2"/>
        <v>#DIV/0!</v>
      </c>
      <c r="F16" s="3048" t="e">
        <f t="shared" si="3"/>
        <v>#DIV/0!</v>
      </c>
      <c r="G16" s="3049"/>
      <c r="H16" s="3049"/>
      <c r="I16" s="3052"/>
    </row>
    <row r="17" spans="1:9" ht="15.6">
      <c r="A17" s="3051" t="s">
        <v>2864</v>
      </c>
      <c r="B17" s="3052"/>
      <c r="C17" s="3052"/>
      <c r="D17" s="3052"/>
      <c r="E17" s="3048" t="e">
        <f t="shared" si="2"/>
        <v>#DIV/0!</v>
      </c>
      <c r="F17" s="3048" t="e">
        <f t="shared" si="3"/>
        <v>#DIV/0!</v>
      </c>
      <c r="G17" s="3049"/>
      <c r="H17" s="3049"/>
      <c r="I17" s="3052"/>
    </row>
    <row r="18" spans="1:9" ht="15.6">
      <c r="A18" s="3051" t="s">
        <v>2865</v>
      </c>
      <c r="B18" s="3052"/>
      <c r="C18" s="3052"/>
      <c r="D18" s="3052"/>
      <c r="E18" s="3048" t="e">
        <f t="shared" si="2"/>
        <v>#DIV/0!</v>
      </c>
      <c r="F18" s="3048" t="e">
        <f t="shared" si="3"/>
        <v>#DIV/0!</v>
      </c>
      <c r="G18" s="3052"/>
      <c r="H18" s="3052"/>
      <c r="I18" s="3052"/>
    </row>
    <row r="19" spans="1:9" ht="15.6">
      <c r="A19" s="3051" t="s">
        <v>2866</v>
      </c>
      <c r="B19" s="3052"/>
      <c r="C19" s="3052"/>
      <c r="D19" s="3052"/>
      <c r="E19" s="3048" t="e">
        <f t="shared" si="2"/>
        <v>#DIV/0!</v>
      </c>
      <c r="F19" s="3048" t="e">
        <f t="shared" si="3"/>
        <v>#DIV/0!</v>
      </c>
      <c r="G19" s="3052"/>
      <c r="H19" s="3052"/>
      <c r="I19" s="3052"/>
    </row>
    <row r="20" spans="1:9" ht="15.6">
      <c r="A20" s="3051" t="s">
        <v>2867</v>
      </c>
      <c r="B20" s="3052"/>
      <c r="C20" s="3052"/>
      <c r="D20" s="3052"/>
      <c r="E20" s="3048" t="e">
        <f t="shared" si="2"/>
        <v>#DIV/0!</v>
      </c>
      <c r="F20" s="3048" t="e">
        <f t="shared" si="3"/>
        <v>#DIV/0!</v>
      </c>
      <c r="G20" s="3052"/>
      <c r="H20" s="3052"/>
      <c r="I20" s="3052"/>
    </row>
    <row r="21" spans="1:9" ht="15.6">
      <c r="A21" s="3051" t="s">
        <v>2868</v>
      </c>
      <c r="B21" s="3052"/>
      <c r="C21" s="3052"/>
      <c r="D21" s="3052"/>
      <c r="E21" s="3048" t="e">
        <f t="shared" si="2"/>
        <v>#DIV/0!</v>
      </c>
      <c r="F21" s="3048" t="e">
        <f t="shared" si="3"/>
        <v>#DIV/0!</v>
      </c>
      <c r="G21" s="3052"/>
      <c r="H21" s="3052"/>
      <c r="I21" s="3052"/>
    </row>
    <row r="22" spans="1:9" ht="15.6">
      <c r="A22" s="3051" t="s">
        <v>2869</v>
      </c>
      <c r="B22" s="3052"/>
      <c r="C22" s="3052"/>
      <c r="D22" s="3052"/>
      <c r="E22" s="3048" t="e">
        <f t="shared" si="2"/>
        <v>#DIV/0!</v>
      </c>
      <c r="F22" s="3048" t="e">
        <f t="shared" si="3"/>
        <v>#DIV/0!</v>
      </c>
      <c r="G22" s="3052"/>
      <c r="H22" s="3052"/>
      <c r="I22" s="3052"/>
    </row>
    <row r="23" spans="1:9" ht="15.6">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0" zoomScale="96" zoomScaleSheetLayoutView="96" zoomScalePageLayoutView="80" workbookViewId="0">
      <selection activeCell="F27" sqref="F27"/>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7" t="s">
        <v>2056</v>
      </c>
      <c r="B1" s="1778"/>
      <c r="C1" s="1806" t="s">
        <v>2057</v>
      </c>
      <c r="D1" s="1807"/>
      <c r="E1" s="1806" t="s">
        <v>2058</v>
      </c>
      <c r="F1" s="1808"/>
      <c r="G1" s="311"/>
      <c r="H1" s="311"/>
      <c r="I1" s="311"/>
      <c r="J1" s="2028"/>
      <c r="K1" s="2028"/>
      <c r="L1" s="2028"/>
      <c r="M1" s="2028"/>
      <c r="N1" s="2028"/>
      <c r="O1" s="2028"/>
      <c r="P1" s="2028"/>
      <c r="Q1" s="2028"/>
      <c r="R1" s="2028"/>
      <c r="S1" s="2028"/>
      <c r="T1" s="2028"/>
      <c r="U1" s="2028"/>
      <c r="V1" s="2028"/>
    </row>
    <row r="2" spans="1:22" ht="21.75" customHeight="1" thickBot="1">
      <c r="A2" s="3346" t="str">
        <f>项目基本情况!K2</f>
        <v>贵州省普定县穿洞街道金马新村出让国有建设用地使用权</v>
      </c>
      <c r="B2" s="3347"/>
      <c r="C2" s="3348"/>
      <c r="D2" s="3348"/>
      <c r="E2" s="3348"/>
      <c r="F2" s="3348"/>
      <c r="G2" s="3347"/>
      <c r="H2" s="3347"/>
      <c r="I2" s="3349"/>
      <c r="J2" s="2029"/>
      <c r="K2" s="2028"/>
      <c r="L2" s="2028"/>
      <c r="M2" s="2028"/>
      <c r="N2" s="2028"/>
      <c r="O2" s="2028"/>
      <c r="P2" s="2028"/>
      <c r="Q2" s="2028"/>
      <c r="R2" s="2028"/>
      <c r="S2" s="2028"/>
      <c r="T2" s="2028"/>
      <c r="U2" s="2028"/>
      <c r="V2" s="2028"/>
    </row>
    <row r="3" spans="1:22" ht="13.8">
      <c r="A3" s="3357" t="s">
        <v>298</v>
      </c>
      <c r="B3" s="3358"/>
      <c r="C3" s="3358"/>
      <c r="D3" s="3358"/>
      <c r="E3" s="3358"/>
      <c r="F3" s="3358"/>
      <c r="G3" s="3358"/>
      <c r="H3" s="3358"/>
      <c r="I3" s="3358"/>
      <c r="J3" s="2029"/>
      <c r="K3" s="2028"/>
      <c r="L3" s="2028"/>
      <c r="M3" s="2028"/>
      <c r="N3" s="2028"/>
      <c r="O3" s="2028"/>
      <c r="P3" s="2028"/>
      <c r="Q3" s="2028"/>
      <c r="R3" s="2028"/>
      <c r="S3" s="2028"/>
      <c r="T3" s="2028"/>
      <c r="U3" s="2028"/>
      <c r="V3" s="2028"/>
    </row>
    <row r="4" spans="1:22" ht="14.4">
      <c r="A4" s="258" t="s">
        <v>299</v>
      </c>
      <c r="B4" s="259" t="s">
        <v>300</v>
      </c>
      <c r="C4" s="260" t="s">
        <v>2988</v>
      </c>
      <c r="D4" s="260" t="s">
        <v>2989</v>
      </c>
      <c r="E4" s="3321" t="s">
        <v>301</v>
      </c>
      <c r="F4" s="3363"/>
      <c r="G4" s="3363"/>
      <c r="H4" s="3363"/>
      <c r="I4" s="332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50" t="s">
        <v>302</v>
      </c>
      <c r="B5" s="3351">
        <v>25</v>
      </c>
      <c r="C5" s="3359"/>
      <c r="D5" s="3362"/>
      <c r="E5" s="261" t="s">
        <v>303</v>
      </c>
      <c r="F5" s="262"/>
      <c r="G5" s="262"/>
      <c r="H5" s="262"/>
      <c r="I5" s="263"/>
      <c r="J5" s="2029"/>
      <c r="K5" s="2028"/>
      <c r="L5" s="2028"/>
      <c r="M5" s="2028"/>
      <c r="N5" s="2028"/>
      <c r="O5" s="2028"/>
      <c r="P5" s="2028"/>
      <c r="Q5" s="2028"/>
      <c r="R5" s="2028"/>
      <c r="S5" s="2028"/>
      <c r="T5" s="2028"/>
      <c r="U5" s="2028"/>
      <c r="V5" s="2028"/>
    </row>
    <row r="6" spans="1:22" ht="13.8">
      <c r="A6" s="3350"/>
      <c r="B6" s="3351"/>
      <c r="C6" s="3360"/>
      <c r="D6" s="3362"/>
      <c r="E6" s="261" t="s">
        <v>304</v>
      </c>
      <c r="F6" s="262"/>
      <c r="G6" s="262"/>
      <c r="H6" s="262"/>
      <c r="I6" s="263"/>
      <c r="J6" s="2029"/>
      <c r="K6" s="2028"/>
      <c r="L6" s="2028"/>
      <c r="M6" s="2028"/>
      <c r="N6" s="2028"/>
      <c r="O6" s="2028"/>
      <c r="P6" s="2028"/>
      <c r="Q6" s="2028"/>
      <c r="R6" s="2028"/>
      <c r="S6" s="2028"/>
      <c r="T6" s="2028"/>
      <c r="U6" s="2028"/>
      <c r="V6" s="2028"/>
    </row>
    <row r="7" spans="1:22" ht="13.8">
      <c r="A7" s="3350"/>
      <c r="B7" s="3351"/>
      <c r="C7" s="3361"/>
      <c r="D7" s="3362"/>
      <c r="E7" s="261" t="s">
        <v>305</v>
      </c>
      <c r="F7" s="262"/>
      <c r="G7" s="262"/>
      <c r="H7" s="262"/>
      <c r="I7" s="263"/>
      <c r="J7" s="2029"/>
      <c r="K7" s="2028"/>
      <c r="L7" s="2028"/>
      <c r="M7" s="2028"/>
      <c r="N7" s="2028"/>
      <c r="O7" s="2028"/>
      <c r="P7" s="2028"/>
      <c r="Q7" s="2028"/>
      <c r="R7" s="2028"/>
      <c r="S7" s="2028"/>
      <c r="T7" s="2028"/>
      <c r="U7" s="2028"/>
      <c r="V7" s="2028"/>
    </row>
    <row r="8" spans="1:22" ht="13.8">
      <c r="A8" s="3350" t="s">
        <v>306</v>
      </c>
      <c r="B8" s="3351">
        <v>15</v>
      </c>
      <c r="C8" s="3359"/>
      <c r="D8" s="3362"/>
      <c r="E8" s="261" t="s">
        <v>307</v>
      </c>
      <c r="F8" s="262"/>
      <c r="G8" s="262"/>
      <c r="H8" s="262"/>
      <c r="I8" s="263"/>
      <c r="J8" s="2029"/>
      <c r="K8" s="2028"/>
      <c r="L8" s="2028"/>
      <c r="M8" s="2028"/>
      <c r="N8" s="2028"/>
      <c r="O8" s="2028"/>
      <c r="P8" s="2028"/>
      <c r="Q8" s="2028"/>
      <c r="R8" s="2028"/>
      <c r="S8" s="2028"/>
      <c r="T8" s="2028"/>
      <c r="U8" s="2028"/>
      <c r="V8" s="2028"/>
    </row>
    <row r="9" spans="1:22" ht="13.8">
      <c r="A9" s="3350"/>
      <c r="B9" s="3351"/>
      <c r="C9" s="3361"/>
      <c r="D9" s="3362"/>
      <c r="E9" s="261" t="s">
        <v>308</v>
      </c>
      <c r="F9" s="262"/>
      <c r="G9" s="262"/>
      <c r="H9" s="262"/>
      <c r="I9" s="263"/>
      <c r="J9" s="2029"/>
      <c r="K9" s="2028"/>
      <c r="L9" s="2028"/>
      <c r="M9" s="2028"/>
      <c r="N9" s="2028"/>
      <c r="O9" s="2028"/>
      <c r="P9" s="2028"/>
      <c r="Q9" s="2028"/>
      <c r="R9" s="2028"/>
      <c r="S9" s="2028"/>
      <c r="T9" s="2028"/>
      <c r="U9" s="2028"/>
      <c r="V9" s="2028"/>
    </row>
    <row r="10" spans="1:22" ht="13.8">
      <c r="A10" s="3350" t="s">
        <v>309</v>
      </c>
      <c r="B10" s="3351">
        <v>15</v>
      </c>
      <c r="C10" s="3359"/>
      <c r="D10" s="3362"/>
      <c r="E10" s="261" t="s">
        <v>310</v>
      </c>
      <c r="F10" s="262"/>
      <c r="G10" s="262"/>
      <c r="H10" s="262"/>
      <c r="I10" s="263"/>
      <c r="J10" s="2029"/>
      <c r="K10" s="2028"/>
      <c r="L10" s="2028"/>
      <c r="M10" s="2028"/>
      <c r="N10" s="2028"/>
      <c r="O10" s="2028"/>
      <c r="P10" s="2028"/>
      <c r="Q10" s="2028"/>
      <c r="R10" s="2028"/>
      <c r="S10" s="2028"/>
      <c r="T10" s="2028"/>
      <c r="U10" s="2028"/>
      <c r="V10" s="2028"/>
    </row>
    <row r="11" spans="1:22" ht="13.8">
      <c r="A11" s="3350"/>
      <c r="B11" s="3351"/>
      <c r="C11" s="3361"/>
      <c r="D11" s="3362"/>
      <c r="E11" s="261" t="s">
        <v>311</v>
      </c>
      <c r="F11" s="262"/>
      <c r="G11" s="262"/>
      <c r="H11" s="262"/>
      <c r="I11" s="263"/>
      <c r="J11" s="2029"/>
      <c r="K11" s="2028"/>
      <c r="L11" s="2028"/>
      <c r="M11" s="2028"/>
      <c r="N11" s="2028"/>
      <c r="O11" s="2028"/>
      <c r="P11" s="2028"/>
      <c r="Q11" s="2028"/>
      <c r="R11" s="2028"/>
      <c r="S11" s="2028"/>
      <c r="T11" s="2028"/>
      <c r="U11" s="2028"/>
      <c r="V11" s="2028"/>
    </row>
    <row r="12" spans="1:22" ht="13.8">
      <c r="A12" s="3350" t="s">
        <v>312</v>
      </c>
      <c r="B12" s="3351">
        <v>15</v>
      </c>
      <c r="C12" s="3359"/>
      <c r="D12" s="3362"/>
      <c r="E12" s="261" t="s">
        <v>313</v>
      </c>
      <c r="F12" s="262"/>
      <c r="G12" s="262"/>
      <c r="H12" s="262"/>
      <c r="I12" s="263"/>
      <c r="J12" s="2029"/>
      <c r="K12" s="2028"/>
      <c r="L12" s="2028"/>
      <c r="M12" s="2028"/>
      <c r="N12" s="2028"/>
      <c r="O12" s="2028"/>
      <c r="P12" s="2028"/>
      <c r="Q12" s="2028"/>
      <c r="R12" s="2028"/>
      <c r="S12" s="2028"/>
      <c r="T12" s="2028"/>
      <c r="U12" s="2028"/>
      <c r="V12" s="2028"/>
    </row>
    <row r="13" spans="1:22" ht="13.8">
      <c r="A13" s="3350"/>
      <c r="B13" s="3351"/>
      <c r="C13" s="3361"/>
      <c r="D13" s="3362"/>
      <c r="E13" s="261" t="s">
        <v>314</v>
      </c>
      <c r="F13" s="262"/>
      <c r="G13" s="262"/>
      <c r="H13" s="262"/>
      <c r="I13" s="263"/>
      <c r="J13" s="2029"/>
      <c r="K13" s="2028"/>
      <c r="L13" s="2028"/>
      <c r="M13" s="2028"/>
      <c r="N13" s="2028"/>
      <c r="O13" s="2028"/>
      <c r="P13" s="2028"/>
      <c r="Q13" s="2028"/>
      <c r="R13" s="2028"/>
      <c r="S13" s="2028"/>
      <c r="T13" s="2028"/>
      <c r="U13" s="2028"/>
      <c r="V13" s="2028"/>
    </row>
    <row r="14" spans="1:22" ht="13.8">
      <c r="A14" s="3350" t="s">
        <v>315</v>
      </c>
      <c r="B14" s="3351">
        <v>30</v>
      </c>
      <c r="C14" s="3359">
        <v>50</v>
      </c>
      <c r="D14" s="3362">
        <v>50</v>
      </c>
      <c r="E14" s="261" t="s">
        <v>316</v>
      </c>
      <c r="F14" s="262"/>
      <c r="G14" s="262"/>
      <c r="H14" s="262"/>
      <c r="I14" s="263"/>
      <c r="J14" s="2029"/>
      <c r="K14" s="2028"/>
      <c r="L14" s="2028"/>
      <c r="M14" s="2028"/>
      <c r="N14" s="2028"/>
      <c r="O14" s="2028"/>
      <c r="P14" s="2028"/>
      <c r="Q14" s="2028"/>
      <c r="R14" s="2028"/>
      <c r="S14" s="2028"/>
      <c r="T14" s="2028"/>
      <c r="U14" s="2028"/>
      <c r="V14" s="2028"/>
    </row>
    <row r="15" spans="1:22" ht="13.8">
      <c r="A15" s="3350"/>
      <c r="B15" s="3351"/>
      <c r="C15" s="3360"/>
      <c r="D15" s="3362"/>
      <c r="E15" s="261" t="s">
        <v>317</v>
      </c>
      <c r="F15" s="262"/>
      <c r="G15" s="262"/>
      <c r="H15" s="262"/>
      <c r="I15" s="263"/>
      <c r="J15" s="2029"/>
      <c r="K15" s="2028"/>
      <c r="L15" s="2028"/>
      <c r="M15" s="2028"/>
      <c r="N15" s="2028"/>
      <c r="O15" s="2028"/>
      <c r="P15" s="2028"/>
      <c r="Q15" s="2028"/>
      <c r="R15" s="2028"/>
      <c r="S15" s="2028"/>
      <c r="T15" s="2028"/>
      <c r="U15" s="2028"/>
      <c r="V15" s="2028"/>
    </row>
    <row r="16" spans="1:22" ht="13.8">
      <c r="A16" s="3350"/>
      <c r="B16" s="3351"/>
      <c r="C16" s="3361"/>
      <c r="D16" s="3362"/>
      <c r="E16" s="261" t="s">
        <v>318</v>
      </c>
      <c r="F16" s="262"/>
      <c r="G16" s="262"/>
      <c r="H16" s="262"/>
      <c r="I16" s="263"/>
      <c r="J16" s="2029"/>
      <c r="K16" s="2028"/>
      <c r="L16" s="2028"/>
      <c r="M16" s="2028"/>
      <c r="N16" s="2028"/>
      <c r="O16" s="2028"/>
      <c r="P16" s="2028"/>
      <c r="Q16" s="2028"/>
      <c r="R16" s="2028"/>
      <c r="S16" s="2028"/>
      <c r="T16" s="2028"/>
      <c r="U16" s="2028"/>
      <c r="V16" s="2028"/>
    </row>
    <row r="17" spans="1:26" ht="14.4">
      <c r="A17" s="264" t="s">
        <v>319</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321</v>
      </c>
      <c r="B19" s="269" t="s">
        <v>322</v>
      </c>
      <c r="C19" s="270">
        <f ca="1">SUMIF(INDIRECT("'"&amp;C4&amp;"'"&amp;"!A:A"),结果表!B19,INDIRECT("'"&amp;C4&amp;"'"&amp;"!B:B"))</f>
        <v>11962</v>
      </c>
      <c r="D19" s="271">
        <f ca="1">SUMIF(INDIRECT("'"&amp;D4&amp;"'"&amp;"!A:A"),结果表!B19,INDIRECT("'"&amp;D4&amp;"'"&amp;"!B:B"))</f>
        <v>9768</v>
      </c>
      <c r="E19" s="268" t="s">
        <v>323</v>
      </c>
      <c r="F19" s="269" t="s">
        <v>322</v>
      </c>
      <c r="G19" s="272">
        <f ca="1">ROUND(C19*$C$18+D19*$D$18,0)</f>
        <v>10865</v>
      </c>
      <c r="H19" s="273" t="s">
        <v>324</v>
      </c>
      <c r="I19" s="311"/>
      <c r="J19" s="2028"/>
      <c r="K19" s="2028"/>
      <c r="L19" s="2028"/>
      <c r="M19" s="2028"/>
      <c r="N19" s="2028"/>
      <c r="O19" s="2028"/>
      <c r="P19" s="2028"/>
      <c r="Q19" s="2028"/>
      <c r="R19" s="2028"/>
      <c r="S19" s="2028"/>
      <c r="T19" s="2028"/>
      <c r="U19" s="2028"/>
      <c r="V19" s="2028"/>
    </row>
    <row r="20" spans="1:26" ht="14.4">
      <c r="A20" s="274"/>
      <c r="B20" s="275" t="s">
        <v>325</v>
      </c>
      <c r="C20" s="276">
        <f ca="1">SUMIF(INDIRECT("'"&amp;C4&amp;"'"&amp;"!A:A"),结果表!B20,INDIRECT("'"&amp;C4&amp;"'"&amp;"!B:B"))</f>
        <v>2848</v>
      </c>
      <c r="D20" s="277">
        <f ca="1">SUMIF(INDIRECT("'"&amp;D4&amp;"'"&amp;"!A:A"),结果表!B20,INDIRECT("'"&amp;D4&amp;"'"&amp;"!B:B"))</f>
        <v>2326</v>
      </c>
      <c r="E20" s="274"/>
      <c r="F20" s="275" t="s">
        <v>325</v>
      </c>
      <c r="G20" s="278">
        <f ca="1">ROUND(C20*$C$18+D20*$D$18,0)</f>
        <v>2587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8554</v>
      </c>
      <c r="D21" s="151">
        <f ca="1">SUMIF(INDIRECT("'"&amp;D4&amp;"'"&amp;"!A:A"),结果表!B21,INDIRECT("'"&amp;D4&amp;"'"&amp;"!B:B"))</f>
        <v>6985</v>
      </c>
      <c r="E21" s="274"/>
      <c r="F21" s="280" t="s">
        <v>327</v>
      </c>
      <c r="G21" s="282">
        <f ca="1">ROUND(C21*$C$18+D21*$D$18,0)</f>
        <v>7770</v>
      </c>
      <c r="H21" s="1251" t="s">
        <v>326</v>
      </c>
      <c r="I21" s="311"/>
      <c r="J21" s="2028"/>
      <c r="K21" s="2028"/>
      <c r="L21" s="2028"/>
      <c r="M21" s="2028"/>
      <c r="N21" s="2028"/>
      <c r="O21" s="2028"/>
      <c r="P21" s="2028"/>
      <c r="Q21" s="2028"/>
      <c r="R21" s="2028"/>
      <c r="S21" s="2028"/>
      <c r="T21" s="2028"/>
      <c r="U21" s="2028"/>
      <c r="V21" s="2028"/>
    </row>
    <row r="22" spans="1:26" ht="15" thickBot="1">
      <c r="A22" s="126" t="s">
        <v>328</v>
      </c>
      <c r="B22" s="1252"/>
      <c r="C22" s="1253"/>
      <c r="D22" s="283">
        <f ca="1">IF(C19&lt;D19,D19/C19-1,C19/D19-1)</f>
        <v>0.22461097461097457</v>
      </c>
      <c r="E22" s="284"/>
      <c r="F22" s="285"/>
      <c r="G22" s="286">
        <f ca="1">ROUND(G19/('数据-汇总表'!D3/666.67),0)</f>
        <v>518</v>
      </c>
      <c r="H22" s="287" t="s">
        <v>329</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3" t="s">
        <v>330</v>
      </c>
      <c r="B24" s="269" t="s">
        <v>322</v>
      </c>
      <c r="C24" s="288">
        <f>IF(B30=0,0,D30)</f>
        <v>70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65"/>
      <c r="B25" s="1321" t="s">
        <v>3176</v>
      </c>
      <c r="C25" s="290">
        <f>IF(B30=0,0,C30)</f>
        <v>0</v>
      </c>
      <c r="D25" s="291"/>
      <c r="E25" s="311"/>
      <c r="F25" s="311"/>
      <c r="G25" s="311"/>
      <c r="H25" s="311"/>
      <c r="I25" s="311"/>
      <c r="J25" s="2028"/>
      <c r="K25" s="1255" t="str">
        <f ca="1">项目基本情况!B16&amp;"国有建设用地使用权价格："&amp;O38&amp;"万元"</f>
        <v>出让国有建设用地使用权价格：10795万元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大写金额：人民币壹亿零柒佰玖拾伍万元整</v>
      </c>
      <c r="L26" s="1252"/>
      <c r="M26" s="1252"/>
      <c r="N26" s="1252"/>
      <c r="O26" s="1251"/>
      <c r="P26" s="2028"/>
      <c r="Q26" s="2028"/>
      <c r="R26" s="2028"/>
      <c r="S26" s="2028"/>
      <c r="T26" s="2028"/>
      <c r="U26" s="2028"/>
      <c r="V26" s="2028"/>
      <c r="W26" s="292"/>
      <c r="X26" s="292"/>
      <c r="Y26" s="292"/>
      <c r="Z26" s="292"/>
    </row>
    <row r="27" spans="1:26" ht="17.399999999999999">
      <c r="A27" s="293"/>
      <c r="B27" s="294">
        <f>'数据-基础表'!A3</f>
        <v>13984.89</v>
      </c>
      <c r="C27" s="294">
        <v>50</v>
      </c>
      <c r="D27" s="295">
        <f>ROUND(B27*C27/10000,0)</f>
        <v>70</v>
      </c>
      <c r="E27" s="311"/>
      <c r="F27" s="311"/>
      <c r="G27" s="311"/>
      <c r="H27" s="311"/>
      <c r="I27" s="311"/>
      <c r="J27" s="2028"/>
      <c r="K27" s="1258" t="str">
        <f ca="1">"单位面积地价："&amp;M38&amp;"元/平方米"</f>
        <v>单位面积地价：7719元/平方米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楼面地价：2570元/平方米</v>
      </c>
      <c r="L28" s="1252"/>
      <c r="M28" s="1252"/>
      <c r="N28" s="1252"/>
      <c r="O28" s="1251"/>
      <c r="P28" s="2028"/>
      <c r="V28" s="2028"/>
    </row>
    <row r="29" spans="1:26" ht="17.399999999999999">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 thickBot="1">
      <c r="A30" s="3127" t="s">
        <v>335</v>
      </c>
      <c r="B30" s="309">
        <f>B27</f>
        <v>13984.89</v>
      </c>
      <c r="C30" s="309"/>
      <c r="D30" s="310">
        <f>D27</f>
        <v>70</v>
      </c>
      <c r="E30" s="3128" t="s">
        <v>2967</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 ca="1">IF(项目基本情况!E8="抵押价格","——","抵押担保权已注销时的抵押价格："&amp;O40&amp;"万元")</f>
        <v>抵押担保权已注销时的抵押价格：10795万元</v>
      </c>
      <c r="L31" s="2464"/>
      <c r="M31" s="2464"/>
      <c r="N31" s="2464"/>
      <c r="O31" s="2465"/>
      <c r="P31" s="2028"/>
      <c r="V31" s="2028"/>
    </row>
    <row r="32" spans="1:26" ht="18" thickBot="1">
      <c r="A32" s="268" t="s">
        <v>336</v>
      </c>
      <c r="B32" s="1382" t="s">
        <v>1687</v>
      </c>
      <c r="C32" s="1383">
        <f ca="1">G19-C24</f>
        <v>10795</v>
      </c>
      <c r="D32" s="1384" t="s">
        <v>1688</v>
      </c>
      <c r="E32" s="311"/>
      <c r="F32" s="311"/>
      <c r="G32" s="311"/>
      <c r="H32" s="311"/>
      <c r="I32" s="311"/>
      <c r="J32" s="2028"/>
      <c r="K32" s="2463" t="str">
        <f ca="1">IF(K31="——","——","大写金额：人民币"&amp;NUMBERSTRING(INT(O40*10000),2)&amp;"元整")</f>
        <v>大写金额：人民币壹亿零柒佰玖拾伍万元整</v>
      </c>
      <c r="L32" s="2466"/>
      <c r="M32" s="2466"/>
      <c r="N32" s="2466"/>
      <c r="O32" s="2467"/>
      <c r="P32" s="2028"/>
      <c r="V32" s="2028"/>
    </row>
    <row r="33" spans="1:26" ht="18" thickBot="1">
      <c r="A33" s="298" t="s">
        <v>339</v>
      </c>
      <c r="B33" s="1385" t="s">
        <v>1689</v>
      </c>
      <c r="C33" s="264">
        <f ca="1">ROUND(C32*10000/'数据-汇总表'!E3,0)</f>
        <v>2570</v>
      </c>
      <c r="D33" s="1386" t="s">
        <v>1690</v>
      </c>
      <c r="E33" s="3323" t="s">
        <v>337</v>
      </c>
      <c r="F33" s="296" t="s">
        <v>338</v>
      </c>
      <c r="G33" s="297"/>
      <c r="H33" s="980" t="s">
        <v>3219</v>
      </c>
      <c r="I33" s="1259"/>
      <c r="J33" s="2028"/>
      <c r="K33" s="1258" t="str">
        <f>IF(项目基本情况!E9="——","——","抵押净值："&amp;C46&amp;"万元")</f>
        <v>抵押净值：——万元</v>
      </c>
      <c r="L33" s="1252"/>
      <c r="M33" s="1252"/>
      <c r="N33" s="1252"/>
      <c r="O33" s="1251"/>
      <c r="P33" s="2028"/>
      <c r="V33" s="2028"/>
    </row>
    <row r="34" spans="1:26" s="1254" customFormat="1" ht="18" thickBot="1">
      <c r="A34" s="300"/>
      <c r="B34" s="1387" t="s">
        <v>1691</v>
      </c>
      <c r="C34" s="264">
        <f ca="1">ROUND(C32*10000/'数据-汇总表'!D3,0)</f>
        <v>7719</v>
      </c>
      <c r="D34" s="1388" t="s">
        <v>1690</v>
      </c>
      <c r="E34" s="3324"/>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9"/>
      <c r="C35" s="1390">
        <f ca="1">ROUND(C32/('数据-汇总表'!D3/666.67),0)</f>
        <v>515</v>
      </c>
      <c r="D35" s="1391" t="s">
        <v>1692</v>
      </c>
      <c r="E35" s="3325"/>
      <c r="F35" s="301" t="s">
        <v>341</v>
      </c>
      <c r="G35" s="982"/>
      <c r="H35" s="981" t="s">
        <v>342</v>
      </c>
      <c r="I35" s="311"/>
      <c r="J35" s="2028"/>
      <c r="K35" s="3329" t="s">
        <v>349</v>
      </c>
      <c r="L35" s="3329" t="s">
        <v>350</v>
      </c>
      <c r="M35" s="1264" t="s">
        <v>351</v>
      </c>
      <c r="N35" s="3329" t="s">
        <v>352</v>
      </c>
      <c r="O35" s="3329" t="s">
        <v>353</v>
      </c>
      <c r="P35" s="2028"/>
      <c r="V35" s="2028"/>
    </row>
    <row r="36" spans="1:26" ht="16.5" customHeight="1">
      <c r="A36" s="303" t="s">
        <v>343</v>
      </c>
      <c r="B36" s="304" t="s">
        <v>332</v>
      </c>
      <c r="C36" s="305" t="s">
        <v>344</v>
      </c>
      <c r="D36" s="305" t="s">
        <v>345</v>
      </c>
      <c r="E36" s="306" t="s">
        <v>346</v>
      </c>
      <c r="F36" s="311"/>
      <c r="G36" s="311"/>
      <c r="H36" s="311"/>
      <c r="I36" s="311"/>
      <c r="J36" s="2030"/>
      <c r="K36" s="3330"/>
      <c r="L36" s="3330"/>
      <c r="M36" s="1266" t="s">
        <v>354</v>
      </c>
      <c r="N36" s="3330"/>
      <c r="O36" s="3330"/>
      <c r="P36" s="2028"/>
      <c r="V36" s="2028"/>
    </row>
    <row r="37" spans="1:26" ht="16.5" customHeight="1" thickBot="1">
      <c r="A37" s="1260" t="s">
        <v>347</v>
      </c>
      <c r="B37" s="307"/>
      <c r="C37" s="294"/>
      <c r="D37" s="294"/>
      <c r="E37" s="295"/>
      <c r="F37" s="311"/>
      <c r="G37" s="311"/>
      <c r="H37" s="311"/>
      <c r="I37" s="311"/>
      <c r="J37" s="2030"/>
      <c r="K37" s="3331"/>
      <c r="L37" s="3331"/>
      <c r="M37" s="1267"/>
      <c r="N37" s="3331"/>
      <c r="O37" s="3331"/>
      <c r="P37" s="2028"/>
      <c r="V37" s="2028"/>
    </row>
    <row r="38" spans="1:26" ht="16.5" customHeight="1" thickBot="1">
      <c r="A38" s="1260" t="s">
        <v>348</v>
      </c>
      <c r="B38" s="307"/>
      <c r="C38" s="294"/>
      <c r="D38" s="294"/>
      <c r="E38" s="295"/>
      <c r="F38" s="311"/>
      <c r="G38" s="311"/>
      <c r="H38" s="311"/>
      <c r="I38" s="311"/>
      <c r="J38" s="2030"/>
      <c r="K38" s="1268">
        <f>'数据-汇总表'!D3</f>
        <v>13984.89</v>
      </c>
      <c r="L38" s="1269">
        <f>'数据-汇总表'!E3</f>
        <v>42003.000000000007</v>
      </c>
      <c r="M38" s="1269">
        <f ca="1">C34</f>
        <v>7719</v>
      </c>
      <c r="N38" s="1269">
        <f ca="1">C33</f>
        <v>2570</v>
      </c>
      <c r="O38" s="1270">
        <f ca="1">C32</f>
        <v>10795</v>
      </c>
      <c r="P38" s="2028"/>
      <c r="V38" s="2028"/>
    </row>
    <row r="39" spans="1:26" ht="16.5" customHeight="1" thickBot="1">
      <c r="A39" s="1265"/>
      <c r="B39" s="308"/>
      <c r="C39" s="309"/>
      <c r="D39" s="309"/>
      <c r="E39" s="310"/>
      <c r="F39" s="311"/>
      <c r="G39" s="311"/>
      <c r="H39" s="311"/>
      <c r="I39" s="311"/>
      <c r="J39" s="2030"/>
      <c r="K39" s="3306" t="str">
        <f>MID(A44,3,LEN(A44)-2)</f>
        <v/>
      </c>
      <c r="L39" s="3307"/>
      <c r="M39" s="3307"/>
      <c r="N39" s="3308"/>
      <c r="O39" s="1393" t="str">
        <f>C44</f>
        <v>——</v>
      </c>
      <c r="P39" s="2028"/>
      <c r="V39" s="2028"/>
    </row>
    <row r="40" spans="1:26" ht="18" thickBot="1">
      <c r="A40" s="104" t="s">
        <v>871</v>
      </c>
      <c r="B40" s="311"/>
      <c r="C40" s="311"/>
      <c r="D40" s="311"/>
      <c r="E40" s="311"/>
      <c r="F40" s="311"/>
      <c r="G40" s="311"/>
      <c r="H40" s="311"/>
      <c r="I40" s="311"/>
      <c r="J40" s="2030"/>
      <c r="K40" s="3306" t="str">
        <f t="shared" ref="K40:K41" si="0">MID(A45,3,LEN(A45)-2)</f>
        <v>抵押担保权已注销时的抵押价格</v>
      </c>
      <c r="L40" s="3307"/>
      <c r="M40" s="3307"/>
      <c r="N40" s="3308"/>
      <c r="O40" s="1393">
        <f ca="1">C45</f>
        <v>10795</v>
      </c>
      <c r="P40" s="2028"/>
      <c r="V40" s="2028"/>
    </row>
    <row r="41" spans="1:26" ht="16.2" thickBot="1">
      <c r="A41" s="312" t="s">
        <v>355</v>
      </c>
      <c r="B41" s="313"/>
      <c r="C41" s="314" t="s">
        <v>356</v>
      </c>
      <c r="D41" s="315" t="s">
        <v>357</v>
      </c>
      <c r="E41" s="315" t="s">
        <v>358</v>
      </c>
      <c r="F41" s="316" t="s">
        <v>359</v>
      </c>
      <c r="G41" s="311"/>
      <c r="H41" s="311"/>
      <c r="I41" s="311"/>
      <c r="J41" s="2030"/>
      <c r="K41" s="3306" t="str">
        <f t="shared" si="0"/>
        <v/>
      </c>
      <c r="L41" s="3307"/>
      <c r="M41" s="3307"/>
      <c r="N41" s="3308"/>
      <c r="O41" s="1393" t="str">
        <f>C46</f>
        <v>——</v>
      </c>
      <c r="P41" s="2028"/>
      <c r="V41" s="2028"/>
    </row>
    <row r="42" spans="1:26" ht="31.2">
      <c r="A42" s="3366" t="s">
        <v>2068</v>
      </c>
      <c r="B42" s="3367"/>
      <c r="C42" s="264">
        <f ca="1">C32</f>
        <v>10795</v>
      </c>
      <c r="D42" s="317">
        <f ca="1">C33</f>
        <v>2570</v>
      </c>
      <c r="E42" s="317">
        <f ca="1">C34</f>
        <v>7719</v>
      </c>
      <c r="F42" s="318">
        <f ca="1">C35</f>
        <v>515</v>
      </c>
      <c r="G42" s="311"/>
      <c r="H42" s="311"/>
      <c r="I42" s="319"/>
      <c r="J42" s="2030"/>
      <c r="K42" s="1271" t="s">
        <v>360</v>
      </c>
      <c r="L42" s="2047" t="s">
        <v>361</v>
      </c>
      <c r="M42" s="1272" t="s">
        <v>362</v>
      </c>
      <c r="N42" s="2048" t="s">
        <v>363</v>
      </c>
      <c r="O42" s="2049" t="s">
        <v>364</v>
      </c>
      <c r="P42" s="2028"/>
      <c r="V42" s="2028"/>
    </row>
    <row r="43" spans="1:26" ht="30">
      <c r="A43" s="3376" t="s">
        <v>2731</v>
      </c>
      <c r="B43" s="3377"/>
      <c r="C43" s="264">
        <f>IF(H33="正常操作",G33+G34+G35,G34+G35)</f>
        <v>0</v>
      </c>
      <c r="D43" s="317" t="s">
        <v>43</v>
      </c>
      <c r="E43" s="317" t="s">
        <v>44</v>
      </c>
      <c r="F43" s="318" t="s">
        <v>44</v>
      </c>
      <c r="G43" s="2866" t="s">
        <v>950</v>
      </c>
      <c r="H43" s="311"/>
      <c r="I43" s="319"/>
      <c r="J43" s="2030"/>
      <c r="K43" s="1273" t="str">
        <f>C4</f>
        <v>比较法-住宅、综合</v>
      </c>
      <c r="L43" s="1274">
        <f ca="1">IF(L42="估价结果/万元",C19,C20)</f>
        <v>11962</v>
      </c>
      <c r="M43" s="1275">
        <f>C18</f>
        <v>0.5</v>
      </c>
      <c r="N43" s="1276">
        <f ca="1">IF(N42="测算结果/万元",G19,G20)</f>
        <v>10865</v>
      </c>
      <c r="O43" s="1277">
        <f ca="1">IF(O42="最终结果/万元",C32,C33)</f>
        <v>10795</v>
      </c>
      <c r="P43" s="2028"/>
      <c r="V43" s="2028"/>
    </row>
    <row r="44" spans="1:26" ht="30.6" thickBot="1">
      <c r="A44" s="3366" t="str">
        <f>IF(OR(项目基本情况!E8="抵押价格",项目基本情况!E8="已注销及未注销"),"3.抵押价格","——")</f>
        <v>——</v>
      </c>
      <c r="B44" s="3367"/>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9768</v>
      </c>
      <c r="M44" s="1280">
        <f>D18</f>
        <v>0.5</v>
      </c>
      <c r="N44" s="1281"/>
      <c r="O44" s="1282"/>
      <c r="P44" s="2028"/>
      <c r="V44" s="2028"/>
    </row>
    <row r="45" spans="1:26" ht="13.8">
      <c r="A45" s="3371" t="str">
        <f>IF(项目基本情况!E8="已注销及未注销","4.抵押担保权已注销时的抵押价格",IF(项目基本情况!E8="已注销","3.抵押担保权已注销时的抵押价格","——"))</f>
        <v>3.抵押担保权已注销时的抵押价格</v>
      </c>
      <c r="B45" s="3372"/>
      <c r="C45" s="1805">
        <f ca="1">IF(A45="——","——",IF(项目基本情况!E8="抵押价格","——",C32-G34-G35))</f>
        <v>10795</v>
      </c>
      <c r="D45" s="317">
        <f ca="1">ROUND(C45*10000/'数据-汇总表'!E3,0)</f>
        <v>2570</v>
      </c>
      <c r="E45" s="317">
        <f ca="1">ROUND(C45*10000/'数据-汇总表'!D3,0)</f>
        <v>7719</v>
      </c>
      <c r="F45" s="318">
        <f ca="1">ROUND(C45/('数据-汇总表'!D3/666.67),0)</f>
        <v>515</v>
      </c>
      <c r="G45" s="311"/>
      <c r="H45" s="311"/>
      <c r="I45" s="319"/>
      <c r="J45" s="2030"/>
      <c r="K45" s="2028"/>
      <c r="L45" s="2028"/>
      <c r="M45" s="2028"/>
      <c r="N45" s="2028"/>
      <c r="O45" s="2028"/>
      <c r="P45" s="2028"/>
      <c r="V45" s="2028"/>
    </row>
    <row r="46" spans="1:26" ht="14.4" thickBot="1">
      <c r="A46" s="3368" t="str">
        <f>IF(项目基本情况!E9="抵押净值",IF(A45="——","4.抵押净值","5.抵押净值"),"——")</f>
        <v>——</v>
      </c>
      <c r="B46" s="336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4" t="s">
        <v>373</v>
      </c>
      <c r="B63" s="3335"/>
      <c r="C63" s="3336"/>
      <c r="D63" s="341">
        <f ca="1">ROUND(C42*F63,0)</f>
        <v>10795</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73" t="s">
        <v>377</v>
      </c>
      <c r="B64" s="3374"/>
      <c r="C64" s="3374"/>
      <c r="D64" s="3374"/>
      <c r="E64" s="3374"/>
      <c r="F64" s="3374"/>
      <c r="G64" s="3375"/>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70" t="s">
        <v>385</v>
      </c>
      <c r="B66" s="3341"/>
      <c r="C66" s="3341"/>
      <c r="D66" s="261">
        <f ca="1">IF(H66="情况1",0,IF(H66="情况2",D70,IF(H66="情况3",D71,IF(H66="情况4",D72))))</f>
        <v>565</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10" t="s">
        <v>384</v>
      </c>
      <c r="M66" s="3311"/>
      <c r="N66" s="2458"/>
      <c r="O66" s="2459"/>
      <c r="P66" s="2460"/>
      <c r="Q66" s="2028"/>
      <c r="R66" s="2028"/>
      <c r="S66" s="2028"/>
      <c r="T66" s="2028"/>
      <c r="U66" s="2028"/>
      <c r="V66" s="2028"/>
    </row>
    <row r="67" spans="1:22" ht="25.5" customHeight="1">
      <c r="A67" s="352" t="s">
        <v>389</v>
      </c>
      <c r="B67" s="3353" t="s">
        <v>390</v>
      </c>
      <c r="C67" s="3353"/>
      <c r="D67" s="353">
        <v>0</v>
      </c>
      <c r="E67" s="41" t="s">
        <v>391</v>
      </c>
      <c r="F67" s="62" t="s">
        <v>21</v>
      </c>
      <c r="G67" s="3337"/>
      <c r="H67" s="311"/>
      <c r="I67" s="1292"/>
      <c r="J67" s="2035"/>
      <c r="K67" s="1976">
        <v>2</v>
      </c>
      <c r="L67" s="3309" t="s">
        <v>388</v>
      </c>
      <c r="M67" s="3309"/>
      <c r="N67" s="1325">
        <f>'数据-取费表'!B2</f>
        <v>43780</v>
      </c>
      <c r="O67" s="1325"/>
      <c r="P67" s="1325"/>
      <c r="Q67" s="2028"/>
      <c r="R67" s="2028"/>
      <c r="S67" s="2028"/>
      <c r="T67" s="2028"/>
      <c r="U67" s="2028"/>
      <c r="V67" s="2028"/>
    </row>
    <row r="68" spans="1:22" ht="25.5" customHeight="1">
      <c r="A68" s="354"/>
      <c r="B68" s="3353" t="s">
        <v>393</v>
      </c>
      <c r="C68" s="3353"/>
      <c r="D68" s="355"/>
      <c r="E68" s="77"/>
      <c r="F68" s="356"/>
      <c r="G68" s="3338"/>
      <c r="H68" s="311"/>
      <c r="I68" s="1292"/>
      <c r="J68" s="2035"/>
      <c r="K68" s="1976">
        <v>3</v>
      </c>
      <c r="L68" s="3309" t="s">
        <v>392</v>
      </c>
      <c r="M68" s="3309"/>
      <c r="N68" s="1293">
        <f ca="1">C42</f>
        <v>10795</v>
      </c>
      <c r="O68" s="1293"/>
      <c r="P68" s="1293"/>
      <c r="Q68" s="2028"/>
      <c r="R68" s="2028"/>
      <c r="S68" s="2028"/>
      <c r="T68" s="2028"/>
      <c r="U68" s="2028"/>
      <c r="V68" s="2028"/>
    </row>
    <row r="69" spans="1:22" ht="12" customHeight="1">
      <c r="A69" s="357"/>
      <c r="B69" s="3353" t="s">
        <v>394</v>
      </c>
      <c r="C69" s="3353"/>
      <c r="D69" s="358"/>
      <c r="E69" s="73"/>
      <c r="F69" s="356"/>
      <c r="G69" s="3339"/>
      <c r="H69" s="311"/>
      <c r="I69" s="1292"/>
      <c r="J69" s="2035"/>
      <c r="K69" s="1294">
        <v>4</v>
      </c>
      <c r="L69" s="3315" t="s">
        <v>2884</v>
      </c>
      <c r="M69" s="3316"/>
      <c r="N69" s="1295" t="str">
        <f>C44</f>
        <v>——</v>
      </c>
      <c r="O69" s="1295"/>
      <c r="P69" s="1295"/>
      <c r="Q69" s="2028"/>
      <c r="R69" s="2028"/>
      <c r="S69" s="2028"/>
      <c r="T69" s="2028"/>
      <c r="U69" s="2028"/>
      <c r="V69" s="2028"/>
    </row>
    <row r="70" spans="1:22" ht="24" customHeight="1">
      <c r="A70" s="359" t="s">
        <v>395</v>
      </c>
      <c r="B70" s="3353" t="s">
        <v>396</v>
      </c>
      <c r="C70" s="3353"/>
      <c r="D70" s="358">
        <f ca="1">ROUND(D63*'数据-取费表'!B41/(1+'数据-取费表'!C42),0)</f>
        <v>565</v>
      </c>
      <c r="E70" s="17" t="s">
        <v>397</v>
      </c>
      <c r="F70" s="360">
        <f>'数据-取费表'!B41</f>
        <v>5.5000000000000007E-2</v>
      </c>
      <c r="G70" s="361"/>
      <c r="H70" s="311"/>
      <c r="I70" s="1292"/>
      <c r="J70" s="2035"/>
      <c r="K70" s="3061"/>
      <c r="L70" s="3062"/>
      <c r="M70" s="3062"/>
      <c r="N70" s="3063" t="s">
        <v>2889</v>
      </c>
      <c r="O70" s="3062"/>
      <c r="P70" s="3064"/>
      <c r="Q70" s="2028"/>
      <c r="R70" s="2028"/>
      <c r="S70" s="2028"/>
      <c r="T70" s="2028"/>
      <c r="U70" s="2028"/>
      <c r="V70" s="2028"/>
    </row>
    <row r="71" spans="1:22" ht="12" customHeight="1">
      <c r="A71" s="359" t="s">
        <v>403</v>
      </c>
      <c r="B71" s="3352" t="s">
        <v>404</v>
      </c>
      <c r="C71" s="3364"/>
      <c r="D71" s="358">
        <f ca="1">ROUND(D63*'数据-取费表'!B41/(1+'数据-取费表'!C42),0)</f>
        <v>565</v>
      </c>
      <c r="E71" s="17" t="s">
        <v>397</v>
      </c>
      <c r="F71" s="360">
        <f>'数据-取费表'!B41</f>
        <v>5.5000000000000007E-2</v>
      </c>
      <c r="G71" s="361"/>
      <c r="H71" s="311"/>
      <c r="I71" s="1292"/>
      <c r="J71" s="2035"/>
      <c r="K71" s="3060" t="s">
        <v>398</v>
      </c>
      <c r="L71" s="3317" t="s">
        <v>399</v>
      </c>
      <c r="M71" s="3317"/>
      <c r="N71" s="3060" t="s">
        <v>400</v>
      </c>
      <c r="O71" s="3060" t="s">
        <v>401</v>
      </c>
      <c r="P71" s="3060" t="s">
        <v>402</v>
      </c>
      <c r="Q71" s="2028"/>
      <c r="R71" s="2028"/>
      <c r="S71" s="2028"/>
      <c r="T71" s="2028"/>
      <c r="U71" s="2028"/>
      <c r="V71" s="2028"/>
    </row>
    <row r="72" spans="1:22" ht="12" customHeight="1">
      <c r="A72" s="359" t="s">
        <v>406</v>
      </c>
      <c r="B72" s="3352" t="s">
        <v>407</v>
      </c>
      <c r="C72" s="3364"/>
      <c r="D72" s="358">
        <f ca="1">C86</f>
        <v>455</v>
      </c>
      <c r="E72" s="73" t="s">
        <v>408</v>
      </c>
      <c r="F72" s="360">
        <f>'数据-取费表'!B41</f>
        <v>5.5000000000000007E-2</v>
      </c>
      <c r="G72" s="361"/>
      <c r="H72" s="1298"/>
      <c r="I72" s="1292"/>
      <c r="J72" s="2035"/>
      <c r="K72" s="1976">
        <v>1</v>
      </c>
      <c r="L72" s="3314" t="s">
        <v>405</v>
      </c>
      <c r="M72" s="3314"/>
      <c r="N72" s="1296">
        <f ca="1">D66</f>
        <v>565</v>
      </c>
      <c r="O72" s="1861" t="str">
        <f>E66</f>
        <v>销售额×税（费）率</v>
      </c>
      <c r="P72" s="1297">
        <f>F66</f>
        <v>5.5000000000000007E-2</v>
      </c>
      <c r="Q72" s="2028"/>
      <c r="R72" s="2028"/>
      <c r="S72" s="2028"/>
      <c r="T72" s="2028"/>
      <c r="U72" s="2028"/>
      <c r="V72" s="2028"/>
    </row>
    <row r="73" spans="1:22" ht="24" customHeight="1">
      <c r="A73" s="3340" t="s">
        <v>410</v>
      </c>
      <c r="B73" s="3341"/>
      <c r="C73" s="3341"/>
      <c r="D73" s="362">
        <f>IF(H73="个人住宅",0,ROUND(D63*I73,0))</f>
        <v>0</v>
      </c>
      <c r="E73" s="17" t="s">
        <v>411</v>
      </c>
      <c r="F73" s="360" t="str">
        <f>IF(H73="正常",I73,"免征")</f>
        <v>免征</v>
      </c>
      <c r="G73" s="361"/>
      <c r="H73" s="191" t="s">
        <v>2456</v>
      </c>
      <c r="I73" s="360">
        <f>'数据-取费表'!B49</f>
        <v>5.0000000000000001E-4</v>
      </c>
      <c r="J73" s="2035"/>
      <c r="K73" s="1976">
        <v>2</v>
      </c>
      <c r="L73" s="3314" t="s">
        <v>409</v>
      </c>
      <c r="M73" s="3314"/>
      <c r="N73" s="1296">
        <f t="shared" ref="N73:P74" si="1">D73</f>
        <v>0</v>
      </c>
      <c r="O73" s="1861" t="str">
        <f t="shared" si="1"/>
        <v>销售额×税（费）率</v>
      </c>
      <c r="P73" s="1297" t="str">
        <f t="shared" si="1"/>
        <v>免征</v>
      </c>
      <c r="Q73" s="2028"/>
      <c r="R73" s="2028"/>
      <c r="S73" s="2028"/>
      <c r="T73" s="2028"/>
      <c r="U73" s="2028"/>
      <c r="V73" s="2028"/>
    </row>
    <row r="74" spans="1:22" ht="25.2">
      <c r="A74" s="3340" t="s">
        <v>414</v>
      </c>
      <c r="B74" s="3341"/>
      <c r="C74" s="3341"/>
      <c r="D74" s="362">
        <f ca="1">IF(H74="个人住宅",D75,D76)</f>
        <v>5465</v>
      </c>
      <c r="E74" s="17" t="s">
        <v>415</v>
      </c>
      <c r="F74" s="360" t="str">
        <f>IF(H74="正常",F76,"免征")</f>
        <v>——</v>
      </c>
      <c r="G74" s="983" t="s">
        <v>416</v>
      </c>
      <c r="H74" s="363" t="s">
        <v>412</v>
      </c>
      <c r="I74" s="42"/>
      <c r="J74" s="2035"/>
      <c r="K74" s="1976">
        <v>3</v>
      </c>
      <c r="L74" s="3314" t="s">
        <v>413</v>
      </c>
      <c r="M74" s="3314"/>
      <c r="N74" s="1296">
        <f t="shared" ca="1" si="1"/>
        <v>5465</v>
      </c>
      <c r="O74" s="1861" t="str">
        <f t="shared" si="1"/>
        <v>增值额×税（费）率</v>
      </c>
      <c r="P74" s="1299" t="str">
        <f t="shared" si="1"/>
        <v>——</v>
      </c>
      <c r="Q74" s="2028"/>
      <c r="R74" s="2028"/>
      <c r="S74" s="2028"/>
      <c r="T74" s="2028"/>
      <c r="U74" s="2028"/>
      <c r="V74" s="2028"/>
    </row>
    <row r="75" spans="1:22" ht="24">
      <c r="A75" s="359" t="s">
        <v>417</v>
      </c>
      <c r="B75" s="3321" t="s">
        <v>418</v>
      </c>
      <c r="C75" s="3322"/>
      <c r="D75" s="364">
        <v>0</v>
      </c>
      <c r="E75" s="41" t="s">
        <v>419</v>
      </c>
      <c r="F75" s="365"/>
      <c r="G75" s="361"/>
      <c r="H75" s="42"/>
      <c r="I75" s="42"/>
      <c r="J75" s="2035"/>
      <c r="K75" s="3053">
        <f>IF(H77="非个人房产","",4)</f>
        <v>4</v>
      </c>
      <c r="L75" s="3314" t="str">
        <f>IF(H77="非个人房产","——","个人所得税")</f>
        <v>个人所得税</v>
      </c>
      <c r="M75" s="3314"/>
      <c r="N75" s="1300">
        <f ca="1">D77</f>
        <v>108</v>
      </c>
      <c r="O75" s="1874" t="str">
        <f>E77</f>
        <v>销售额×税（费）率</v>
      </c>
      <c r="P75" s="1301">
        <f>F77</f>
        <v>0.01</v>
      </c>
      <c r="Q75" s="2028"/>
      <c r="R75" s="2028"/>
      <c r="S75" s="2028"/>
      <c r="T75" s="2028"/>
      <c r="U75" s="2028"/>
      <c r="V75" s="2028"/>
    </row>
    <row r="76" spans="1:22" ht="25.2">
      <c r="A76" s="359" t="s">
        <v>395</v>
      </c>
      <c r="B76" s="3321" t="s">
        <v>421</v>
      </c>
      <c r="C76" s="3363"/>
      <c r="D76" s="362">
        <f ca="1">IF(H76="转让取得",C99,C115)</f>
        <v>5465</v>
      </c>
      <c r="E76" s="17" t="s">
        <v>422</v>
      </c>
      <c r="F76" s="53" t="s">
        <v>21</v>
      </c>
      <c r="G76" s="361"/>
      <c r="H76" s="363" t="s">
        <v>423</v>
      </c>
      <c r="I76" s="42"/>
      <c r="J76" s="2035"/>
      <c r="K76" s="3053" t="str">
        <f>IF(项目基本情况!K6="上海银行",IF(K75="",4,K75+1),"")</f>
        <v/>
      </c>
      <c r="L76" s="3302" t="str">
        <f>IF(项目基本情况!K6="上海银行","其他处置费用","")</f>
        <v/>
      </c>
      <c r="M76" s="3303"/>
      <c r="N76" s="1296" t="str">
        <f>IF(项目基本情况!K6="上海银行",N89,"")</f>
        <v/>
      </c>
      <c r="O76" s="3304" t="str">
        <f>IF(项目基本情况!K6="上海银行","包含处置中涉及的律师、诉讼、拍卖、评估等费用","")</f>
        <v/>
      </c>
      <c r="P76" s="3305"/>
      <c r="Q76" s="2028"/>
      <c r="R76" s="2028"/>
      <c r="S76" s="2028"/>
      <c r="T76" s="2028"/>
      <c r="U76" s="2028"/>
      <c r="V76" s="2028"/>
    </row>
    <row r="77" spans="1:22" ht="27" thickBot="1">
      <c r="A77" s="3332" t="s">
        <v>425</v>
      </c>
      <c r="B77" s="3333"/>
      <c r="C77" s="3333"/>
      <c r="D77" s="366">
        <f ca="1">IF(H77="非个人房产","——",IF(H77="个人住宅",0,ROUND(D63*I77,0)))</f>
        <v>108</v>
      </c>
      <c r="E77" s="367" t="str">
        <f>IF(H77="非个人房产","——","销售额×税（费）率")</f>
        <v>销售额×税（费）率</v>
      </c>
      <c r="F77" s="368">
        <f>IF(H77="非个人房产","——",IF(H77="个人住宅","免征",I77))</f>
        <v>0.01</v>
      </c>
      <c r="G77" s="984" t="s">
        <v>416</v>
      </c>
      <c r="H77" s="363" t="s">
        <v>2885</v>
      </c>
      <c r="I77" s="369">
        <v>0.01</v>
      </c>
      <c r="J77" s="2035"/>
      <c r="K77" s="3328">
        <f>IF(AND(K75="",K76=""),4,IF(项目基本情况!K6="上海银行",K76+1,K75+1))</f>
        <v>5</v>
      </c>
      <c r="L77" s="3314" t="s">
        <v>2886</v>
      </c>
      <c r="M77" s="3059" t="s">
        <v>420</v>
      </c>
      <c r="N77" s="1302"/>
      <c r="O77" s="1303">
        <f ca="1">SUMIF(N72:N76,"&lt;9e307")</f>
        <v>6138</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28"/>
      <c r="L78" s="3314"/>
      <c r="M78" s="3059" t="s">
        <v>424</v>
      </c>
      <c r="N78" s="1302"/>
      <c r="O78" s="1303" t="str">
        <f ca="1">NUMBERSTRING(INT(O77*10000),2)&amp;"元整"</f>
        <v>陆仟壹佰叁拾捌万元整</v>
      </c>
      <c r="P78" s="1304"/>
      <c r="Q78" s="2028"/>
      <c r="R78" s="2028"/>
      <c r="S78" s="2028"/>
      <c r="T78" s="2028"/>
      <c r="U78" s="2028"/>
      <c r="V78" s="2028"/>
    </row>
    <row r="79" spans="1:22" ht="13.8" thickBot="1">
      <c r="A79" s="3318" t="s">
        <v>426</v>
      </c>
      <c r="B79" s="3318"/>
      <c r="C79" s="3318"/>
      <c r="D79" s="3318"/>
      <c r="E79" s="3318"/>
      <c r="F79" s="42"/>
      <c r="G79" s="42"/>
      <c r="H79" s="1003"/>
      <c r="I79" s="311"/>
      <c r="J79" s="2035"/>
      <c r="K79" s="3312">
        <f>K77+1</f>
        <v>6</v>
      </c>
      <c r="L79" s="3314" t="s">
        <v>2887</v>
      </c>
      <c r="M79" s="3059" t="s">
        <v>420</v>
      </c>
      <c r="N79" s="1302"/>
      <c r="O79" s="1303" t="e">
        <f ca="1">N69-O77</f>
        <v>#VALUE!</v>
      </c>
      <c r="P79" s="1304"/>
      <c r="Q79" s="2028"/>
      <c r="R79" s="2028"/>
      <c r="S79" s="2028"/>
      <c r="T79" s="2028"/>
      <c r="U79" s="2028"/>
      <c r="V79" s="2028"/>
    </row>
    <row r="80" spans="1:22" ht="13.2">
      <c r="A80" s="3319" t="s">
        <v>427</v>
      </c>
      <c r="B80" s="3320"/>
      <c r="C80" s="994"/>
      <c r="D80" s="994" t="s">
        <v>428</v>
      </c>
      <c r="E80" s="370" t="s">
        <v>429</v>
      </c>
      <c r="F80" s="42"/>
      <c r="G80" s="42"/>
      <c r="H80" s="1003"/>
      <c r="I80" s="311"/>
      <c r="J80" s="2028"/>
      <c r="K80" s="3313"/>
      <c r="L80" s="3314"/>
      <c r="M80" s="3059" t="s">
        <v>424</v>
      </c>
      <c r="N80" s="1302"/>
      <c r="O80" s="1303" t="e">
        <f ca="1">NUMBERSTRING(INT(O79*10000),2)&amp;"元整"</f>
        <v>#VALUE!</v>
      </c>
      <c r="P80" s="1304"/>
      <c r="Q80" s="2028"/>
      <c r="R80" s="2028"/>
      <c r="S80" s="2028"/>
      <c r="T80" s="2028"/>
      <c r="U80" s="2028"/>
      <c r="V80" s="2028"/>
    </row>
    <row r="81" spans="1:26" ht="13.8" thickBot="1">
      <c r="A81" s="381" t="s">
        <v>1822</v>
      </c>
      <c r="B81" s="371" t="s">
        <v>430</v>
      </c>
      <c r="C81" s="372">
        <f ca="1">ROUND((C82+C83)/(1+'数据-取费表'!C42),0)</f>
        <v>10281</v>
      </c>
      <c r="D81" s="373"/>
      <c r="E81" s="374"/>
      <c r="F81" s="42"/>
      <c r="G81" s="42"/>
      <c r="H81" s="1003"/>
      <c r="I81" s="311"/>
      <c r="J81" s="2028"/>
      <c r="K81" s="3053">
        <f>K79+1</f>
        <v>7</v>
      </c>
      <c r="L81" s="3326" t="s">
        <v>2888</v>
      </c>
      <c r="M81" s="3327"/>
      <c r="N81" s="1306"/>
      <c r="O81" s="1307" t="e">
        <f ca="1">ROUND(O79*10000/'数据-汇总表'!E3,0)</f>
        <v>#VALUE!</v>
      </c>
      <c r="P81" s="1308"/>
      <c r="Q81" s="2028"/>
      <c r="R81" s="2028"/>
      <c r="S81" s="2028"/>
      <c r="T81" s="2028"/>
      <c r="U81" s="2028"/>
      <c r="V81" s="2028"/>
    </row>
    <row r="82" spans="1:26" ht="13.8" thickTop="1">
      <c r="A82" s="375" t="s">
        <v>1823</v>
      </c>
      <c r="B82" s="376" t="s">
        <v>431</v>
      </c>
      <c r="C82" s="377">
        <f ca="1">D63</f>
        <v>10795</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301" t="s">
        <v>2875</v>
      </c>
      <c r="L83" s="3065" t="s">
        <v>2876</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25.2">
      <c r="A84" s="381" t="s">
        <v>1825</v>
      </c>
      <c r="B84" s="382" t="s">
        <v>433</v>
      </c>
      <c r="C84" s="383">
        <v>2000</v>
      </c>
      <c r="D84" s="384" t="s">
        <v>19</v>
      </c>
      <c r="E84" s="3098" t="s">
        <v>2939</v>
      </c>
      <c r="F84" s="42"/>
      <c r="G84" s="42"/>
      <c r="H84" s="1003"/>
      <c r="I84" s="311"/>
      <c r="J84" s="2028"/>
      <c r="K84" s="3301"/>
      <c r="L84" s="3065" t="s">
        <v>2877</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2878</v>
      </c>
      <c r="P84" s="2028"/>
      <c r="Q84" s="2028"/>
      <c r="R84" s="2028"/>
      <c r="S84" s="2028"/>
      <c r="T84" s="2028"/>
      <c r="U84" s="2028"/>
      <c r="V84" s="2028"/>
    </row>
    <row r="85" spans="1:26" ht="13.2">
      <c r="A85" s="381" t="s">
        <v>1826</v>
      </c>
      <c r="B85" s="382" t="s">
        <v>434</v>
      </c>
      <c r="C85" s="385">
        <f ca="1">C81-C84</f>
        <v>8281</v>
      </c>
      <c r="D85" s="378" t="s">
        <v>19</v>
      </c>
      <c r="E85" s="379"/>
      <c r="F85" s="42"/>
      <c r="G85" s="42"/>
      <c r="H85" s="1003"/>
      <c r="I85" s="311"/>
      <c r="J85" s="2028"/>
      <c r="K85" s="3301"/>
      <c r="L85" s="3065" t="s">
        <v>2879</v>
      </c>
      <c r="M85" s="3055" t="e">
        <f>IF(N69&gt;1000,N69*0.1%,IF(AND(N69&gt;500,N69&lt;=1000),N69*0.5%,IF(AND(N69&gt;50,N69&lt;=500),N69*1%,IF(AND(N69&gt;1,N69&lt;=50),N69*1.5%))))</f>
        <v>#VALUE!</v>
      </c>
      <c r="N85" s="53" t="e">
        <f t="shared" si="2"/>
        <v>#VALUE!</v>
      </c>
      <c r="O85" s="2028" t="s">
        <v>2878</v>
      </c>
      <c r="P85" s="2028"/>
      <c r="Q85" s="2028"/>
      <c r="R85" s="2028"/>
      <c r="S85" s="2028"/>
      <c r="T85" s="2028"/>
      <c r="U85" s="2028"/>
      <c r="V85" s="2028"/>
    </row>
    <row r="86" spans="1:26" ht="13.8" thickBot="1">
      <c r="A86" s="386" t="s">
        <v>1827</v>
      </c>
      <c r="B86" s="387" t="s">
        <v>435</v>
      </c>
      <c r="C86" s="388">
        <f ca="1">IF(C85&lt;=0,0,ROUND(C85*D86,0))</f>
        <v>455</v>
      </c>
      <c r="D86" s="389">
        <f>'数据-取费表'!B41</f>
        <v>5.5000000000000007E-2</v>
      </c>
      <c r="E86" s="390"/>
      <c r="F86" s="42"/>
      <c r="G86" s="42"/>
      <c r="H86" s="1003"/>
      <c r="I86" s="311"/>
      <c r="J86" s="2028"/>
      <c r="K86" s="3301"/>
      <c r="L86" s="3065" t="s">
        <v>2880</v>
      </c>
      <c r="M86" s="3055" t="e">
        <f>N69*0.5%</f>
        <v>#VALUE!</v>
      </c>
      <c r="N86" s="53" t="e">
        <f>IF(M86&gt;0.5,0.5,ROUND(M86,0))</f>
        <v>#VALUE!</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01"/>
      <c r="L87" s="3065" t="s">
        <v>2882</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4.4" thickBot="1">
      <c r="A88" s="3355" t="s">
        <v>436</v>
      </c>
      <c r="B88" s="3356"/>
      <c r="C88" s="3356"/>
      <c r="D88" s="3356"/>
      <c r="E88" s="3356"/>
      <c r="F88" s="3356"/>
      <c r="G88" s="3356"/>
      <c r="H88" s="3356"/>
      <c r="I88" s="1315"/>
      <c r="J88" s="2036"/>
      <c r="K88" s="3301"/>
      <c r="L88" s="3065" t="s">
        <v>2883</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3.8">
      <c r="A89" s="3319" t="s">
        <v>427</v>
      </c>
      <c r="B89" s="3320"/>
      <c r="C89" s="994"/>
      <c r="D89" s="994" t="s">
        <v>428</v>
      </c>
      <c r="E89" s="391" t="s">
        <v>437</v>
      </c>
      <c r="F89" s="392"/>
      <c r="G89" s="392"/>
      <c r="H89" s="393"/>
      <c r="I89" s="1316"/>
      <c r="J89" s="2038"/>
      <c r="K89" s="3301"/>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10281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2612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52" t="s">
        <v>446</v>
      </c>
      <c r="F94" s="3353"/>
      <c r="G94" s="3353"/>
      <c r="H94" s="3354"/>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51</v>
      </c>
      <c r="D96" s="406">
        <f>'数据-取费表'!B43</f>
        <v>5.000000000000001E-3</v>
      </c>
      <c r="E96" s="3342" t="s">
        <v>2429</v>
      </c>
      <c r="F96" s="3343"/>
      <c r="G96" s="3343"/>
      <c r="H96" s="3344"/>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8" t="s">
        <v>1834</v>
      </c>
      <c r="B97" s="382" t="s">
        <v>450</v>
      </c>
      <c r="C97" s="385">
        <f ca="1">C90-C91</f>
        <v>7669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1835</v>
      </c>
      <c r="B98" s="382" t="s">
        <v>451</v>
      </c>
      <c r="C98" s="407">
        <f ca="1">IF(C97&lt;=0,0,C97/C91)</f>
        <v>2.936064318529862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9" t="s">
        <v>1836</v>
      </c>
      <c r="B99" s="387" t="s">
        <v>452</v>
      </c>
      <c r="C99" s="408">
        <f ca="1">ROUND(IF(C97&lt;=0,0,IF(C98&gt;=200%,C97*60%-C91*35%,IF(C98&gt;=100%,C97*50%-C91*15%,IF(C98&gt;=50%,C97*40%-C91*5%,IF(C98&lt;50%,C97*30%,0))))),0)</f>
        <v>3687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355" t="s">
        <v>453</v>
      </c>
      <c r="B101" s="3356"/>
      <c r="C101" s="3356"/>
      <c r="D101" s="3356"/>
      <c r="E101" s="3356"/>
      <c r="F101" s="3356"/>
      <c r="G101" s="3356"/>
      <c r="H101" s="335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19" t="s">
        <v>427</v>
      </c>
      <c r="B102" s="3320"/>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10281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741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26.4">
      <c r="A106" s="395" t="s">
        <v>1830</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1837</v>
      </c>
      <c r="B109" s="376" t="s">
        <v>460</v>
      </c>
      <c r="C109" s="405">
        <f>IF(H109="——",IF(F1="现房",'剩余法-现房'!C18,'剩余法-待开发'!C18),I109)</f>
        <v>55</v>
      </c>
      <c r="D109" s="406"/>
      <c r="E109" s="3345" t="s">
        <v>461</v>
      </c>
      <c r="F109" s="3343"/>
      <c r="G109" s="3343"/>
      <c r="H109" s="1943" t="s">
        <v>2280</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1838</v>
      </c>
      <c r="B110" s="376" t="s">
        <v>462</v>
      </c>
      <c r="C110" s="405">
        <f>ROUND((C105+C108+C109)*D110,0)</f>
        <v>63</v>
      </c>
      <c r="D110" s="406">
        <v>0.1</v>
      </c>
      <c r="E110" s="3345" t="s">
        <v>463</v>
      </c>
      <c r="F110" s="3343"/>
      <c r="G110" s="3343"/>
      <c r="H110" s="3344"/>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1839</v>
      </c>
      <c r="B111" s="376" t="s">
        <v>449</v>
      </c>
      <c r="C111" s="405">
        <f ca="1">ROUND(D63*D111/(1+'数据-取费表'!C42),0)</f>
        <v>51</v>
      </c>
      <c r="D111" s="406">
        <f>'数据-取费表'!B43</f>
        <v>5.000000000000001E-3</v>
      </c>
      <c r="E111" s="3342" t="s">
        <v>2429</v>
      </c>
      <c r="F111" s="3343"/>
      <c r="G111" s="3343"/>
      <c r="H111" s="3344"/>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1840</v>
      </c>
      <c r="B112" s="376" t="s">
        <v>464</v>
      </c>
      <c r="C112" s="405">
        <f>ROUND(C108*D112,0)</f>
        <v>0</v>
      </c>
      <c r="D112" s="406">
        <v>0.2</v>
      </c>
      <c r="E112" s="3345" t="s">
        <v>2454</v>
      </c>
      <c r="F112" s="3343"/>
      <c r="G112" s="3343"/>
      <c r="H112" s="3344"/>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8" t="s">
        <v>1834</v>
      </c>
      <c r="B113" s="382" t="s">
        <v>450</v>
      </c>
      <c r="C113" s="385">
        <f ca="1">ROUND(C103-C104,0)</f>
        <v>9540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1835</v>
      </c>
      <c r="B114" s="382" t="s">
        <v>451</v>
      </c>
      <c r="C114" s="407">
        <f ca="1">IF(C113&lt;=0,0,C113/C104)</f>
        <v>12.874493927125506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9" t="s">
        <v>1836</v>
      </c>
      <c r="B115" s="387" t="s">
        <v>452</v>
      </c>
      <c r="C115" s="408">
        <f ca="1">ROUND(IF(C113&lt;=0,0,IF(C114&gt;=200%,C113*60%-C104*35%,IF(C114&gt;=100%,C113*50%-C104*15%,IF(C114&gt;=50%,C113*40%-C104*5%,IF(C114&lt;50%,C113*30%,0))))),0)</f>
        <v>5465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70" zoomScaleNormal="95" zoomScaleSheetLayoutView="70" workbookViewId="0">
      <selection activeCell="I23" sqref="I23"/>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11962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2848</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8554</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570</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1">
      <c r="A6" s="512" t="s">
        <v>520</v>
      </c>
      <c r="B6" s="513"/>
      <c r="C6" s="3400" t="s">
        <v>521</v>
      </c>
      <c r="D6" s="3401"/>
      <c r="E6" s="3400" t="s">
        <v>522</v>
      </c>
      <c r="F6" s="3401"/>
      <c r="G6" s="3400" t="s">
        <v>523</v>
      </c>
      <c r="H6" s="3401"/>
      <c r="I6" s="3400" t="s">
        <v>524</v>
      </c>
      <c r="J6" s="3401"/>
      <c r="K6" s="514" t="s">
        <v>525</v>
      </c>
      <c r="L6" s="2133"/>
      <c r="M6" s="2132"/>
      <c r="N6" s="2132"/>
      <c r="O6" s="2134"/>
      <c r="P6" s="3402" t="s">
        <v>526</v>
      </c>
      <c r="Q6" s="3403"/>
      <c r="R6" s="3388" t="s">
        <v>522</v>
      </c>
      <c r="S6" s="3389"/>
      <c r="T6" s="3388" t="s">
        <v>523</v>
      </c>
      <c r="U6" s="3389"/>
      <c r="V6" s="3408" t="s">
        <v>524</v>
      </c>
      <c r="W6" s="3408"/>
      <c r="X6" s="1568"/>
      <c r="Y6" s="3388" t="s">
        <v>526</v>
      </c>
      <c r="Z6" s="3389"/>
      <c r="AA6" s="3383" t="s">
        <v>522</v>
      </c>
      <c r="AB6" s="3384" t="s">
        <v>523</v>
      </c>
      <c r="AC6" s="3383" t="s">
        <v>524</v>
      </c>
    </row>
    <row r="7" spans="1:30" ht="21">
      <c r="A7" s="515"/>
      <c r="B7" s="516"/>
      <c r="C7" s="3411" t="s">
        <v>3156</v>
      </c>
      <c r="D7" s="3412"/>
      <c r="E7" s="3411" t="str">
        <f>Sheet1!A5</f>
        <v>水关路西侧</v>
      </c>
      <c r="F7" s="3412"/>
      <c r="G7" s="3411" t="str">
        <f>Sheet1!A8</f>
        <v>丝绸路南侧</v>
      </c>
      <c r="H7" s="3412"/>
      <c r="I7" s="3411" t="str">
        <f>Sheet1!A10</f>
        <v>丝绸路北侧、运河西路西侧</v>
      </c>
      <c r="J7" s="3412"/>
      <c r="K7" s="514"/>
      <c r="L7" s="2133"/>
      <c r="M7" s="2132"/>
      <c r="N7" s="2132"/>
      <c r="O7" s="2134"/>
      <c r="P7" s="3404"/>
      <c r="Q7" s="3405"/>
      <c r="R7" s="3390"/>
      <c r="S7" s="3391"/>
      <c r="T7" s="3390"/>
      <c r="U7" s="3391"/>
      <c r="V7" s="3408"/>
      <c r="W7" s="3408"/>
      <c r="X7" s="1568"/>
      <c r="Y7" s="3390"/>
      <c r="Z7" s="3391"/>
      <c r="AA7" s="3384"/>
      <c r="AB7" s="3384"/>
      <c r="AC7" s="3384"/>
    </row>
    <row r="8" spans="1:30" ht="21.6" thickBot="1">
      <c r="A8" s="515"/>
      <c r="B8" s="516"/>
      <c r="C8" s="3413" t="s">
        <v>2931</v>
      </c>
      <c r="D8" s="3414"/>
      <c r="E8" s="3413" t="s">
        <v>2931</v>
      </c>
      <c r="F8" s="3414"/>
      <c r="G8" s="3409" t="s">
        <v>2931</v>
      </c>
      <c r="H8" s="3410"/>
      <c r="I8" s="3409" t="s">
        <v>2931</v>
      </c>
      <c r="J8" s="3410"/>
      <c r="K8" s="514" t="s">
        <v>527</v>
      </c>
      <c r="L8" s="2133"/>
      <c r="M8" s="2132"/>
      <c r="N8" s="2132"/>
      <c r="O8" s="2134"/>
      <c r="P8" s="3406"/>
      <c r="Q8" s="3407"/>
      <c r="R8" s="3390"/>
      <c r="S8" s="3391"/>
      <c r="T8" s="3392"/>
      <c r="U8" s="3393"/>
      <c r="V8" s="3408"/>
      <c r="W8" s="3408"/>
      <c r="X8" s="1568"/>
      <c r="Y8" s="3392"/>
      <c r="Z8" s="3393"/>
      <c r="AA8" s="3385"/>
      <c r="AB8" s="3385"/>
      <c r="AC8" s="3385"/>
    </row>
    <row r="9" spans="1:30" s="1220" customFormat="1" ht="21.6" thickBot="1">
      <c r="A9" s="2912"/>
      <c r="B9" s="2919" t="s">
        <v>528</v>
      </c>
      <c r="C9" s="2911">
        <f>'数据-取费表'!B2</f>
        <v>43780</v>
      </c>
      <c r="D9" s="520">
        <v>100</v>
      </c>
      <c r="E9" s="521" t="str">
        <f>Sheet1!H5</f>
        <v>2018-06-28</v>
      </c>
      <c r="F9" s="522">
        <f>SUMIF(72:72,YEAR(E9)&amp;"-"&amp;INT((MONTH(E9)+2)/3),73:73)</f>
        <v>97</v>
      </c>
      <c r="G9" s="523" t="str">
        <f>Sheet1!H8</f>
        <v>2018-06-28</v>
      </c>
      <c r="H9" s="520">
        <f>SUMIF(72:72,YEAR(G9)&amp;"-"&amp;INT((MONTH(G9)+2)/3),73:73)</f>
        <v>97</v>
      </c>
      <c r="I9" s="523" t="str">
        <f>Sheet1!H10</f>
        <v>2018-06-28</v>
      </c>
      <c r="J9" s="520">
        <f>SUMIF(72:72,YEAR(I9)&amp;"-"&amp;INT((MONTH(I9)+2)/3),73:73)</f>
        <v>97</v>
      </c>
      <c r="K9" s="524"/>
      <c r="L9" s="2135"/>
      <c r="M9" s="2132"/>
      <c r="N9" s="2132"/>
      <c r="O9" s="2136"/>
      <c r="P9" s="3386" t="s">
        <v>529</v>
      </c>
      <c r="Q9" s="3395"/>
      <c r="R9" s="1569" t="s">
        <v>8</v>
      </c>
      <c r="S9" s="1570">
        <f t="shared" ref="S9:S17" si="0">F9</f>
        <v>97</v>
      </c>
      <c r="T9" s="1569" t="s">
        <v>8</v>
      </c>
      <c r="U9" s="1570">
        <f t="shared" ref="U9:U17" si="1">H9</f>
        <v>97</v>
      </c>
      <c r="V9" s="1569" t="s">
        <v>8</v>
      </c>
      <c r="W9" s="1570">
        <f t="shared" ref="W9:W17" si="2">J9</f>
        <v>97</v>
      </c>
      <c r="X9" s="1571"/>
      <c r="Y9" s="3386" t="s">
        <v>529</v>
      </c>
      <c r="Z9" s="3387"/>
      <c r="AA9" s="1572">
        <f>D9/F9</f>
        <v>1.0309278350515463</v>
      </c>
      <c r="AB9" s="1572">
        <f>D9/H9</f>
        <v>1.0309278350515463</v>
      </c>
      <c r="AC9" s="1572">
        <f>D9/J9</f>
        <v>1.0309278350515463</v>
      </c>
    </row>
    <row r="10" spans="1:30" s="1220" customFormat="1" ht="21.6" thickBot="1">
      <c r="A10" s="2913"/>
      <c r="B10" s="2920"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386" t="s">
        <v>532</v>
      </c>
      <c r="Q10" s="3387"/>
      <c r="R10" s="1569" t="s">
        <v>8</v>
      </c>
      <c r="S10" s="1570">
        <f t="shared" si="0"/>
        <v>100</v>
      </c>
      <c r="T10" s="1569" t="s">
        <v>8</v>
      </c>
      <c r="U10" s="1570">
        <f t="shared" si="1"/>
        <v>100</v>
      </c>
      <c r="V10" s="1569" t="s">
        <v>8</v>
      </c>
      <c r="W10" s="1570">
        <f t="shared" si="2"/>
        <v>100</v>
      </c>
      <c r="X10" s="1571"/>
      <c r="Y10" s="3386" t="s">
        <v>532</v>
      </c>
      <c r="Z10" s="3387"/>
      <c r="AA10" s="1572">
        <f t="shared" ref="AA10:AA47" si="3">D10/F10</f>
        <v>1</v>
      </c>
      <c r="AB10" s="1572">
        <f t="shared" ref="AB10:AB47" si="4">D10/H10</f>
        <v>1</v>
      </c>
      <c r="AC10" s="1572">
        <f t="shared" ref="AC10:AC47" si="5">D10/J10</f>
        <v>1</v>
      </c>
    </row>
    <row r="11" spans="1:30" s="1220" customFormat="1" ht="21">
      <c r="A11" s="2914"/>
      <c r="B11" s="2921" t="s">
        <v>2757</v>
      </c>
      <c r="C11" s="2908" t="s">
        <v>921</v>
      </c>
      <c r="D11" s="254">
        <v>100</v>
      </c>
      <c r="E11" s="526" t="s">
        <v>921</v>
      </c>
      <c r="F11" s="254">
        <f>SUMIF(77:77,E11,78:78)-SUMIF(77:77,C11,78:78)+100</f>
        <v>100</v>
      </c>
      <c r="G11" s="526" t="s">
        <v>921</v>
      </c>
      <c r="H11" s="254">
        <f>SUMIF(77:77,G11,78:78)-SUMIF(77:77,C11,78:78)+100</f>
        <v>100</v>
      </c>
      <c r="I11" s="526" t="s">
        <v>921</v>
      </c>
      <c r="J11" s="254">
        <f>SUMIF(77:77,I11,78:78)-SUMIF(77:77,C11,78:78)+100</f>
        <v>100</v>
      </c>
      <c r="K11" s="524"/>
      <c r="L11" s="2135"/>
      <c r="M11" s="2132"/>
      <c r="N11" s="2132"/>
      <c r="O11" s="2137"/>
      <c r="P11" s="3394" t="s">
        <v>534</v>
      </c>
      <c r="Q11" s="1151" t="str">
        <f t="shared" ref="Q11:Q17" si="6">B11</f>
        <v>用途</v>
      </c>
      <c r="R11" s="1569" t="s">
        <v>8</v>
      </c>
      <c r="S11" s="1570">
        <f t="shared" si="0"/>
        <v>100</v>
      </c>
      <c r="T11" s="1569" t="s">
        <v>8</v>
      </c>
      <c r="U11" s="1570">
        <f t="shared" si="1"/>
        <v>100</v>
      </c>
      <c r="V11" s="1569" t="s">
        <v>8</v>
      </c>
      <c r="W11" s="1570">
        <f t="shared" si="2"/>
        <v>100</v>
      </c>
      <c r="X11" s="1571"/>
      <c r="Y11" s="3351" t="s">
        <v>535</v>
      </c>
      <c r="Z11" s="1150" t="str">
        <f t="shared" ref="Z11:Z17" si="7">Q11</f>
        <v>用途</v>
      </c>
      <c r="AA11" s="1572">
        <f t="shared" si="3"/>
        <v>1</v>
      </c>
      <c r="AB11" s="1572">
        <f t="shared" si="4"/>
        <v>1</v>
      </c>
      <c r="AC11" s="1572">
        <f t="shared" si="5"/>
        <v>1</v>
      </c>
    </row>
    <row r="12" spans="1:30" s="1338" customFormat="1" ht="28.8">
      <c r="A12" s="2915"/>
      <c r="B12" s="2920" t="s">
        <v>2758</v>
      </c>
      <c r="C12" s="910">
        <v>68.5</v>
      </c>
      <c r="D12" s="255">
        <v>100</v>
      </c>
      <c r="E12" s="529" t="s">
        <v>3164</v>
      </c>
      <c r="F12" s="255">
        <f>ROUND(100/'数据-取费表'!G16,0)</f>
        <v>101</v>
      </c>
      <c r="G12" s="530" t="s">
        <v>3165</v>
      </c>
      <c r="H12" s="255">
        <f>ROUND(100/'数据-取费表'!G16,0)</f>
        <v>101</v>
      </c>
      <c r="I12" s="530" t="s">
        <v>3164</v>
      </c>
      <c r="J12" s="255">
        <f>ROUND(100/'数据-取费表'!G16,0)</f>
        <v>101</v>
      </c>
      <c r="K12" s="531"/>
      <c r="L12" s="2138"/>
      <c r="M12" s="2132"/>
      <c r="N12" s="2132"/>
      <c r="O12" s="2139"/>
      <c r="P12" s="3394"/>
      <c r="Q12" s="1151" t="str">
        <f t="shared" si="6"/>
        <v>土地使用年限（年）</v>
      </c>
      <c r="R12" s="1569" t="s">
        <v>8</v>
      </c>
      <c r="S12" s="1570">
        <f t="shared" si="0"/>
        <v>101</v>
      </c>
      <c r="T12" s="1569" t="s">
        <v>8</v>
      </c>
      <c r="U12" s="1570">
        <f t="shared" si="1"/>
        <v>101</v>
      </c>
      <c r="V12" s="1569" t="s">
        <v>8</v>
      </c>
      <c r="W12" s="1570">
        <f t="shared" si="2"/>
        <v>101</v>
      </c>
      <c r="X12" s="1571"/>
      <c r="Y12" s="3351"/>
      <c r="Z12" s="1150" t="str">
        <f t="shared" si="7"/>
        <v>土地使用年限（年）</v>
      </c>
      <c r="AA12" s="1572">
        <f t="shared" si="3"/>
        <v>0.99009900990099009</v>
      </c>
      <c r="AB12" s="1572">
        <f t="shared" si="4"/>
        <v>0.99009900990099009</v>
      </c>
      <c r="AC12" s="1572">
        <f t="shared" si="5"/>
        <v>0.99009900990099009</v>
      </c>
    </row>
    <row r="13" spans="1:30" ht="21">
      <c r="A13" s="2916"/>
      <c r="B13" s="2920" t="s">
        <v>2759</v>
      </c>
      <c r="C13" s="534">
        <v>3</v>
      </c>
      <c r="D13" s="255">
        <v>100</v>
      </c>
      <c r="E13" s="533">
        <v>3.5</v>
      </c>
      <c r="F13" s="255">
        <f>LOOKUP(E13,82:82,83:83)-LOOKUP(C13,82:82,83:83)+100</f>
        <v>100</v>
      </c>
      <c r="G13" s="534">
        <v>2.5</v>
      </c>
      <c r="H13" s="255">
        <f>LOOKUP(G13,82:82,83:83)-LOOKUP(C13,82:82,83:83)+100</f>
        <v>105</v>
      </c>
      <c r="I13" s="533">
        <v>1.5</v>
      </c>
      <c r="J13" s="255">
        <f>LOOKUP(I13,82:82,83:83)-LOOKUP(C13,82:82,83:83)+100</f>
        <v>110</v>
      </c>
      <c r="K13" s="535">
        <v>5</v>
      </c>
      <c r="L13" s="2140"/>
      <c r="M13" s="2132"/>
      <c r="N13" s="2132"/>
      <c r="O13" s="2141"/>
      <c r="P13" s="3394"/>
      <c r="Q13" s="1151" t="str">
        <f t="shared" si="6"/>
        <v>容积率</v>
      </c>
      <c r="R13" s="1569" t="s">
        <v>8</v>
      </c>
      <c r="S13" s="1570">
        <f t="shared" si="0"/>
        <v>100</v>
      </c>
      <c r="T13" s="1569" t="s">
        <v>8</v>
      </c>
      <c r="U13" s="1570">
        <f t="shared" si="1"/>
        <v>105</v>
      </c>
      <c r="V13" s="1569" t="s">
        <v>8</v>
      </c>
      <c r="W13" s="1570">
        <f t="shared" si="2"/>
        <v>110</v>
      </c>
      <c r="X13" s="1571"/>
      <c r="Y13" s="3351"/>
      <c r="Z13" s="1150" t="str">
        <f t="shared" si="7"/>
        <v>容积率</v>
      </c>
      <c r="AA13" s="1572">
        <f t="shared" si="3"/>
        <v>1</v>
      </c>
      <c r="AB13" s="1572">
        <f t="shared" si="4"/>
        <v>0.95238095238095233</v>
      </c>
      <c r="AC13" s="1572">
        <f t="shared" si="5"/>
        <v>0.90909090909090906</v>
      </c>
    </row>
    <row r="14" spans="1:30" s="1220" customFormat="1" ht="21">
      <c r="A14" s="2913"/>
      <c r="B14" s="2922" t="s">
        <v>2760</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94"/>
      <c r="Q14" s="1151" t="str">
        <f t="shared" si="6"/>
        <v>配建</v>
      </c>
      <c r="R14" s="1569" t="s">
        <v>8</v>
      </c>
      <c r="S14" s="1570">
        <f t="shared" si="0"/>
        <v>100</v>
      </c>
      <c r="T14" s="1569" t="s">
        <v>8</v>
      </c>
      <c r="U14" s="1570">
        <f t="shared" si="1"/>
        <v>100</v>
      </c>
      <c r="V14" s="1569" t="s">
        <v>8</v>
      </c>
      <c r="W14" s="1570">
        <f t="shared" si="2"/>
        <v>100</v>
      </c>
      <c r="X14" s="1571"/>
      <c r="Y14" s="3351"/>
      <c r="Z14" s="1150" t="str">
        <f t="shared" si="7"/>
        <v>配建</v>
      </c>
      <c r="AA14" s="1572">
        <f>D14/F14</f>
        <v>1</v>
      </c>
      <c r="AB14" s="1572">
        <f>D14/H14</f>
        <v>1</v>
      </c>
      <c r="AC14" s="1572">
        <f>D14/J14</f>
        <v>1</v>
      </c>
    </row>
    <row r="15" spans="1:30" ht="2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94"/>
      <c r="Q15" s="1151">
        <f t="shared" si="6"/>
        <v>111</v>
      </c>
      <c r="R15" s="1569" t="s">
        <v>8</v>
      </c>
      <c r="S15" s="1570">
        <f t="shared" si="0"/>
        <v>100</v>
      </c>
      <c r="T15" s="1569" t="s">
        <v>8</v>
      </c>
      <c r="U15" s="1570">
        <f t="shared" si="1"/>
        <v>100</v>
      </c>
      <c r="V15" s="1569" t="s">
        <v>8</v>
      </c>
      <c r="W15" s="1570">
        <f t="shared" si="2"/>
        <v>100</v>
      </c>
      <c r="X15" s="1571"/>
      <c r="Y15" s="3351"/>
      <c r="Z15" s="1150">
        <f t="shared" si="7"/>
        <v>111</v>
      </c>
      <c r="AA15" s="1572">
        <f>D15/F15</f>
        <v>1</v>
      </c>
      <c r="AB15" s="1572">
        <f>D15/H15</f>
        <v>1</v>
      </c>
      <c r="AC15" s="1572">
        <f>D15/J15</f>
        <v>1</v>
      </c>
    </row>
    <row r="16" spans="1:30" ht="21.6"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4"/>
      <c r="Q16" s="1151">
        <f t="shared" si="6"/>
        <v>111</v>
      </c>
      <c r="R16" s="1569" t="s">
        <v>8</v>
      </c>
      <c r="S16" s="1570">
        <f t="shared" si="0"/>
        <v>100</v>
      </c>
      <c r="T16" s="1569" t="s">
        <v>8</v>
      </c>
      <c r="U16" s="1570">
        <f t="shared" si="1"/>
        <v>100</v>
      </c>
      <c r="V16" s="1569" t="s">
        <v>8</v>
      </c>
      <c r="W16" s="1570">
        <f t="shared" si="2"/>
        <v>100</v>
      </c>
      <c r="X16" s="1571"/>
      <c r="Y16" s="3351"/>
      <c r="Z16" s="1150">
        <f t="shared" si="7"/>
        <v>111</v>
      </c>
      <c r="AA16" s="1572">
        <f>D16/F16</f>
        <v>1</v>
      </c>
      <c r="AB16" s="1572">
        <f>D16/H16</f>
        <v>1</v>
      </c>
      <c r="AC16" s="1572">
        <f>D16/J16</f>
        <v>1</v>
      </c>
    </row>
    <row r="17" spans="1:29" ht="96.6">
      <c r="A17" s="2910"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2"/>
      <c r="M17" s="2132"/>
      <c r="N17" s="2132"/>
      <c r="O17" s="2141"/>
      <c r="P17" s="3396" t="s">
        <v>539</v>
      </c>
      <c r="Q17" s="1573" t="str">
        <f t="shared" si="6"/>
        <v>居住社区成熟度</v>
      </c>
      <c r="R17" s="1574" t="s">
        <v>8</v>
      </c>
      <c r="S17" s="1575">
        <f t="shared" si="0"/>
        <v>105</v>
      </c>
      <c r="T17" s="1574" t="s">
        <v>8</v>
      </c>
      <c r="U17" s="1575">
        <f t="shared" si="1"/>
        <v>105</v>
      </c>
      <c r="V17" s="1574" t="s">
        <v>8</v>
      </c>
      <c r="W17" s="1575">
        <f t="shared" si="2"/>
        <v>105</v>
      </c>
      <c r="X17" s="1568"/>
      <c r="Y17" s="3396" t="s">
        <v>539</v>
      </c>
      <c r="Z17" s="1576" t="str">
        <f t="shared" si="7"/>
        <v>居住社区成熟度</v>
      </c>
      <c r="AA17" s="1577">
        <f t="shared" si="3"/>
        <v>0.95238095238095233</v>
      </c>
      <c r="AB17" s="1577">
        <f t="shared" si="4"/>
        <v>0.95238095238095233</v>
      </c>
      <c r="AC17" s="1577">
        <f t="shared" si="5"/>
        <v>0.95238095238095233</v>
      </c>
    </row>
    <row r="18" spans="1:29" ht="21">
      <c r="A18" s="532"/>
      <c r="B18" s="553"/>
      <c r="C18" s="554" t="s">
        <v>2995</v>
      </c>
      <c r="D18" s="557"/>
      <c r="E18" s="558" t="s">
        <v>2997</v>
      </c>
      <c r="F18" s="555"/>
      <c r="G18" s="556" t="s">
        <v>2997</v>
      </c>
      <c r="H18" s="559"/>
      <c r="I18" s="558" t="s">
        <v>2997</v>
      </c>
      <c r="J18" s="555"/>
      <c r="K18" s="531"/>
      <c r="L18" s="2142"/>
      <c r="M18" s="2132"/>
      <c r="N18" s="2132"/>
      <c r="O18" s="2141"/>
      <c r="P18" s="3397"/>
      <c r="Q18" s="1573"/>
      <c r="R18" s="1574"/>
      <c r="S18" s="1575"/>
      <c r="T18" s="1574"/>
      <c r="U18" s="1575"/>
      <c r="V18" s="1574"/>
      <c r="W18" s="1575"/>
      <c r="X18" s="1568"/>
      <c r="Y18" s="3397"/>
      <c r="Z18" s="1576"/>
      <c r="AA18" s="1577">
        <v>1</v>
      </c>
      <c r="AB18" s="1577">
        <v>1</v>
      </c>
      <c r="AC18" s="1577">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105</v>
      </c>
      <c r="G19" s="562"/>
      <c r="H19" s="565">
        <f>SUMIF(92:92,G20,93:93)-SUMIF(92:92,C20,93:93)+100</f>
        <v>105</v>
      </c>
      <c r="I19" s="564"/>
      <c r="J19" s="565">
        <f>SUMIF(92:92,I20,93:93)-SUMIF(92:92,C20,93:93)+100</f>
        <v>105</v>
      </c>
      <c r="K19" s="535">
        <v>5</v>
      </c>
      <c r="L19" s="2142"/>
      <c r="M19" s="2132"/>
      <c r="N19" s="2132"/>
      <c r="O19" s="2141"/>
      <c r="P19" s="3397"/>
      <c r="Q19" s="1573" t="str">
        <f>B19</f>
        <v>商业繁华度</v>
      </c>
      <c r="R19" s="1574" t="s">
        <v>8</v>
      </c>
      <c r="S19" s="1575">
        <f>F19</f>
        <v>105</v>
      </c>
      <c r="T19" s="1574" t="s">
        <v>8</v>
      </c>
      <c r="U19" s="1575">
        <f>H19</f>
        <v>105</v>
      </c>
      <c r="V19" s="1574" t="s">
        <v>8</v>
      </c>
      <c r="W19" s="1575">
        <f>J19</f>
        <v>105</v>
      </c>
      <c r="X19" s="1568"/>
      <c r="Y19" s="3397"/>
      <c r="Z19" s="1576" t="str">
        <f>Q19</f>
        <v>商业繁华度</v>
      </c>
      <c r="AA19" s="1577">
        <f t="shared" si="3"/>
        <v>0.95238095238095233</v>
      </c>
      <c r="AB19" s="1577">
        <f t="shared" si="4"/>
        <v>0.95238095238095233</v>
      </c>
      <c r="AC19" s="1577">
        <f t="shared" si="5"/>
        <v>0.95238095238095233</v>
      </c>
    </row>
    <row r="20" spans="1:29" ht="21">
      <c r="A20" s="532"/>
      <c r="B20" s="566"/>
      <c r="C20" s="567" t="s">
        <v>2996</v>
      </c>
      <c r="D20" s="563"/>
      <c r="E20" s="558" t="s">
        <v>2995</v>
      </c>
      <c r="F20" s="559"/>
      <c r="G20" s="558" t="s">
        <v>2995</v>
      </c>
      <c r="H20" s="555"/>
      <c r="I20" s="558" t="s">
        <v>2995</v>
      </c>
      <c r="J20" s="555"/>
      <c r="K20" s="531"/>
      <c r="L20" s="2142"/>
      <c r="M20" s="2132"/>
      <c r="N20" s="2132"/>
      <c r="O20" s="2141"/>
      <c r="P20" s="3397"/>
      <c r="Q20" s="1573"/>
      <c r="R20" s="1574"/>
      <c r="S20" s="1575"/>
      <c r="T20" s="1574"/>
      <c r="U20" s="1575"/>
      <c r="V20" s="1574"/>
      <c r="W20" s="1575"/>
      <c r="X20" s="1568"/>
      <c r="Y20" s="3397"/>
      <c r="Z20" s="1576"/>
      <c r="AA20" s="1577">
        <v>1</v>
      </c>
      <c r="AB20" s="1577">
        <v>1</v>
      </c>
      <c r="AC20" s="1577">
        <v>1</v>
      </c>
    </row>
    <row r="21" spans="1:29" ht="69"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1" hidden="1">
      <c r="A22" s="532"/>
      <c r="B22" s="566"/>
      <c r="C22" s="554" t="s">
        <v>2995</v>
      </c>
      <c r="D22" s="557"/>
      <c r="E22" s="558" t="s">
        <v>2995</v>
      </c>
      <c r="F22" s="555"/>
      <c r="G22" s="556" t="s">
        <v>2995</v>
      </c>
      <c r="H22" s="555"/>
      <c r="I22" s="558" t="s">
        <v>2995</v>
      </c>
      <c r="J22" s="555"/>
      <c r="K22" s="531"/>
      <c r="L22" s="2142"/>
      <c r="M22" s="2132"/>
      <c r="N22" s="2132"/>
      <c r="O22" s="2141"/>
      <c r="P22" s="3397"/>
      <c r="Q22" s="1573"/>
      <c r="R22" s="1574"/>
      <c r="S22" s="1575"/>
      <c r="T22" s="1574"/>
      <c r="U22" s="1575"/>
      <c r="V22" s="1574"/>
      <c r="W22" s="1575"/>
      <c r="X22" s="1568"/>
      <c r="Y22" s="3397"/>
      <c r="Z22" s="1576"/>
      <c r="AA22" s="1577">
        <v>1</v>
      </c>
      <c r="AB22" s="1577">
        <v>1</v>
      </c>
      <c r="AC22" s="1577">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397"/>
      <c r="Q23" s="1573" t="str">
        <f>B23</f>
        <v>交通便捷度</v>
      </c>
      <c r="R23" s="1574" t="s">
        <v>8</v>
      </c>
      <c r="S23" s="1575">
        <f>F23</f>
        <v>100</v>
      </c>
      <c r="T23" s="1574" t="s">
        <v>8</v>
      </c>
      <c r="U23" s="1575">
        <f>H23</f>
        <v>100</v>
      </c>
      <c r="V23" s="1574" t="s">
        <v>8</v>
      </c>
      <c r="W23" s="1575">
        <f>J23</f>
        <v>100</v>
      </c>
      <c r="X23" s="1568"/>
      <c r="Y23" s="3397"/>
      <c r="Z23" s="1576" t="str">
        <f>Q23</f>
        <v>交通便捷度</v>
      </c>
      <c r="AA23" s="1577">
        <f t="shared" si="3"/>
        <v>1</v>
      </c>
      <c r="AB23" s="1577">
        <f t="shared" si="4"/>
        <v>1</v>
      </c>
      <c r="AC23" s="1577">
        <f t="shared" si="5"/>
        <v>1</v>
      </c>
    </row>
    <row r="24" spans="1:29" ht="21">
      <c r="A24" s="532"/>
      <c r="B24" s="578"/>
      <c r="C24" s="554" t="s">
        <v>2995</v>
      </c>
      <c r="D24" s="557"/>
      <c r="E24" s="558" t="s">
        <v>2995</v>
      </c>
      <c r="F24" s="555"/>
      <c r="G24" s="556" t="s">
        <v>2995</v>
      </c>
      <c r="H24" s="555"/>
      <c r="I24" s="558" t="s">
        <v>2995</v>
      </c>
      <c r="J24" s="555"/>
      <c r="K24" s="531"/>
      <c r="L24" s="2142"/>
      <c r="M24" s="2132"/>
      <c r="N24" s="2132"/>
      <c r="O24" s="2141"/>
      <c r="P24" s="3397"/>
      <c r="Q24" s="1573"/>
      <c r="R24" s="1574"/>
      <c r="S24" s="1575"/>
      <c r="T24" s="1574"/>
      <c r="U24" s="1575"/>
      <c r="V24" s="1574"/>
      <c r="W24" s="1575"/>
      <c r="X24" s="1568"/>
      <c r="Y24" s="3397"/>
      <c r="Z24" s="1576"/>
      <c r="AA24" s="1577">
        <v>1</v>
      </c>
      <c r="AB24" s="1577">
        <v>1</v>
      </c>
      <c r="AC24" s="1577">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397"/>
      <c r="Q25" s="1573" t="str">
        <f t="shared" ref="Q25:Q39" si="8">B25</f>
        <v>区域土地利用方向</v>
      </c>
      <c r="R25" s="1574" t="s">
        <v>8</v>
      </c>
      <c r="S25" s="1575">
        <f>F25</f>
        <v>100</v>
      </c>
      <c r="T25" s="1574" t="s">
        <v>8</v>
      </c>
      <c r="U25" s="1575">
        <f>H25</f>
        <v>100</v>
      </c>
      <c r="V25" s="1574" t="s">
        <v>8</v>
      </c>
      <c r="W25" s="1575">
        <f>J25</f>
        <v>100</v>
      </c>
      <c r="X25" s="1568"/>
      <c r="Y25" s="3397"/>
      <c r="Z25" s="1576" t="str">
        <f>Q25</f>
        <v>区域土地利用方向</v>
      </c>
      <c r="AA25" s="1577">
        <f t="shared" si="3"/>
        <v>1</v>
      </c>
      <c r="AB25" s="1577">
        <f t="shared" si="4"/>
        <v>1</v>
      </c>
      <c r="AC25" s="1577">
        <f t="shared" si="5"/>
        <v>1</v>
      </c>
    </row>
    <row r="26" spans="1:29" ht="21">
      <c r="A26" s="515"/>
      <c r="B26" s="1007"/>
      <c r="C26" s="554" t="s">
        <v>2995</v>
      </c>
      <c r="D26" s="557"/>
      <c r="E26" s="558" t="s">
        <v>2995</v>
      </c>
      <c r="F26" s="555"/>
      <c r="G26" s="556" t="s">
        <v>2995</v>
      </c>
      <c r="H26" s="555"/>
      <c r="I26" s="558" t="s">
        <v>2995</v>
      </c>
      <c r="J26" s="555"/>
      <c r="K26" s="531"/>
      <c r="L26" s="2142"/>
      <c r="M26" s="2132"/>
      <c r="N26" s="2132"/>
      <c r="O26" s="2141"/>
      <c r="P26" s="3397"/>
      <c r="Q26" s="1573"/>
      <c r="R26" s="1574"/>
      <c r="S26" s="1575"/>
      <c r="T26" s="1574"/>
      <c r="U26" s="1575"/>
      <c r="V26" s="1574"/>
      <c r="W26" s="1575"/>
      <c r="X26" s="1568"/>
      <c r="Y26" s="3397"/>
      <c r="Z26" s="1576"/>
      <c r="AA26" s="1577"/>
      <c r="AB26" s="1577"/>
      <c r="AC26" s="1577"/>
    </row>
    <row r="27" spans="1:29" ht="55.2">
      <c r="A27" s="515"/>
      <c r="B27" s="578" t="s">
        <v>544</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2"/>
      <c r="M27" s="2132"/>
      <c r="N27" s="2132"/>
      <c r="O27" s="2141"/>
      <c r="P27" s="3397"/>
      <c r="Q27" s="1573" t="str">
        <f t="shared" si="8"/>
        <v>自然及人文环境状况</v>
      </c>
      <c r="R27" s="1574" t="s">
        <v>8</v>
      </c>
      <c r="S27" s="1575">
        <f>F27</f>
        <v>105</v>
      </c>
      <c r="T27" s="1574" t="s">
        <v>8</v>
      </c>
      <c r="U27" s="1575">
        <f>H27</f>
        <v>105</v>
      </c>
      <c r="V27" s="1574" t="s">
        <v>8</v>
      </c>
      <c r="W27" s="1575">
        <f>J27</f>
        <v>105</v>
      </c>
      <c r="X27" s="1568"/>
      <c r="Y27" s="3397"/>
      <c r="Z27" s="1576" t="str">
        <f>Q27</f>
        <v>自然及人文环境状况</v>
      </c>
      <c r="AA27" s="1577">
        <f t="shared" si="3"/>
        <v>0.95238095238095233</v>
      </c>
      <c r="AB27" s="1577">
        <f t="shared" si="4"/>
        <v>0.95238095238095233</v>
      </c>
      <c r="AC27" s="1577">
        <f t="shared" si="5"/>
        <v>0.95238095238095233</v>
      </c>
    </row>
    <row r="28" spans="1:29" ht="21">
      <c r="A28" s="515"/>
      <c r="B28" s="566"/>
      <c r="C28" s="554" t="s">
        <v>2996</v>
      </c>
      <c r="D28" s="557"/>
      <c r="E28" s="576" t="s">
        <v>2995</v>
      </c>
      <c r="F28" s="555"/>
      <c r="G28" s="554" t="s">
        <v>2995</v>
      </c>
      <c r="H28" s="555"/>
      <c r="I28" s="576" t="s">
        <v>2995</v>
      </c>
      <c r="J28" s="555"/>
      <c r="K28" s="531"/>
      <c r="L28" s="2142"/>
      <c r="M28" s="2132"/>
      <c r="N28" s="2132"/>
      <c r="O28" s="2141"/>
      <c r="P28" s="3397"/>
      <c r="Q28" s="1573"/>
      <c r="R28" s="1574"/>
      <c r="S28" s="1575"/>
      <c r="T28" s="1574"/>
      <c r="U28" s="1575"/>
      <c r="V28" s="1574"/>
      <c r="W28" s="1575"/>
      <c r="X28" s="1568"/>
      <c r="Y28" s="3397"/>
      <c r="Z28" s="1576"/>
      <c r="AA28" s="1577">
        <v>1</v>
      </c>
      <c r="AB28" s="1577">
        <v>1</v>
      </c>
      <c r="AC28" s="1577">
        <v>1</v>
      </c>
    </row>
    <row r="29" spans="1:29" s="1220" customFormat="1" ht="41.4">
      <c r="A29" s="577"/>
      <c r="B29" s="2591" t="s">
        <v>2549</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35"/>
      <c r="M29" s="2132"/>
      <c r="N29" s="2132"/>
      <c r="O29" s="2137"/>
      <c r="P29" s="3397"/>
      <c r="Q29" s="1151" t="str">
        <f t="shared" si="8"/>
        <v>公共配套设施</v>
      </c>
      <c r="R29" s="1569" t="s">
        <v>8</v>
      </c>
      <c r="S29" s="1570">
        <f>F29</f>
        <v>105</v>
      </c>
      <c r="T29" s="1569" t="s">
        <v>8</v>
      </c>
      <c r="U29" s="1570">
        <f>H29</f>
        <v>105</v>
      </c>
      <c r="V29" s="1569" t="s">
        <v>8</v>
      </c>
      <c r="W29" s="1570">
        <f>J29</f>
        <v>105</v>
      </c>
      <c r="X29" s="1571"/>
      <c r="Y29" s="3397"/>
      <c r="Z29" s="1150" t="str">
        <f>Q29</f>
        <v>公共配套设施</v>
      </c>
      <c r="AA29" s="1577">
        <f>D29/F29</f>
        <v>0.95238095238095233</v>
      </c>
      <c r="AB29" s="1577">
        <f>D29/H29</f>
        <v>0.95238095238095233</v>
      </c>
      <c r="AC29" s="1577">
        <f>D29/J29</f>
        <v>0.95238095238095233</v>
      </c>
    </row>
    <row r="30" spans="1:29" s="1220" customFormat="1" ht="21">
      <c r="A30" s="577"/>
      <c r="B30" s="566"/>
      <c r="C30" s="579" t="s">
        <v>2995</v>
      </c>
      <c r="D30" s="557"/>
      <c r="E30" s="576" t="s">
        <v>2997</v>
      </c>
      <c r="F30" s="555"/>
      <c r="G30" s="554" t="s">
        <v>2997</v>
      </c>
      <c r="H30" s="555"/>
      <c r="I30" s="576" t="s">
        <v>2997</v>
      </c>
      <c r="J30" s="555"/>
      <c r="K30" s="531"/>
      <c r="L30" s="2135"/>
      <c r="M30" s="2132"/>
      <c r="N30" s="2132"/>
      <c r="O30" s="2137"/>
      <c r="P30" s="3397"/>
      <c r="Q30" s="1151"/>
      <c r="R30" s="1569"/>
      <c r="S30" s="1570"/>
      <c r="T30" s="1569"/>
      <c r="U30" s="1570"/>
      <c r="V30" s="1569"/>
      <c r="W30" s="1570"/>
      <c r="X30" s="1571"/>
      <c r="Y30" s="3397"/>
      <c r="Z30" s="1150"/>
      <c r="AA30" s="1577">
        <v>1</v>
      </c>
      <c r="AB30" s="1577">
        <v>1</v>
      </c>
      <c r="AC30" s="1577">
        <v>1</v>
      </c>
    </row>
    <row r="31" spans="1:29" s="1220" customFormat="1" ht="27.6">
      <c r="A31" s="577"/>
      <c r="B31" s="259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97"/>
      <c r="Q31" s="2578" t="str">
        <f t="shared" ref="Q31" si="9">B31</f>
        <v>基础设施水平</v>
      </c>
      <c r="R31" s="1569" t="s">
        <v>8</v>
      </c>
      <c r="S31" s="1570">
        <f>F31</f>
        <v>100</v>
      </c>
      <c r="T31" s="1569" t="s">
        <v>8</v>
      </c>
      <c r="U31" s="1570">
        <f>H31</f>
        <v>100</v>
      </c>
      <c r="V31" s="1569" t="s">
        <v>8</v>
      </c>
      <c r="W31" s="1570">
        <f>J31</f>
        <v>100</v>
      </c>
      <c r="X31" s="1571"/>
      <c r="Y31" s="3397"/>
      <c r="Z31" s="2575" t="str">
        <f>Q31</f>
        <v>基础设施水平</v>
      </c>
      <c r="AA31" s="1577">
        <f>D31/F31</f>
        <v>1</v>
      </c>
      <c r="AB31" s="1577">
        <f>D31/H31</f>
        <v>1</v>
      </c>
      <c r="AC31" s="1577">
        <f>D31/J31</f>
        <v>1</v>
      </c>
    </row>
    <row r="32" spans="1:29" s="1220" customFormat="1" ht="21">
      <c r="A32" s="577"/>
      <c r="B32" s="566"/>
      <c r="C32" s="579" t="s">
        <v>3084</v>
      </c>
      <c r="D32" s="557"/>
      <c r="E32" s="2592" t="s">
        <v>3084</v>
      </c>
      <c r="F32" s="555"/>
      <c r="G32" s="579" t="s">
        <v>3084</v>
      </c>
      <c r="H32" s="555"/>
      <c r="I32" s="579" t="s">
        <v>3084</v>
      </c>
      <c r="J32" s="555"/>
      <c r="K32" s="531"/>
      <c r="L32" s="2135"/>
      <c r="M32" s="2132"/>
      <c r="N32" s="2132"/>
      <c r="O32" s="2137"/>
      <c r="P32" s="3397"/>
      <c r="Q32" s="2578"/>
      <c r="R32" s="1569"/>
      <c r="S32" s="1570"/>
      <c r="T32" s="1569"/>
      <c r="U32" s="1570"/>
      <c r="V32" s="1569"/>
      <c r="W32" s="1570"/>
      <c r="X32" s="1571"/>
      <c r="Y32" s="3397"/>
      <c r="Z32" s="2575"/>
      <c r="AA32" s="1577">
        <v>1</v>
      </c>
      <c r="AB32" s="1577">
        <v>1</v>
      </c>
      <c r="AC32" s="1577">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9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7"/>
      <c r="Z33" s="1576" t="str">
        <f t="shared" ref="Z33:Z47" si="13">Q33</f>
        <v>临街状况</v>
      </c>
      <c r="AA33" s="1577">
        <f t="shared" si="3"/>
        <v>1</v>
      </c>
      <c r="AB33" s="1577">
        <f t="shared" si="4"/>
        <v>1</v>
      </c>
      <c r="AC33" s="1577">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397"/>
      <c r="Q34" s="1573" t="str">
        <f t="shared" si="8"/>
        <v>毗邻道路的类型与等级</v>
      </c>
      <c r="R34" s="1574" t="s">
        <v>8</v>
      </c>
      <c r="S34" s="1575">
        <f t="shared" si="10"/>
        <v>100</v>
      </c>
      <c r="T34" s="1574" t="s">
        <v>8</v>
      </c>
      <c r="U34" s="1575">
        <f t="shared" si="11"/>
        <v>100</v>
      </c>
      <c r="V34" s="1574" t="s">
        <v>8</v>
      </c>
      <c r="W34" s="1575">
        <f t="shared" si="12"/>
        <v>100</v>
      </c>
      <c r="X34" s="1568"/>
      <c r="Y34" s="3397"/>
      <c r="Z34" s="1576" t="str">
        <f t="shared" si="13"/>
        <v>毗邻道路的类型与等级</v>
      </c>
      <c r="AA34" s="1577">
        <f t="shared" si="3"/>
        <v>1</v>
      </c>
      <c r="AB34" s="1577">
        <f t="shared" si="4"/>
        <v>1</v>
      </c>
      <c r="AC34" s="1577">
        <f t="shared" si="5"/>
        <v>1</v>
      </c>
    </row>
    <row r="35" spans="1:29" ht="21">
      <c r="A35" s="532"/>
      <c r="B35" s="566"/>
      <c r="C35" s="554" t="s">
        <v>3157</v>
      </c>
      <c r="D35" s="557"/>
      <c r="E35" s="576" t="s">
        <v>3157</v>
      </c>
      <c r="F35" s="555"/>
      <c r="G35" s="554" t="s">
        <v>3157</v>
      </c>
      <c r="H35" s="555"/>
      <c r="I35" s="576" t="s">
        <v>3157</v>
      </c>
      <c r="J35" s="555"/>
      <c r="K35" s="581"/>
      <c r="L35" s="2142"/>
      <c r="M35" s="2132"/>
      <c r="N35" s="2132"/>
      <c r="O35" s="2141"/>
      <c r="P35" s="3397"/>
      <c r="Q35" s="1573"/>
      <c r="R35" s="1574"/>
      <c r="S35" s="1575"/>
      <c r="T35" s="1574"/>
      <c r="U35" s="1575"/>
      <c r="V35" s="1574"/>
      <c r="W35" s="1575"/>
      <c r="X35" s="1568"/>
      <c r="Y35" s="3397"/>
      <c r="Z35" s="1576"/>
      <c r="AA35" s="1577">
        <v>1</v>
      </c>
      <c r="AB35" s="1577">
        <v>1</v>
      </c>
      <c r="AC35" s="1577">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7"/>
      <c r="Q37" s="1573">
        <f t="shared" si="8"/>
        <v>111</v>
      </c>
      <c r="R37" s="1574" t="s">
        <v>8</v>
      </c>
      <c r="S37" s="1575">
        <f t="shared" si="10"/>
        <v>100</v>
      </c>
      <c r="T37" s="1574" t="s">
        <v>8</v>
      </c>
      <c r="U37" s="1575">
        <f t="shared" si="11"/>
        <v>100</v>
      </c>
      <c r="V37" s="1574" t="s">
        <v>8</v>
      </c>
      <c r="W37" s="1575">
        <f t="shared" si="12"/>
        <v>100</v>
      </c>
      <c r="X37" s="1568"/>
      <c r="Y37" s="3397"/>
      <c r="Z37" s="1576">
        <f t="shared" si="13"/>
        <v>111</v>
      </c>
      <c r="AA37" s="1577">
        <f t="shared" si="3"/>
        <v>1</v>
      </c>
      <c r="AB37" s="1577">
        <f t="shared" si="4"/>
        <v>1</v>
      </c>
      <c r="AC37" s="1577">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8" t="s">
        <v>549</v>
      </c>
      <c r="Q38" s="1573">
        <f t="shared" si="8"/>
        <v>111</v>
      </c>
      <c r="R38" s="1574" t="s">
        <v>8</v>
      </c>
      <c r="S38" s="1575">
        <f t="shared" si="10"/>
        <v>100</v>
      </c>
      <c r="T38" s="1574" t="s">
        <v>8</v>
      </c>
      <c r="U38" s="1575">
        <f t="shared" si="11"/>
        <v>100</v>
      </c>
      <c r="V38" s="1574" t="s">
        <v>8</v>
      </c>
      <c r="W38" s="1575">
        <f t="shared" si="12"/>
        <v>100</v>
      </c>
      <c r="X38" s="1568"/>
      <c r="Y38" s="3399" t="s">
        <v>549</v>
      </c>
      <c r="Z38" s="1576">
        <f t="shared" si="13"/>
        <v>111</v>
      </c>
      <c r="AA38" s="1577">
        <f t="shared" si="3"/>
        <v>1</v>
      </c>
      <c r="AB38" s="1577">
        <f t="shared" si="4"/>
        <v>1</v>
      </c>
      <c r="AC38" s="1577">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9"/>
      <c r="Q39" s="1573">
        <f t="shared" si="8"/>
        <v>111</v>
      </c>
      <c r="R39" s="1578" t="s">
        <v>8</v>
      </c>
      <c r="S39" s="1579">
        <f t="shared" si="10"/>
        <v>100</v>
      </c>
      <c r="T39" s="1578" t="s">
        <v>8</v>
      </c>
      <c r="U39" s="1579">
        <f t="shared" si="11"/>
        <v>100</v>
      </c>
      <c r="V39" s="1578" t="s">
        <v>8</v>
      </c>
      <c r="W39" s="1579">
        <f t="shared" si="12"/>
        <v>100</v>
      </c>
      <c r="X39" s="1580"/>
      <c r="Y39" s="3399"/>
      <c r="Z39" s="1581">
        <f t="shared" si="13"/>
        <v>111</v>
      </c>
      <c r="AA39" s="1577">
        <f t="shared" si="3"/>
        <v>1</v>
      </c>
      <c r="AB39" s="1577">
        <f t="shared" si="4"/>
        <v>1</v>
      </c>
      <c r="AC39" s="1577">
        <f t="shared" si="5"/>
        <v>1</v>
      </c>
    </row>
    <row r="40" spans="1:29" ht="21">
      <c r="A40" s="2907" t="s">
        <v>2756</v>
      </c>
      <c r="B40" s="595" t="s">
        <v>551</v>
      </c>
      <c r="C40" s="596">
        <f>'数据-基础表'!A3</f>
        <v>13984.89</v>
      </c>
      <c r="D40" s="597">
        <v>100</v>
      </c>
      <c r="E40" s="596">
        <f>Sheet1!D5</f>
        <v>2524</v>
      </c>
      <c r="F40" s="597">
        <f>LOOKUP(E40,119:119,120:120)-LOOKUP(C40,119:119,120:120)+100</f>
        <v>99</v>
      </c>
      <c r="G40" s="596">
        <f>Sheet1!D8</f>
        <v>10799</v>
      </c>
      <c r="H40" s="597">
        <f>LOOKUP(G40,119:119,120:120)-LOOKUP(C40,119:119,120:120)+100</f>
        <v>100</v>
      </c>
      <c r="I40" s="598">
        <f>Sheet1!D10</f>
        <v>24054</v>
      </c>
      <c r="J40" s="597">
        <f>LOOKUP(I40,119:119,120:120)-LOOKUP(C40,119:119,120:120)+100</f>
        <v>100</v>
      </c>
      <c r="K40" s="581"/>
      <c r="L40" s="2142"/>
      <c r="M40" s="2132"/>
      <c r="N40" s="2132"/>
      <c r="O40" s="2141"/>
      <c r="P40" s="3399"/>
      <c r="Q40" s="1573" t="str">
        <f>B40</f>
        <v>宗地面积</v>
      </c>
      <c r="R40" s="1574" t="s">
        <v>8</v>
      </c>
      <c r="S40" s="1575">
        <f t="shared" si="10"/>
        <v>99</v>
      </c>
      <c r="T40" s="1574" t="s">
        <v>8</v>
      </c>
      <c r="U40" s="1575">
        <f t="shared" si="11"/>
        <v>100</v>
      </c>
      <c r="V40" s="1574" t="s">
        <v>8</v>
      </c>
      <c r="W40" s="1575">
        <f t="shared" si="12"/>
        <v>100</v>
      </c>
      <c r="X40" s="1568"/>
      <c r="Y40" s="3399"/>
      <c r="Z40" s="1576" t="str">
        <f t="shared" si="13"/>
        <v>宗地面积</v>
      </c>
      <c r="AA40" s="1577">
        <f t="shared" si="3"/>
        <v>1.0101010101010102</v>
      </c>
      <c r="AB40" s="1577">
        <f t="shared" si="4"/>
        <v>1</v>
      </c>
      <c r="AC40" s="1577">
        <f t="shared" si="5"/>
        <v>1</v>
      </c>
    </row>
    <row r="41" spans="1:29" ht="21">
      <c r="A41" s="594"/>
      <c r="B41" s="527" t="s">
        <v>552</v>
      </c>
      <c r="C41" s="599" t="s">
        <v>3044</v>
      </c>
      <c r="D41" s="540">
        <v>100</v>
      </c>
      <c r="E41" s="599" t="s">
        <v>3044</v>
      </c>
      <c r="F41" s="540">
        <f>SUMIF(121:121,E41,122:122)-SUMIF(121:121,C41,122:122)+100</f>
        <v>100</v>
      </c>
      <c r="G41" s="599" t="s">
        <v>3044</v>
      </c>
      <c r="H41" s="540">
        <f>SUMIF(121:121,G41,122:122)-SUMIF(121:121,C41,122:122)+100</f>
        <v>100</v>
      </c>
      <c r="I41" s="599" t="s">
        <v>3044</v>
      </c>
      <c r="J41" s="540">
        <f>SUMIF(121:121,I41,122:122)-SUMIF(121:121,C41,122:122)+100</f>
        <v>100</v>
      </c>
      <c r="K41" s="584">
        <v>5</v>
      </c>
      <c r="L41" s="2142"/>
      <c r="M41" s="2132"/>
      <c r="N41" s="2132"/>
      <c r="O41" s="2141"/>
      <c r="P41" s="3399"/>
      <c r="Q41" s="1573" t="str">
        <f t="shared" ref="Q41:Q47" si="14">B41</f>
        <v>宗地形状</v>
      </c>
      <c r="R41" s="1574" t="s">
        <v>8</v>
      </c>
      <c r="S41" s="1575">
        <f t="shared" si="10"/>
        <v>100</v>
      </c>
      <c r="T41" s="1574" t="s">
        <v>8</v>
      </c>
      <c r="U41" s="1575">
        <f t="shared" si="11"/>
        <v>100</v>
      </c>
      <c r="V41" s="1574" t="s">
        <v>8</v>
      </c>
      <c r="W41" s="1575">
        <f t="shared" si="12"/>
        <v>100</v>
      </c>
      <c r="X41" s="1568"/>
      <c r="Y41" s="3399"/>
      <c r="Z41" s="1576" t="str">
        <f t="shared" si="13"/>
        <v>宗地形状</v>
      </c>
      <c r="AA41" s="1577">
        <f t="shared" si="3"/>
        <v>1</v>
      </c>
      <c r="AB41" s="1577">
        <f t="shared" si="4"/>
        <v>1</v>
      </c>
      <c r="AC41" s="1577">
        <f t="shared" si="5"/>
        <v>1</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0" customFormat="1" ht="21">
      <c r="A43" s="600"/>
      <c r="B43" s="1897" t="s">
        <v>2425</v>
      </c>
      <c r="C43" s="601" t="s">
        <v>3174</v>
      </c>
      <c r="D43" s="255">
        <v>100</v>
      </c>
      <c r="E43" s="601" t="s">
        <v>3174</v>
      </c>
      <c r="F43" s="540">
        <f>SUMIF(125:125,E43,126:126)-SUMIF(125:125,C43,126:126)+100</f>
        <v>100</v>
      </c>
      <c r="G43" s="601" t="s">
        <v>3174</v>
      </c>
      <c r="H43" s="540">
        <f>SUMIF(125:125,G43,126:126)-SUMIF(125:125,C43,126:126)+100</f>
        <v>100</v>
      </c>
      <c r="I43" s="601" t="s">
        <v>3174</v>
      </c>
      <c r="J43" s="540">
        <f>SUMIF(125:125,I43,126:126)-SUMIF(125:125,C43,126:126)+100</f>
        <v>100</v>
      </c>
      <c r="K43" s="584">
        <v>1</v>
      </c>
      <c r="L43" s="2135"/>
      <c r="M43" s="2132"/>
      <c r="N43" s="2132"/>
      <c r="O43" s="2137"/>
      <c r="P43" s="3399"/>
      <c r="Q43" s="1573" t="str">
        <f t="shared" si="14"/>
        <v>宗地开发程度</v>
      </c>
      <c r="R43" s="1569" t="s">
        <v>8</v>
      </c>
      <c r="S43" s="1570">
        <f t="shared" si="10"/>
        <v>100</v>
      </c>
      <c r="T43" s="1569" t="s">
        <v>8</v>
      </c>
      <c r="U43" s="1570">
        <f t="shared" si="11"/>
        <v>100</v>
      </c>
      <c r="V43" s="1569" t="s">
        <v>8</v>
      </c>
      <c r="W43" s="1570">
        <f t="shared" si="12"/>
        <v>100</v>
      </c>
      <c r="X43" s="1571"/>
      <c r="Y43" s="3399"/>
      <c r="Z43" s="1150" t="str">
        <f t="shared" si="13"/>
        <v>宗地开发程度</v>
      </c>
      <c r="AA43" s="1572">
        <f t="shared" si="3"/>
        <v>1</v>
      </c>
      <c r="AB43" s="1572">
        <f t="shared" si="4"/>
        <v>1</v>
      </c>
      <c r="AC43" s="1572">
        <f t="shared" si="5"/>
        <v>1</v>
      </c>
    </row>
    <row r="44" spans="1:29" ht="21">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99" t="s">
        <v>549</v>
      </c>
      <c r="Q44" s="1573" t="str">
        <f t="shared" si="14"/>
        <v>工程地质条件</v>
      </c>
      <c r="R44" s="1574" t="s">
        <v>8</v>
      </c>
      <c r="S44" s="1575">
        <f t="shared" si="10"/>
        <v>100</v>
      </c>
      <c r="T44" s="1574" t="s">
        <v>8</v>
      </c>
      <c r="U44" s="1575">
        <f t="shared" si="11"/>
        <v>100</v>
      </c>
      <c r="V44" s="1574" t="s">
        <v>8</v>
      </c>
      <c r="W44" s="1575">
        <f t="shared" si="12"/>
        <v>100</v>
      </c>
      <c r="X44" s="1568"/>
      <c r="Y44" s="3399" t="s">
        <v>549</v>
      </c>
      <c r="Z44" s="1576" t="str">
        <f t="shared" si="13"/>
        <v>工程地质条件</v>
      </c>
      <c r="AA44" s="1577">
        <f t="shared" si="3"/>
        <v>1</v>
      </c>
      <c r="AB44" s="1577">
        <f t="shared" si="4"/>
        <v>1</v>
      </c>
      <c r="AC44" s="1577">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9"/>
      <c r="Q45" s="1573">
        <f t="shared" si="14"/>
        <v>111</v>
      </c>
      <c r="R45" s="1574" t="s">
        <v>8</v>
      </c>
      <c r="S45" s="1575">
        <f t="shared" si="10"/>
        <v>100</v>
      </c>
      <c r="T45" s="1574" t="s">
        <v>8</v>
      </c>
      <c r="U45" s="1575">
        <f t="shared" si="11"/>
        <v>100</v>
      </c>
      <c r="V45" s="1574" t="s">
        <v>8</v>
      </c>
      <c r="W45" s="1575">
        <f t="shared" si="12"/>
        <v>100</v>
      </c>
      <c r="X45" s="1568"/>
      <c r="Y45" s="3399"/>
      <c r="Z45" s="1576">
        <f t="shared" si="13"/>
        <v>111</v>
      </c>
      <c r="AA45" s="1577">
        <f t="shared" si="3"/>
        <v>1</v>
      </c>
      <c r="AB45" s="1577">
        <f t="shared" si="4"/>
        <v>1</v>
      </c>
      <c r="AC45" s="1577">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9"/>
      <c r="Q46" s="1573">
        <f t="shared" si="14"/>
        <v>111</v>
      </c>
      <c r="R46" s="1574" t="s">
        <v>8</v>
      </c>
      <c r="S46" s="1575">
        <f t="shared" si="10"/>
        <v>100</v>
      </c>
      <c r="T46" s="1574" t="s">
        <v>8</v>
      </c>
      <c r="U46" s="1575">
        <f t="shared" si="11"/>
        <v>100</v>
      </c>
      <c r="V46" s="1574" t="s">
        <v>8</v>
      </c>
      <c r="W46" s="1575">
        <f t="shared" si="12"/>
        <v>100</v>
      </c>
      <c r="X46" s="1568"/>
      <c r="Y46" s="3399"/>
      <c r="Z46" s="1576">
        <f t="shared" si="13"/>
        <v>111</v>
      </c>
      <c r="AA46" s="1577">
        <f t="shared" si="3"/>
        <v>1</v>
      </c>
      <c r="AB46" s="1577">
        <f t="shared" si="4"/>
        <v>1</v>
      </c>
      <c r="AC46" s="1577">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9"/>
      <c r="Q47" s="1573">
        <f t="shared" si="14"/>
        <v>111</v>
      </c>
      <c r="R47" s="1578" t="s">
        <v>8</v>
      </c>
      <c r="S47" s="1579">
        <f t="shared" si="10"/>
        <v>100</v>
      </c>
      <c r="T47" s="1578" t="s">
        <v>8</v>
      </c>
      <c r="U47" s="1579">
        <f t="shared" si="11"/>
        <v>100</v>
      </c>
      <c r="V47" s="1578" t="s">
        <v>8</v>
      </c>
      <c r="W47" s="1579">
        <f t="shared" si="12"/>
        <v>100</v>
      </c>
      <c r="X47" s="1580"/>
      <c r="Y47" s="3399"/>
      <c r="Z47" s="1581">
        <f t="shared" si="13"/>
        <v>111</v>
      </c>
      <c r="AA47" s="1577">
        <f t="shared" si="3"/>
        <v>1</v>
      </c>
      <c r="AB47" s="1577">
        <f t="shared" si="4"/>
        <v>1</v>
      </c>
      <c r="AC47" s="1577">
        <f t="shared" si="5"/>
        <v>1</v>
      </c>
    </row>
    <row r="48" spans="1:29" ht="21">
      <c r="A48" s="607" t="s">
        <v>555</v>
      </c>
      <c r="B48" s="608" t="s">
        <v>2992</v>
      </c>
      <c r="C48" s="609" t="s">
        <v>1</v>
      </c>
      <c r="D48" s="610"/>
      <c r="E48" s="611">
        <f>ROUND(Sheet1!K5,0)</f>
        <v>3430</v>
      </c>
      <c r="F48" s="612"/>
      <c r="G48" s="613">
        <f>ROUND(Sheet1!K8,0)</f>
        <v>3363</v>
      </c>
      <c r="H48" s="614"/>
      <c r="I48" s="611">
        <f>ROUND(Sheet1!K10,0)</f>
        <v>3858</v>
      </c>
      <c r="J48" s="614"/>
      <c r="K48" s="1340"/>
      <c r="L48" s="2144"/>
      <c r="M48" s="2132"/>
      <c r="N48" s="2132"/>
      <c r="O48" s="2145"/>
      <c r="P48" s="3394" t="str">
        <f>A48</f>
        <v>成交单价</v>
      </c>
      <c r="Q48" s="3394"/>
      <c r="R48" s="3408">
        <f>E48</f>
        <v>3430</v>
      </c>
      <c r="S48" s="3408"/>
      <c r="T48" s="3408">
        <f>G48</f>
        <v>3363</v>
      </c>
      <c r="U48" s="3408"/>
      <c r="V48" s="3408">
        <f>I48</f>
        <v>3858</v>
      </c>
      <c r="W48" s="3408"/>
      <c r="X48" s="1560"/>
      <c r="Y48" s="1582"/>
      <c r="Z48" s="1560"/>
      <c r="AA48" s="1560"/>
      <c r="AB48" s="1560"/>
      <c r="AC48" s="1560"/>
    </row>
    <row r="49" spans="1:29" ht="21.6" thickBot="1">
      <c r="A49" s="615" t="s">
        <v>2694</v>
      </c>
      <c r="B49" s="616"/>
      <c r="C49" s="617">
        <f>R50</f>
        <v>2848</v>
      </c>
      <c r="D49" s="618"/>
      <c r="E49" s="617">
        <f>R49</f>
        <v>2909</v>
      </c>
      <c r="F49" s="619"/>
      <c r="G49" s="620">
        <f>T49</f>
        <v>2690</v>
      </c>
      <c r="H49" s="618"/>
      <c r="I49" s="617">
        <f>V49</f>
        <v>2945</v>
      </c>
      <c r="J49" s="618"/>
      <c r="K49" s="1341"/>
      <c r="L49" s="2144"/>
      <c r="M49" s="2132"/>
      <c r="N49" s="2132"/>
      <c r="O49" s="2145"/>
      <c r="P49" s="3394" t="str">
        <f>A49</f>
        <v>比较价格（元/平方米）</v>
      </c>
      <c r="Q49" s="3394"/>
      <c r="R49" s="3418">
        <f>ROUND(PRODUCT(R48,AA9:AA47),0)</f>
        <v>2909</v>
      </c>
      <c r="S49" s="3418"/>
      <c r="T49" s="3418">
        <f>ROUND(PRODUCT(T48,AB9:AB47),0)</f>
        <v>2690</v>
      </c>
      <c r="U49" s="3418"/>
      <c r="V49" s="3418">
        <f>ROUND(PRODUCT(V48,AC9:AC47),0)</f>
        <v>2945</v>
      </c>
      <c r="W49" s="3418"/>
      <c r="X49" s="1560"/>
      <c r="Y49" s="1560"/>
      <c r="Z49" s="1560"/>
      <c r="AA49" s="1560"/>
      <c r="AB49" s="1560"/>
      <c r="AC49" s="1560"/>
    </row>
    <row r="50" spans="1:29" ht="21.6" thickBot="1">
      <c r="A50" s="621" t="s">
        <v>2933</v>
      </c>
      <c r="B50" s="622"/>
      <c r="C50" s="623">
        <f>R50</f>
        <v>2848</v>
      </c>
      <c r="D50" s="623"/>
      <c r="E50" s="623"/>
      <c r="F50" s="623"/>
      <c r="G50" s="623"/>
      <c r="H50" s="623"/>
      <c r="I50" s="623"/>
      <c r="J50" s="623"/>
      <c r="K50" s="1342"/>
      <c r="L50" s="2144"/>
      <c r="M50" s="2132"/>
      <c r="N50" s="2132"/>
      <c r="O50" s="2145"/>
      <c r="P50" s="3415" t="str">
        <f>A50</f>
        <v>估价对象XX用房的比较价格（楼面单价，元/平方米）</v>
      </c>
      <c r="Q50" s="3416"/>
      <c r="R50" s="3417">
        <f>ROUND(AVERAGE(R49:V49),0)</f>
        <v>2848</v>
      </c>
      <c r="S50" s="3417"/>
      <c r="T50" s="3417"/>
      <c r="U50" s="3417"/>
      <c r="V50" s="3417"/>
      <c r="W50" s="3417"/>
      <c r="X50" s="1560"/>
      <c r="Y50" s="1560"/>
      <c r="Z50" s="1560"/>
      <c r="AA50" s="1560"/>
      <c r="AB50" s="1560"/>
      <c r="AC50" s="1560"/>
    </row>
    <row r="51" spans="1:29" ht="21">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0.17909934685458917</v>
      </c>
      <c r="F53" s="627" t="str">
        <f>IF(OR(E53&gt;=0.3,E53&lt;=-0.3),"超过30%","")</f>
        <v/>
      </c>
      <c r="G53" s="626">
        <f>IF(G48&lt;G49,G49/G48-1,G48/G49-1)</f>
        <v>0.25018587360594791</v>
      </c>
      <c r="H53" s="627" t="str">
        <f>IF(OR(G53&gt;=0.3,G53&lt;=-0.3),"超过30%","")</f>
        <v/>
      </c>
      <c r="I53" s="626">
        <f>IF(I48&lt;I49,I49/I48-1,I48/I49-1)</f>
        <v>0.31001697792869276</v>
      </c>
      <c r="J53" s="627" t="str">
        <f>IF(OR(I53&gt;=0.3,I53&lt;=-0.3),"超过30%","")</f>
        <v>超过30%</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8.1412639405204379E-2</v>
      </c>
      <c r="F54" s="627" t="str">
        <f>IF(OR(E54&gt;=0.2,E54&lt;=-0.2),"超过20%","")</f>
        <v/>
      </c>
      <c r="G54" s="626">
        <f>IF(G49&lt;I49,I49/G49-1,G49/I49-1)</f>
        <v>9.4795539033457166E-2</v>
      </c>
      <c r="H54" s="627" t="str">
        <f>IF(OR(G54&gt;=0.2,G54&lt;=-0.2),"超过20%","")</f>
        <v/>
      </c>
      <c r="I54" s="626">
        <f>IF(I49&lt;E49,E49/I49-1,I49/E49-1)</f>
        <v>1.237538673083538E-2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1.9922688076122519E-2</v>
      </c>
      <c r="F55" s="627" t="str">
        <f>IF(OR(E55&gt;=0.3,E55&lt;=-0.3),"超过30%","")</f>
        <v/>
      </c>
      <c r="G55" s="626">
        <f>IF(G48&lt;I48,I48/G48-1,G48/I48-1)</f>
        <v>0.14719000892060663</v>
      </c>
      <c r="H55" s="627" t="str">
        <f>IF(OR(G55&gt;=0.3,G55&lt;=-0.3),"超过30%","")</f>
        <v/>
      </c>
      <c r="I55" s="626">
        <f>IF(I48&lt;E48,E48/I48-1,I48/E48-1)</f>
        <v>0.12478134110787176</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559</v>
      </c>
      <c r="B57" s="630" t="s">
        <v>560</v>
      </c>
      <c r="C57" s="1561" t="s">
        <v>1723</v>
      </c>
      <c r="D57" s="2227" t="s">
        <v>2294</v>
      </c>
      <c r="E57" s="631" t="s">
        <v>561</v>
      </c>
      <c r="F57" s="632" t="s">
        <v>562</v>
      </c>
      <c r="G57" s="3378" t="s">
        <v>2282</v>
      </c>
      <c r="H57" s="3379"/>
      <c r="I57" s="1556" t="s">
        <v>1721</v>
      </c>
      <c r="J57" s="1556">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2848</v>
      </c>
      <c r="C58" s="635">
        <v>1</v>
      </c>
      <c r="D58" s="2228">
        <v>1</v>
      </c>
      <c r="E58" s="635">
        <f>'数据-汇总表'!E8+'数据-汇总表'!E9</f>
        <v>42003.000000000007</v>
      </c>
      <c r="F58" s="636">
        <f t="shared" ref="F58:F67" si="15">ROUND(B58*E58/10000,0)</f>
        <v>11962</v>
      </c>
      <c r="G58" s="3380"/>
      <c r="H58" s="338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382" t="s">
        <v>2283</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382"/>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382"/>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382"/>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2329</v>
      </c>
      <c r="B63" s="638">
        <f t="shared" si="17"/>
        <v>0</v>
      </c>
      <c r="C63" s="378">
        <f t="shared" si="16"/>
        <v>0</v>
      </c>
      <c r="D63" s="2229">
        <v>0.25</v>
      </c>
      <c r="E63" s="641">
        <f>'数据-汇总表'!E11</f>
        <v>0</v>
      </c>
      <c r="F63" s="636">
        <f t="shared" si="15"/>
        <v>0</v>
      </c>
      <c r="G63" s="1947" t="s">
        <v>2284</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8" t="s">
        <v>1676</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8" t="s">
        <v>921</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7" t="s">
        <v>2283</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9" t="s">
        <v>2284</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2295</v>
      </c>
      <c r="E68" s="643">
        <f>IF(B48="楼面地价",SUM(E58:E67),'数据-汇总表'!D3)</f>
        <v>42003.000000000007</v>
      </c>
      <c r="F68" s="644">
        <f>IF(B48="楼面地价",SUM(F58:F67),ROUND(C50*E68/10000,0))</f>
        <v>11962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2019-11-1</v>
      </c>
      <c r="D70" s="2799">
        <f>EDATE(C70,-3)</f>
        <v>43678</v>
      </c>
      <c r="E70" s="2799">
        <f t="shared" ref="E70:N70" si="18">EDATE(D70,-3)</f>
        <v>43586</v>
      </c>
      <c r="F70" s="2799">
        <f t="shared" si="18"/>
        <v>43497</v>
      </c>
      <c r="G70" s="2799">
        <f t="shared" si="18"/>
        <v>43405</v>
      </c>
      <c r="H70" s="2799">
        <f t="shared" si="18"/>
        <v>43313</v>
      </c>
      <c r="I70" s="2799">
        <f t="shared" si="18"/>
        <v>43221</v>
      </c>
      <c r="J70" s="2799">
        <f t="shared" si="18"/>
        <v>43132</v>
      </c>
      <c r="K70" s="2799">
        <f t="shared" si="18"/>
        <v>43040</v>
      </c>
      <c r="L70" s="2799">
        <f t="shared" si="18"/>
        <v>42948</v>
      </c>
      <c r="M70" s="2799">
        <f t="shared" si="18"/>
        <v>42856</v>
      </c>
      <c r="N70" s="2799">
        <f t="shared" si="18"/>
        <v>42767</v>
      </c>
      <c r="O70" s="2145"/>
      <c r="P70" s="2145"/>
      <c r="Q70" s="2145"/>
      <c r="R70" s="2145"/>
      <c r="S70" s="2145"/>
      <c r="T70" s="2145"/>
      <c r="U70" s="2145"/>
      <c r="V70" s="2145"/>
      <c r="W70" s="2145"/>
      <c r="X70" s="2145"/>
      <c r="Y70" s="2145"/>
      <c r="Z70" s="2145"/>
      <c r="AA70" s="2145"/>
      <c r="AB70" s="2145"/>
      <c r="AC70" s="2145"/>
    </row>
    <row r="71" spans="1:29" ht="22.2" thickBot="1">
      <c r="A71" s="1585" t="s">
        <v>573</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4.4">
      <c r="A72" s="2568" t="s">
        <v>2533</v>
      </c>
      <c r="B72" s="2569"/>
      <c r="C72" s="2794" t="str">
        <f>YEAR(C70)&amp;"-"&amp;ROUNDUP(MONTH(C70)/3,0)</f>
        <v>2019-4</v>
      </c>
      <c r="D72" s="2801" t="str">
        <f>YEAR(D70)&amp;"-"&amp;ROUNDUP(MONTH(D70)/3,0)</f>
        <v>2019-3</v>
      </c>
      <c r="E72" s="2801" t="str">
        <f t="shared" ref="E72:N72" si="19">YEAR(E70)&amp;"-"&amp;ROUNDUP(MONTH(E70)/3,0)</f>
        <v>2019-2</v>
      </c>
      <c r="F72" s="2801" t="str">
        <f t="shared" si="19"/>
        <v>2019-1</v>
      </c>
      <c r="G72" s="2801" t="str">
        <f t="shared" si="19"/>
        <v>2018-4</v>
      </c>
      <c r="H72" s="2801" t="str">
        <f t="shared" si="19"/>
        <v>2018-3</v>
      </c>
      <c r="I72" s="2801" t="str">
        <f t="shared" si="19"/>
        <v>2018-2</v>
      </c>
      <c r="J72" s="2801" t="str">
        <f t="shared" si="19"/>
        <v>2018-1</v>
      </c>
      <c r="K72" s="2801" t="str">
        <f t="shared" si="19"/>
        <v>2017-4</v>
      </c>
      <c r="L72" s="2801" t="str">
        <f t="shared" si="19"/>
        <v>2017-3</v>
      </c>
      <c r="M72" s="2801" t="str">
        <f t="shared" si="19"/>
        <v>2017-2</v>
      </c>
      <c r="N72" s="2801" t="str">
        <f t="shared" si="19"/>
        <v>2017-1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14.4">
      <c r="A77" s="664" t="s">
        <v>576</v>
      </c>
      <c r="B77" s="665" t="s">
        <v>533</v>
      </c>
      <c r="C77" s="3178" t="s">
        <v>3051</v>
      </c>
      <c r="D77" s="3178" t="s">
        <v>3170</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8"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2551</v>
      </c>
      <c r="C104" s="2598" t="s">
        <v>2552</v>
      </c>
      <c r="D104" s="2598" t="s">
        <v>2553</v>
      </c>
      <c r="E104" s="2598" t="s">
        <v>2554</v>
      </c>
      <c r="F104" s="2598" t="s">
        <v>2555</v>
      </c>
      <c r="G104" s="2598"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0" t="s">
        <v>3038</v>
      </c>
      <c r="D108" s="3180" t="s">
        <v>3039</v>
      </c>
      <c r="E108" s="3180" t="s">
        <v>3040</v>
      </c>
      <c r="F108" s="3180" t="s">
        <v>3041</v>
      </c>
      <c r="G108" s="3180" t="s">
        <v>3042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v>
      </c>
      <c r="D118" s="704" t="str">
        <f t="shared" si="26"/>
        <v>10000(含)-30000</v>
      </c>
      <c r="E118" s="704" t="str">
        <f t="shared" si="26"/>
        <v>30000(含)-60000</v>
      </c>
      <c r="F118" s="704" t="str">
        <f t="shared" si="26"/>
        <v>60000(含)-100000</v>
      </c>
      <c r="G118" s="704" t="str">
        <f t="shared" si="26"/>
        <v>100000(含)-200000</v>
      </c>
      <c r="H118" s="704" t="str">
        <f t="shared" si="26"/>
        <v>200000(含)-</v>
      </c>
      <c r="I118" s="704" t="str">
        <f t="shared" si="26"/>
        <v>(含)-</v>
      </c>
      <c r="J118" s="3090" t="str">
        <f t="shared" si="26"/>
        <v>(含)-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f>C119+10000</f>
        <v>10000</v>
      </c>
      <c r="E119" s="730">
        <v>30000</v>
      </c>
      <c r="F119" s="730">
        <v>60000</v>
      </c>
      <c r="G119" s="730">
        <v>100000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79" t="s">
        <v>3043</v>
      </c>
      <c r="D121" s="3179" t="s">
        <v>3045</v>
      </c>
      <c r="E121" s="3179" t="s">
        <v>3047</v>
      </c>
      <c r="F121" s="3179"/>
      <c r="G121" s="3179"/>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8">C122-$K41</f>
        <v>95</v>
      </c>
      <c r="E122" s="679">
        <f t="shared" si="28"/>
        <v>90</v>
      </c>
      <c r="F122" s="679">
        <f t="shared" si="28"/>
        <v>85</v>
      </c>
      <c r="G122" s="679">
        <f t="shared" si="28"/>
        <v>80</v>
      </c>
      <c r="H122" s="679">
        <f t="shared" si="28"/>
        <v>75</v>
      </c>
      <c r="I122" s="679">
        <f t="shared" si="28"/>
        <v>70</v>
      </c>
      <c r="J122" s="679">
        <f t="shared" si="28"/>
        <v>65</v>
      </c>
      <c r="K122" s="679">
        <f t="shared" si="28"/>
        <v>60</v>
      </c>
      <c r="L122" s="679">
        <f t="shared" si="28"/>
        <v>55</v>
      </c>
      <c r="M122" s="680">
        <f t="shared" si="28"/>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0" t="s">
        <v>3048</v>
      </c>
      <c r="D123" s="3180" t="s">
        <v>3049</v>
      </c>
      <c r="E123" s="3180" t="s">
        <v>3046</v>
      </c>
      <c r="F123" s="3179" t="s">
        <v>3050</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2426</v>
      </c>
      <c r="C125" s="1376" t="s">
        <v>3171</v>
      </c>
      <c r="D125" s="1376" t="s">
        <v>3172</v>
      </c>
      <c r="E125" s="1376" t="s">
        <v>3173</v>
      </c>
      <c r="F125" s="1376" t="s">
        <v>3175</v>
      </c>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90" zoomScaleNormal="90" workbookViewId="0">
      <selection activeCell="B3" sqref="B3"/>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9768</v>
      </c>
      <c r="C2" s="2104"/>
      <c r="D2" s="2104"/>
      <c r="E2" s="2104"/>
      <c r="F2" s="2104"/>
      <c r="G2" s="2104"/>
      <c r="H2" s="2104"/>
      <c r="I2" s="2104"/>
      <c r="J2" s="2104"/>
      <c r="K2" s="2104"/>
    </row>
    <row r="3" spans="1:31" s="2041" customFormat="1" ht="18" customHeight="1">
      <c r="A3" s="2106" t="s">
        <v>1683</v>
      </c>
      <c r="B3" s="2107">
        <f ca="1">ROUND(B2*10000/IF(B1="",'数据-汇总表'!E3,INDIRECT("'数据-取费表'!K"&amp;$K$1)),0)</f>
        <v>2326</v>
      </c>
      <c r="C3" s="2104"/>
      <c r="D3" s="2104"/>
      <c r="E3" s="2104"/>
      <c r="F3" s="2104"/>
      <c r="G3" s="2104"/>
      <c r="H3" s="2104"/>
      <c r="I3" s="2104"/>
      <c r="J3" s="2104"/>
      <c r="K3" s="2104"/>
    </row>
    <row r="4" spans="1:31" s="2041" customFormat="1" ht="18" customHeight="1">
      <c r="A4" s="426" t="s">
        <v>467</v>
      </c>
      <c r="B4" s="427">
        <f ca="1">ROUND(B2*10000/IF(B1="",'数据-汇总表'!D3,INDIRECT("'数据-取费表'!R"&amp;$K$1)),0)</f>
        <v>6985</v>
      </c>
      <c r="C4" s="428"/>
      <c r="D4" s="422"/>
      <c r="E4" s="422"/>
      <c r="F4" s="422"/>
      <c r="G4" s="422"/>
      <c r="H4" s="422"/>
      <c r="I4" s="422"/>
      <c r="J4" s="422"/>
      <c r="K4" s="422"/>
    </row>
    <row r="5" spans="1:31" s="2041" customFormat="1" ht="18" customHeight="1" thickBot="1">
      <c r="A5" s="429"/>
      <c r="B5" s="430">
        <f ca="1">ROUND(B2/(IF(B1="",'数据-汇总表'!D3,INDIRECT("'数据-取费表'!R"&amp;$K$1))/666.67),0)</f>
        <v>466</v>
      </c>
      <c r="C5" s="431" t="s">
        <v>468</v>
      </c>
      <c r="D5" s="422"/>
      <c r="E5" s="422"/>
      <c r="F5" s="422"/>
      <c r="G5" s="422"/>
      <c r="H5" s="422"/>
      <c r="I5" s="422"/>
      <c r="J5" s="422"/>
      <c r="K5" s="422"/>
    </row>
    <row r="6" spans="1:31" s="2111" customFormat="1" ht="16.5" customHeight="1">
      <c r="A6" s="2828" t="s">
        <v>1841</v>
      </c>
      <c r="B6" s="2829"/>
      <c r="C6" s="2830">
        <f ca="1">SUM(C10:K10)</f>
        <v>28023</v>
      </c>
      <c r="D6" s="2829"/>
      <c r="E6" s="2829"/>
      <c r="F6" s="2829"/>
      <c r="G6" s="2829"/>
      <c r="H6" s="2829"/>
      <c r="I6" s="2829"/>
      <c r="J6" s="2829"/>
      <c r="K6" s="2831"/>
    </row>
    <row r="7" spans="1:31" s="2113" customFormat="1" ht="14.4">
      <c r="A7" s="2832" t="s">
        <v>469</v>
      </c>
      <c r="B7" s="2833" t="s">
        <v>470</v>
      </c>
      <c r="C7" s="436" t="s">
        <v>921</v>
      </c>
      <c r="D7" s="436" t="s">
        <v>2982</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'不动产比较法-住宅'!B3</f>
        <v>6651</v>
      </c>
      <c r="D8" s="2834">
        <f ca="1">不动产收益法!B3</f>
        <v>7066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39902.850000000006</v>
      </c>
      <c r="D9" s="441">
        <f>SUMIF('数据-汇总表'!$C19:$C33,'剩余法-待开发'!D7,'数据-汇总表'!$E19:$E33)</f>
        <v>2100.1499999999996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8">
        <f>ROUND(C8*C9/10000,0)</f>
        <v>26539</v>
      </c>
      <c r="D10" s="3028">
        <f ca="1">ROUND(D8*D9/10000,0)</f>
        <v>1484</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8443</v>
      </c>
      <c r="D13" s="2844"/>
      <c r="E13" s="2845"/>
      <c r="F13" s="2846"/>
      <c r="G13" s="2812"/>
      <c r="H13" s="2813"/>
      <c r="I13" s="2813"/>
      <c r="J13" s="2813"/>
      <c r="K13" s="2814"/>
    </row>
    <row r="14" spans="1:31" s="2116" customFormat="1" ht="13.5" customHeight="1">
      <c r="A14" s="2842" t="s">
        <v>1848</v>
      </c>
      <c r="B14" s="2843" t="s">
        <v>479</v>
      </c>
      <c r="C14" s="53">
        <f ca="1">ROUND(C13*F14,0)</f>
        <v>253</v>
      </c>
      <c r="D14" s="2844"/>
      <c r="E14" s="2845"/>
      <c r="F14" s="2847">
        <f>'数据-取费表'!B33</f>
        <v>0.03</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399</v>
      </c>
      <c r="D15" s="2844"/>
      <c r="E15" s="2845"/>
      <c r="F15" s="2847">
        <f>'数据-取费表'!B34</f>
        <v>0.05</v>
      </c>
      <c r="G15" s="2812" t="s">
        <v>482</v>
      </c>
      <c r="H15" s="2813"/>
      <c r="I15" s="2813"/>
      <c r="J15" s="2813"/>
      <c r="K15" s="2814"/>
    </row>
    <row r="16" spans="1:31" s="2117" customFormat="1" ht="13.5" customHeight="1">
      <c r="A16" s="2842" t="s">
        <v>1850</v>
      </c>
      <c r="B16" s="2843" t="s">
        <v>483</v>
      </c>
      <c r="C16" s="53">
        <f ca="1">ROUND(D16*E16/10000,0)</f>
        <v>840</v>
      </c>
      <c r="D16" s="2844">
        <f ca="1">IF(B1="",'数据-汇总表'!E3,INDIRECT("'数据-取费表'!K"&amp;$K$1)+INDIRECT("'数据-取费表'!S"&amp;$K$1))</f>
        <v>42003.000000000007</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127</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10062</v>
      </c>
      <c r="D18" s="2853"/>
      <c r="E18" s="468"/>
      <c r="F18" s="468"/>
      <c r="G18" s="2816" t="s">
        <v>2431</v>
      </c>
      <c r="H18" s="2817"/>
      <c r="I18" s="2817"/>
      <c r="J18" s="2817"/>
      <c r="K18" s="2818"/>
    </row>
    <row r="19" spans="1:14" s="2116" customFormat="1" ht="13.5" customHeight="1">
      <c r="A19" s="2850" t="s">
        <v>1853</v>
      </c>
      <c r="B19" s="2851" t="s">
        <v>487</v>
      </c>
      <c r="C19" s="2808">
        <f ca="1">ROUND(D19*E19/10000,0)</f>
        <v>0</v>
      </c>
      <c r="D19" s="2854">
        <f ca="1">D16</f>
        <v>42003.000000000007</v>
      </c>
      <c r="E19" s="2808">
        <f>'数据-取费表'!B32</f>
        <v>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315</v>
      </c>
      <c r="D20" s="2854"/>
      <c r="E20" s="2808"/>
      <c r="F20" s="2855"/>
      <c r="G20" s="3088"/>
      <c r="H20" s="2810"/>
      <c r="I20" s="2811" t="s">
        <v>2652</v>
      </c>
      <c r="J20" s="2817"/>
      <c r="K20" s="2818"/>
    </row>
    <row r="21" spans="1:14" s="2116" customFormat="1" ht="13.5" customHeight="1">
      <c r="A21" s="2842" t="s">
        <v>1855</v>
      </c>
      <c r="B21" s="2843" t="s">
        <v>490</v>
      </c>
      <c r="C21" s="53">
        <f ca="1">ROUND(D21*E21/10000,0)</f>
        <v>299</v>
      </c>
      <c r="D21" s="2844">
        <f ca="1">IF(B1="",'数据-汇总表'!E5,IF(INDIRECT("'数据-取费表'!c"&amp;$K$1)="住宅",INDIRECT("'数据-取费表'!k"&amp;$K$1),0))</f>
        <v>39902.850000000006</v>
      </c>
      <c r="E21" s="53">
        <f>'数据-取费表'!B27</f>
        <v>75</v>
      </c>
      <c r="F21" s="2847"/>
      <c r="G21" s="26"/>
      <c r="H21" s="51"/>
      <c r="I21" s="51"/>
      <c r="J21" s="51"/>
      <c r="K21" s="2819"/>
    </row>
    <row r="22" spans="1:14" s="2116" customFormat="1" ht="13.5" customHeight="1">
      <c r="A22" s="2842" t="s">
        <v>1856</v>
      </c>
      <c r="B22" s="2843" t="s">
        <v>491</v>
      </c>
      <c r="C22" s="53">
        <f ca="1">ROUND(D22*E22/10000,0)</f>
        <v>16</v>
      </c>
      <c r="D22" s="2844">
        <f ca="1">IF(B1="",'数据-汇总表'!E6,IF(INDIRECT("'数据-取费表'!c"&amp;$K$1)="住宅",INDIRECT("'数据-取费表'!s"&amp;$K$1),INDIRECT("'数据-取费表'!k"&amp;$K$1)+INDIRECT("'数据-取费表'!s"&amp;$K$1)))</f>
        <v>2100.1500000000015</v>
      </c>
      <c r="E22" s="53">
        <f>'数据-取费表'!B28</f>
        <v>75</v>
      </c>
      <c r="F22" s="2847"/>
      <c r="G22" s="26"/>
      <c r="H22" s="51"/>
      <c r="I22" s="51"/>
      <c r="J22" s="51"/>
      <c r="K22" s="2819"/>
    </row>
    <row r="23" spans="1:14" s="2116" customFormat="1" ht="13.5" customHeight="1">
      <c r="A23" s="2850" t="s">
        <v>1857</v>
      </c>
      <c r="B23" s="3034" t="s">
        <v>2835</v>
      </c>
      <c r="C23" s="2852">
        <f ca="1">ROUND((C18+C19+C20)*F23,0)</f>
        <v>208</v>
      </c>
      <c r="D23" s="468"/>
      <c r="E23" s="468"/>
      <c r="F23" s="2856">
        <f>'数据-取费表'!B37</f>
        <v>0.02</v>
      </c>
      <c r="G23" s="2812" t="s">
        <v>2432</v>
      </c>
      <c r="H23" s="2813"/>
      <c r="I23" s="2813"/>
      <c r="J23" s="2813"/>
      <c r="K23" s="2814"/>
      <c r="L23" s="2118"/>
      <c r="M23" s="2118"/>
      <c r="N23" s="2118"/>
    </row>
    <row r="24" spans="1:14" s="2116" customFormat="1" ht="13.5" customHeight="1">
      <c r="A24" s="2850" t="s">
        <v>1858</v>
      </c>
      <c r="B24" s="3034" t="s">
        <v>2838</v>
      </c>
      <c r="C24" s="2852">
        <f ca="1">ROUND(C6*F24,0)</f>
        <v>560</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4" t="s">
        <v>2836</v>
      </c>
      <c r="C25" s="467">
        <f>ROUND(F25/(1+'数据-取费表'!C42),4)</f>
        <v>2.9000000000000001E-2</v>
      </c>
      <c r="D25" s="462" t="s">
        <v>2830</v>
      </c>
      <c r="E25" s="469"/>
      <c r="F25" s="2856">
        <f>'数据-取费表'!B48+'数据-取费表'!B49</f>
        <v>3.0499999999999999E-2</v>
      </c>
      <c r="G25" s="2820" t="s">
        <v>2290</v>
      </c>
      <c r="H25" s="2813"/>
      <c r="I25" s="2813"/>
      <c r="J25" s="2813"/>
      <c r="K25" s="2814"/>
    </row>
    <row r="26" spans="1:14" s="2118" customFormat="1" ht="13.5" customHeight="1">
      <c r="A26" s="2850" t="s">
        <v>1860</v>
      </c>
      <c r="B26" s="3035" t="s">
        <v>2837</v>
      </c>
      <c r="C26" s="2857">
        <f ca="1">C28</f>
        <v>395</v>
      </c>
      <c r="D26" s="467">
        <f ca="1">C27</f>
        <v>7.4200000000000002E-2</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7.4200000000000002E-2</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2839</v>
      </c>
      <c r="C28" s="2860">
        <f ca="1">ROUND(IF('数据-取费表'!B22&lt;=1,(C18+C19+C20+C23+C24)*F26*'数据-取费表'!B24/2,(C18+C19+C20+C23+C24)*(POWER((1+F26),'数据-取费表'!B24/2)-1)),0)</f>
        <v>395</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1468</v>
      </c>
      <c r="D29" s="468"/>
      <c r="E29" s="468"/>
      <c r="F29" s="3036">
        <f>'数据-取费表'!B41</f>
        <v>5.5000000000000007E-2</v>
      </c>
      <c r="G29" s="2821" t="s">
        <v>497</v>
      </c>
      <c r="H29" s="2813"/>
      <c r="I29" s="2813"/>
      <c r="J29" s="2813"/>
      <c r="K29" s="2814"/>
    </row>
    <row r="30" spans="1:14" s="2121" customFormat="1" ht="13.5" customHeight="1">
      <c r="A30" s="1636" t="s">
        <v>1862</v>
      </c>
      <c r="B30" s="2862" t="s">
        <v>499</v>
      </c>
      <c r="C30" s="2857">
        <f ca="1">C31</f>
        <v>13008</v>
      </c>
      <c r="D30" s="477">
        <f ca="1">C32</f>
        <v>0.1032</v>
      </c>
      <c r="E30" s="469" t="s">
        <v>494</v>
      </c>
      <c r="F30" s="471"/>
      <c r="G30" s="2820" t="s">
        <v>2971</v>
      </c>
      <c r="H30" s="2813"/>
      <c r="I30" s="2813"/>
      <c r="J30" s="2813"/>
      <c r="K30" s="2814"/>
    </row>
    <row r="31" spans="1:14" s="2120" customFormat="1" ht="13.5" customHeight="1">
      <c r="A31" s="803" t="s">
        <v>1855</v>
      </c>
      <c r="B31" s="2858"/>
      <c r="C31" s="450">
        <f ca="1">C18+C19+C20+C23+C24+C26+C29</f>
        <v>13008</v>
      </c>
      <c r="D31" s="472"/>
      <c r="E31" s="473"/>
      <c r="F31" s="474"/>
      <c r="G31" s="261"/>
      <c r="H31" s="2815"/>
      <c r="I31" s="2815"/>
      <c r="J31" s="2815"/>
      <c r="K31" s="279"/>
    </row>
    <row r="32" spans="1:14" s="2120" customFormat="1" ht="13.5" customHeight="1">
      <c r="A32" s="803" t="s">
        <v>1856</v>
      </c>
      <c r="B32" s="2858"/>
      <c r="C32" s="53">
        <f ca="1">ROUND(C25+D26,4)</f>
        <v>0.1032</v>
      </c>
      <c r="D32" s="472"/>
      <c r="E32" s="473"/>
      <c r="F32" s="474"/>
      <c r="G32" s="261"/>
      <c r="H32" s="2815"/>
      <c r="I32" s="2815"/>
      <c r="J32" s="2815"/>
      <c r="K32" s="279"/>
    </row>
    <row r="33" spans="1:11" s="2122" customFormat="1" ht="13.5" customHeight="1">
      <c r="A33" s="3033" t="s">
        <v>2834</v>
      </c>
      <c r="B33" s="3031" t="s">
        <v>2832</v>
      </c>
      <c r="C33" s="478">
        <f ca="1">C35</f>
        <v>2229</v>
      </c>
      <c r="D33" s="467">
        <f ca="1">C34</f>
        <v>0.20580000000000001</v>
      </c>
      <c r="E33" s="469" t="s">
        <v>494</v>
      </c>
      <c r="F33" s="479">
        <f ca="1">IF(B1="",'数据-取费表'!Q16,INDIRECT("'数据-取费表'!q"&amp;$K$1))</f>
        <v>0.2</v>
      </c>
      <c r="G33" s="2816"/>
      <c r="H33" s="2817"/>
      <c r="I33" s="2817"/>
      <c r="J33" s="2817"/>
      <c r="K33" s="2818"/>
    </row>
    <row r="34" spans="1:11" s="2123" customFormat="1" ht="13.5" customHeight="1">
      <c r="A34" s="375" t="s">
        <v>1855</v>
      </c>
      <c r="B34" s="2863" t="s">
        <v>500</v>
      </c>
      <c r="C34" s="472">
        <f ca="1">ROUND((1+C25)*F33,4)</f>
        <v>0.20580000000000001</v>
      </c>
      <c r="D34" s="472"/>
      <c r="E34" s="473"/>
      <c r="F34" s="480"/>
      <c r="G34" s="261" t="s">
        <v>2291</v>
      </c>
      <c r="H34" s="2815"/>
      <c r="I34" s="2815"/>
      <c r="J34" s="2815"/>
      <c r="K34" s="279"/>
    </row>
    <row r="35" spans="1:11" s="2123" customFormat="1" ht="13.5" customHeight="1" thickBot="1">
      <c r="A35" s="1637" t="s">
        <v>1856</v>
      </c>
      <c r="B35" s="3032" t="s">
        <v>2840</v>
      </c>
      <c r="C35" s="1629">
        <f ca="1">ROUND((C18+C19+C20+C23+C24)*F33,0)</f>
        <v>2229</v>
      </c>
      <c r="D35" s="1630"/>
      <c r="E35" s="2864"/>
      <c r="F35" s="1631"/>
      <c r="G35" s="2822"/>
      <c r="H35" s="2823"/>
      <c r="I35" s="2823"/>
      <c r="J35" s="2823"/>
      <c r="K35" s="2824"/>
    </row>
    <row r="36" spans="1:11" s="2085" customFormat="1" ht="13.5" customHeight="1" thickBot="1">
      <c r="A36" s="284" t="s">
        <v>1843</v>
      </c>
      <c r="B36" s="2826"/>
      <c r="C36" s="2865">
        <f ca="1">ROUND((C6-C30-C33)/(1+D30+D33),0)</f>
        <v>9768</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6" customWidth="1"/>
    <col min="2" max="2" width="10.77734375" style="1656" customWidth="1"/>
    <col min="3" max="4" width="11.6640625" style="1656" customWidth="1"/>
    <col min="5" max="5" width="6.6640625" style="1656" customWidth="1"/>
    <col min="6" max="16384" width="9" style="1656"/>
  </cols>
  <sheetData>
    <row r="36" spans="1:9">
      <c r="A36" s="1655" t="s">
        <v>1900</v>
      </c>
      <c r="B36" s="1655" t="s">
        <v>1901</v>
      </c>
    </row>
    <row r="37" spans="1:9" ht="28.5" customHeight="1">
      <c r="A37" s="1655"/>
      <c r="B37" s="3213" t="str">
        <f>项目基本情况!B1</f>
        <v>贵州省普定县穿洞街道金马新村出让国有建设用地使用权抵押价格预评估</v>
      </c>
      <c r="C37" s="3213"/>
      <c r="D37" s="3213"/>
      <c r="E37" s="3213"/>
      <c r="F37" s="3213"/>
      <c r="G37" s="3213"/>
      <c r="H37" s="3213"/>
      <c r="I37" s="3213"/>
    </row>
    <row r="38" spans="1:9">
      <c r="A38" s="1657"/>
      <c r="B38" s="1657"/>
    </row>
    <row r="39" spans="1:9">
      <c r="A39" s="1655" t="s">
        <v>1900</v>
      </c>
      <c r="B39" s="1655" t="s">
        <v>2047</v>
      </c>
    </row>
    <row r="40" spans="1:9">
      <c r="A40" s="1655"/>
      <c r="B40" s="1655">
        <f>项目基本情况!B5</f>
        <v>0</v>
      </c>
    </row>
    <row r="41" spans="1:9">
      <c r="A41" s="1655"/>
      <c r="B41" s="1655"/>
    </row>
    <row r="42" spans="1:9">
      <c r="A42" s="1655" t="s">
        <v>1900</v>
      </c>
      <c r="B42" s="1655" t="s">
        <v>2048</v>
      </c>
    </row>
    <row r="43" spans="1:9">
      <c r="A43" s="1655"/>
      <c r="B43" s="1655" t="s">
        <v>1902</v>
      </c>
    </row>
    <row r="44" spans="1:9">
      <c r="A44" s="1655"/>
      <c r="B44" s="1655"/>
    </row>
    <row r="45" spans="1:9">
      <c r="A45" s="1655" t="s">
        <v>1900</v>
      </c>
      <c r="B45" s="1655" t="s">
        <v>2046</v>
      </c>
    </row>
    <row r="46" spans="1:9" s="1655" customFormat="1">
      <c r="B46" s="1655" t="str">
        <f>项目基本情况!K4</f>
        <v>土地估价师、土地估价师</v>
      </c>
    </row>
    <row r="47" spans="1:9">
      <c r="A47" s="1655"/>
      <c r="B47" s="1655"/>
    </row>
    <row r="48" spans="1:9">
      <c r="A48" s="1655" t="s">
        <v>1900</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80"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1846</v>
      </c>
      <c r="B10" s="1625" t="s">
        <v>473</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1863</v>
      </c>
      <c r="B11" s="1622"/>
      <c r="C11" s="1622"/>
      <c r="D11" s="1622"/>
      <c r="E11" s="1622"/>
      <c r="F11" s="1622"/>
      <c r="G11" s="1622"/>
      <c r="H11" s="1622"/>
      <c r="I11" s="1622"/>
      <c r="J11" s="1622"/>
      <c r="K11" s="1623"/>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4" t="s">
        <v>1847</v>
      </c>
      <c r="B13" s="449" t="s">
        <v>478</v>
      </c>
      <c r="C13" s="450">
        <f ca="1">IF(B1="",'数据-取费表'!M16,INDIRECT("'数据-取费表'!M"&amp;$K$1)+INDIRECT("'数据-取费表'!t"&amp;$K$1))</f>
        <v>8443</v>
      </c>
      <c r="D13" s="451"/>
      <c r="E13" s="365"/>
      <c r="F13" s="452"/>
      <c r="G13" s="444"/>
      <c r="H13" s="447"/>
      <c r="I13" s="447"/>
      <c r="J13" s="447"/>
      <c r="K13" s="448"/>
    </row>
    <row r="14" spans="1:41" s="2116" customFormat="1" ht="13.5" customHeight="1">
      <c r="A14" s="1634" t="s">
        <v>1848</v>
      </c>
      <c r="B14" s="449" t="s">
        <v>479</v>
      </c>
      <c r="C14" s="53">
        <f ca="1">ROUND(C13*F14,0)</f>
        <v>253</v>
      </c>
      <c r="D14" s="451"/>
      <c r="E14" s="365"/>
      <c r="F14" s="453">
        <f>'数据-取费表'!B33</f>
        <v>0.03</v>
      </c>
      <c r="G14" s="444" t="s">
        <v>501</v>
      </c>
      <c r="H14" s="447"/>
      <c r="I14" s="447"/>
      <c r="J14" s="447"/>
      <c r="K14" s="448"/>
    </row>
    <row r="15" spans="1:41" s="2116" customFormat="1" ht="13.5" customHeight="1">
      <c r="A15" s="1634" t="s">
        <v>1849</v>
      </c>
      <c r="B15" s="449" t="s">
        <v>481</v>
      </c>
      <c r="C15" s="53">
        <f ca="1">ROUND(IF(B1="",SUMIF('数据-取费表'!C:C,"住宅",'数据-取费表'!M:M)*F15,IF(INDIRECT("'数据-取费表'!c"&amp;$K$1)="住宅",INDIRECT("'数据-取费表'!M"&amp;$K$1)*F15,0)),0)</f>
        <v>399</v>
      </c>
      <c r="D15" s="451"/>
      <c r="E15" s="365"/>
      <c r="F15" s="453">
        <f>'数据-取费表'!B34</f>
        <v>0.05</v>
      </c>
      <c r="G15" s="444" t="s">
        <v>501</v>
      </c>
      <c r="H15" s="447"/>
      <c r="I15" s="447"/>
      <c r="J15" s="447"/>
      <c r="K15" s="448"/>
    </row>
    <row r="16" spans="1:41" s="2117" customFormat="1" ht="13.5" customHeight="1">
      <c r="A16" s="1634" t="s">
        <v>1850</v>
      </c>
      <c r="B16" s="449" t="s">
        <v>483</v>
      </c>
      <c r="C16" s="53">
        <f ca="1">ROUND(D16*E16/10000,0)</f>
        <v>840</v>
      </c>
      <c r="D16" s="451">
        <f ca="1">IF(B1="",'数据-汇总表'!E3,INDIRECT("'数据-取费表'!K"&amp;$K$1)+INDIRECT("'数据-取费表'!S"&amp;$K$1))</f>
        <v>42003.000000000007</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1851</v>
      </c>
      <c r="B17" s="449" t="s">
        <v>484</v>
      </c>
      <c r="C17" s="454">
        <f ca="1">ROUND(C13*F17,0)</f>
        <v>127</v>
      </c>
      <c r="D17" s="455"/>
      <c r="E17" s="454"/>
      <c r="F17" s="456">
        <f>'数据-取费表'!B36</f>
        <v>1.4999999999999999E-2</v>
      </c>
      <c r="G17" s="444" t="s">
        <v>501</v>
      </c>
      <c r="H17" s="457"/>
      <c r="I17" s="457"/>
      <c r="J17" s="457"/>
      <c r="K17" s="458"/>
    </row>
    <row r="18" spans="1:14" s="2119" customFormat="1" ht="13.5" customHeight="1">
      <c r="A18" s="1635" t="s">
        <v>1852</v>
      </c>
      <c r="B18" s="459" t="s">
        <v>486</v>
      </c>
      <c r="C18" s="460">
        <f ca="1">SUM(C13:C17)</f>
        <v>10062</v>
      </c>
      <c r="D18" s="461"/>
      <c r="E18" s="462"/>
      <c r="F18" s="462"/>
      <c r="G18" s="1327" t="s">
        <v>2433</v>
      </c>
      <c r="H18" s="447"/>
      <c r="I18" s="447"/>
      <c r="J18" s="447"/>
      <c r="K18" s="448"/>
    </row>
    <row r="19" spans="1:14" s="2119" customFormat="1" ht="13.5" customHeight="1">
      <c r="A19" s="1635" t="s">
        <v>1853</v>
      </c>
      <c r="B19" s="459" t="s">
        <v>492</v>
      </c>
      <c r="C19" s="460">
        <f ca="1">ROUND(C18*F19,0)</f>
        <v>201</v>
      </c>
      <c r="D19" s="462"/>
      <c r="E19" s="462"/>
      <c r="F19" s="466">
        <f>'数据-取费表'!B37</f>
        <v>0.02</v>
      </c>
      <c r="G19" s="444" t="s">
        <v>502</v>
      </c>
      <c r="H19" s="447"/>
      <c r="I19" s="447"/>
      <c r="J19" s="447"/>
      <c r="K19" s="448"/>
      <c r="L19" s="2121"/>
      <c r="M19" s="2121"/>
      <c r="N19" s="2121"/>
    </row>
    <row r="20" spans="1:14" s="2119" customFormat="1" ht="13.5" customHeight="1">
      <c r="A20" s="1635" t="s">
        <v>1854</v>
      </c>
      <c r="B20" s="459" t="s">
        <v>503</v>
      </c>
      <c r="C20" s="3029">
        <f>F20</f>
        <v>0.02</v>
      </c>
      <c r="D20" s="469" t="s">
        <v>504</v>
      </c>
      <c r="E20" s="469"/>
      <c r="F20" s="486">
        <f>'数据-取费表'!B38</f>
        <v>0.02</v>
      </c>
      <c r="G20" s="1327" t="s">
        <v>505</v>
      </c>
      <c r="H20" s="447"/>
      <c r="I20" s="447"/>
      <c r="J20" s="447"/>
      <c r="K20" s="448"/>
      <c r="L20" s="2121"/>
      <c r="M20" s="2121"/>
      <c r="N20" s="2121"/>
    </row>
    <row r="21" spans="1:14" s="2121" customFormat="1" ht="13.5" customHeight="1">
      <c r="A21" s="1635" t="s">
        <v>1857</v>
      </c>
      <c r="B21" s="461" t="s">
        <v>493</v>
      </c>
      <c r="C21" s="470">
        <f ca="1">C22</f>
        <v>363</v>
      </c>
      <c r="D21" s="467">
        <f ca="1">C23</f>
        <v>6.9999999999999999E-4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1847</v>
      </c>
      <c r="B22" s="1328" t="s">
        <v>2436</v>
      </c>
      <c r="C22" s="487">
        <f ca="1">ROUND(IF('数据-取费表'!B22&lt;=1,(C18+C19)*F21*'数据-取费表'!B20/2,(C18+C19)*(POWER((1+F21),'数据-取费表'!B20/2)-1)),0)</f>
        <v>363</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1848</v>
      </c>
      <c r="B23" s="1328" t="s">
        <v>507</v>
      </c>
      <c r="C23" s="488">
        <f ca="1">ROUND(IF('数据-取费表'!B22&lt;=1,F20*F21*'数据-取费表'!B20/2,F20*(POWER((1+F21),'数据-取费表'!B20/2)-1)),4)</f>
        <v>6.9999999999999999E-4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1858</v>
      </c>
      <c r="B24" s="3031" t="s">
        <v>2833</v>
      </c>
      <c r="C24" s="478">
        <f ca="1">C25</f>
        <v>2053</v>
      </c>
      <c r="D24" s="489">
        <f ca="1">C26</f>
        <v>4.0000000000000001E-3</v>
      </c>
      <c r="E24" s="469" t="s">
        <v>506</v>
      </c>
      <c r="F24" s="479">
        <f ca="1">IF(B1="",'数据-取费表'!Q16,INDIRECT("'数据-取费表'!q"&amp;$K$1))</f>
        <v>0.2</v>
      </c>
      <c r="G24" s="444"/>
      <c r="H24" s="447"/>
      <c r="I24" s="447"/>
      <c r="J24" s="447"/>
      <c r="K24" s="448"/>
    </row>
    <row r="25" spans="1:14" s="2120" customFormat="1" ht="13.5" customHeight="1">
      <c r="A25" s="1634" t="s">
        <v>1847</v>
      </c>
      <c r="B25" s="1328" t="s">
        <v>2437</v>
      </c>
      <c r="C25" s="490">
        <f ca="1">ROUND((C18+C19)*F24,0)</f>
        <v>2053</v>
      </c>
      <c r="D25" s="472"/>
      <c r="E25" s="473"/>
      <c r="F25" s="480"/>
      <c r="G25" s="1326" t="s">
        <v>2434</v>
      </c>
      <c r="H25" s="457"/>
      <c r="I25" s="457"/>
      <c r="J25" s="457"/>
      <c r="K25" s="458"/>
    </row>
    <row r="26" spans="1:14" s="2120" customFormat="1" ht="13.5" customHeight="1">
      <c r="A26" s="1634" t="s">
        <v>1848</v>
      </c>
      <c r="B26" s="1328" t="s">
        <v>508</v>
      </c>
      <c r="C26" s="491">
        <f ca="1">ROUND(F20*F24,4)</f>
        <v>4.0000000000000001E-3</v>
      </c>
      <c r="D26" s="472"/>
      <c r="E26" s="481"/>
      <c r="F26" s="480"/>
      <c r="G26" s="1326" t="s">
        <v>509</v>
      </c>
      <c r="H26" s="457"/>
      <c r="I26" s="457"/>
      <c r="J26" s="457"/>
      <c r="K26" s="458"/>
    </row>
    <row r="27" spans="1:14" s="2120" customFormat="1" ht="13.5" customHeight="1">
      <c r="A27" s="1638" t="s">
        <v>1866</v>
      </c>
      <c r="B27" s="459" t="s">
        <v>510</v>
      </c>
      <c r="C27" s="3030">
        <f>ROUND(F27/(1+'数据-取费表'!C42),4)</f>
        <v>5.2400000000000002E-2</v>
      </c>
      <c r="D27" s="462" t="s">
        <v>2831</v>
      </c>
      <c r="E27" s="462"/>
      <c r="F27" s="466">
        <f>'数据-取费表'!B41</f>
        <v>5.5000000000000007E-2</v>
      </c>
      <c r="G27" s="1962" t="s">
        <v>2292</v>
      </c>
      <c r="H27" s="447"/>
      <c r="I27" s="447"/>
      <c r="J27" s="447"/>
      <c r="K27" s="448"/>
    </row>
    <row r="28" spans="1:14" s="2121" customFormat="1" ht="13.5" customHeight="1">
      <c r="A28" s="1638" t="s">
        <v>1867</v>
      </c>
      <c r="B28" s="476" t="s">
        <v>511</v>
      </c>
      <c r="C28" s="470">
        <f ca="1">ROUND((C18+C19+C21+C24)/(1-C20-D21-D24-C27),0)</f>
        <v>13738</v>
      </c>
      <c r="D28" s="477"/>
      <c r="E28" s="469"/>
      <c r="F28" s="471"/>
      <c r="G28" s="1327" t="s">
        <v>2435</v>
      </c>
      <c r="H28" s="447"/>
      <c r="I28" s="447"/>
      <c r="J28" s="447"/>
      <c r="K28" s="448"/>
    </row>
    <row r="29" spans="1:14" s="2121" customFormat="1" ht="13.5" customHeight="1">
      <c r="A29" s="1638"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4.4">
      <c r="A6" s="512" t="s">
        <v>520</v>
      </c>
      <c r="B6" s="513"/>
      <c r="C6" s="3400" t="s">
        <v>521</v>
      </c>
      <c r="D6" s="3401"/>
      <c r="E6" s="3424" t="s">
        <v>522</v>
      </c>
      <c r="F6" s="3425"/>
      <c r="G6" s="3400" t="s">
        <v>523</v>
      </c>
      <c r="H6" s="3401"/>
      <c r="I6" s="3400" t="s">
        <v>524</v>
      </c>
      <c r="J6" s="3401"/>
      <c r="K6" s="514" t="s">
        <v>525</v>
      </c>
      <c r="L6" s="2133"/>
      <c r="M6" s="2134"/>
      <c r="N6" s="2134"/>
      <c r="O6" s="2134"/>
      <c r="P6" s="3402" t="s">
        <v>526</v>
      </c>
      <c r="Q6" s="3403"/>
      <c r="R6" s="3388" t="s">
        <v>522</v>
      </c>
      <c r="S6" s="3389"/>
      <c r="T6" s="3388" t="s">
        <v>523</v>
      </c>
      <c r="U6" s="3389"/>
      <c r="V6" s="3408" t="s">
        <v>524</v>
      </c>
      <c r="W6" s="3408"/>
      <c r="X6" s="1568"/>
      <c r="Y6" s="3388" t="s">
        <v>526</v>
      </c>
      <c r="Z6" s="3389"/>
      <c r="AA6" s="3383" t="s">
        <v>522</v>
      </c>
      <c r="AB6" s="3384" t="s">
        <v>523</v>
      </c>
      <c r="AC6" s="3383" t="s">
        <v>524</v>
      </c>
    </row>
    <row r="7" spans="1:29">
      <c r="A7" s="515"/>
      <c r="B7" s="516"/>
      <c r="C7" s="3428" t="s">
        <v>2927</v>
      </c>
      <c r="D7" s="3412"/>
      <c r="E7" s="3426" t="s">
        <v>2928</v>
      </c>
      <c r="F7" s="3427"/>
      <c r="G7" s="3428" t="s">
        <v>2929</v>
      </c>
      <c r="H7" s="3412"/>
      <c r="I7" s="3428" t="s">
        <v>2930</v>
      </c>
      <c r="J7" s="3412"/>
      <c r="K7" s="514"/>
      <c r="L7" s="2133"/>
      <c r="M7" s="2134"/>
      <c r="N7" s="2134"/>
      <c r="O7" s="2134"/>
      <c r="P7" s="3404"/>
      <c r="Q7" s="3405"/>
      <c r="R7" s="3390"/>
      <c r="S7" s="3391"/>
      <c r="T7" s="3390"/>
      <c r="U7" s="3391"/>
      <c r="V7" s="3408"/>
      <c r="W7" s="3408"/>
      <c r="X7" s="1568"/>
      <c r="Y7" s="3390"/>
      <c r="Z7" s="3391"/>
      <c r="AA7" s="3384"/>
      <c r="AB7" s="3384"/>
      <c r="AC7" s="3384"/>
    </row>
    <row r="8" spans="1:29" ht="15" thickBot="1">
      <c r="A8" s="517"/>
      <c r="B8" s="518"/>
      <c r="C8" s="3409" t="s">
        <v>2931</v>
      </c>
      <c r="D8" s="3410"/>
      <c r="E8" s="3429" t="s">
        <v>2931</v>
      </c>
      <c r="F8" s="3430"/>
      <c r="G8" s="3409" t="s">
        <v>2931</v>
      </c>
      <c r="H8" s="3410"/>
      <c r="I8" s="3409" t="s">
        <v>2931</v>
      </c>
      <c r="J8" s="3410"/>
      <c r="K8" s="514" t="s">
        <v>527</v>
      </c>
      <c r="L8" s="2133"/>
      <c r="M8" s="2134"/>
      <c r="N8" s="2134"/>
      <c r="O8" s="2134"/>
      <c r="P8" s="3406"/>
      <c r="Q8" s="3407"/>
      <c r="R8" s="3390"/>
      <c r="S8" s="3391"/>
      <c r="T8" s="3392"/>
      <c r="U8" s="3393"/>
      <c r="V8" s="3408"/>
      <c r="W8" s="3408"/>
      <c r="X8" s="1568"/>
      <c r="Y8" s="3392"/>
      <c r="Z8" s="3393"/>
      <c r="AA8" s="3385"/>
      <c r="AB8" s="3385"/>
      <c r="AC8" s="3385"/>
    </row>
    <row r="9" spans="1:29" s="1220" customFormat="1" ht="15" thickBot="1">
      <c r="A9" s="2912"/>
      <c r="B9" s="2919" t="s">
        <v>528</v>
      </c>
      <c r="C9" s="519">
        <f>'数据-取费表'!B2</f>
        <v>43780</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6" t="s">
        <v>529</v>
      </c>
      <c r="Q9" s="3395"/>
      <c r="R9" s="1569" t="s">
        <v>8</v>
      </c>
      <c r="S9" s="1570">
        <f t="shared" ref="S9:S17" si="0">F9</f>
        <v>0</v>
      </c>
      <c r="T9" s="1569" t="s">
        <v>8</v>
      </c>
      <c r="U9" s="1570">
        <f t="shared" ref="U9:U17" si="1">H9</f>
        <v>0</v>
      </c>
      <c r="V9" s="1569" t="s">
        <v>8</v>
      </c>
      <c r="W9" s="1570">
        <f t="shared" ref="W9:W17" si="2">J9</f>
        <v>0</v>
      </c>
      <c r="X9" s="1571"/>
      <c r="Y9" s="3386" t="s">
        <v>529</v>
      </c>
      <c r="Z9" s="3387"/>
      <c r="AA9" s="1572" t="e">
        <f>D9/F9</f>
        <v>#DIV/0!</v>
      </c>
      <c r="AB9" s="1572" t="e">
        <f>D9/H9</f>
        <v>#DIV/0!</v>
      </c>
      <c r="AC9" s="1572"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6" t="s">
        <v>532</v>
      </c>
      <c r="Q10" s="3387"/>
      <c r="R10" s="1569" t="s">
        <v>8</v>
      </c>
      <c r="S10" s="1570">
        <f t="shared" si="0"/>
        <v>0</v>
      </c>
      <c r="T10" s="1569" t="s">
        <v>8</v>
      </c>
      <c r="U10" s="1570">
        <f t="shared" si="1"/>
        <v>0</v>
      </c>
      <c r="V10" s="1569" t="s">
        <v>8</v>
      </c>
      <c r="W10" s="1570">
        <f t="shared" si="2"/>
        <v>0</v>
      </c>
      <c r="X10" s="1571"/>
      <c r="Y10" s="3386" t="s">
        <v>532</v>
      </c>
      <c r="Z10" s="3387"/>
      <c r="AA10" s="1572" t="e">
        <f t="shared" ref="AA10:AA42" si="3">D10/F10</f>
        <v>#DIV/0!</v>
      </c>
      <c r="AB10" s="1572" t="e">
        <f t="shared" ref="AB10:AB42" si="4">D10/H10</f>
        <v>#DIV/0!</v>
      </c>
      <c r="AC10" s="1572" t="e">
        <f t="shared" ref="AC10:AC42" si="5">D10/J10</f>
        <v>#DIV/0!</v>
      </c>
    </row>
    <row r="11" spans="1:29" s="1220" customFormat="1" ht="14.4">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4" t="s">
        <v>534</v>
      </c>
      <c r="Q11" s="1151" t="str">
        <f t="shared" ref="Q11:Q17" si="6">B11</f>
        <v>用途</v>
      </c>
      <c r="R11" s="1569" t="s">
        <v>8</v>
      </c>
      <c r="S11" s="1570">
        <f t="shared" si="0"/>
        <v>100</v>
      </c>
      <c r="T11" s="1569" t="s">
        <v>8</v>
      </c>
      <c r="U11" s="1570">
        <f t="shared" si="1"/>
        <v>100</v>
      </c>
      <c r="V11" s="1569" t="s">
        <v>8</v>
      </c>
      <c r="W11" s="1570">
        <f t="shared" si="2"/>
        <v>100</v>
      </c>
      <c r="X11" s="1571"/>
      <c r="Y11" s="3351" t="s">
        <v>535</v>
      </c>
      <c r="Z11" s="1150" t="str">
        <f t="shared" ref="Z11:Z17" si="7">Q11</f>
        <v>用途</v>
      </c>
      <c r="AA11" s="1572">
        <f t="shared" si="3"/>
        <v>1</v>
      </c>
      <c r="AB11" s="1572">
        <f t="shared" si="4"/>
        <v>1</v>
      </c>
      <c r="AC11" s="1572">
        <f t="shared" si="5"/>
        <v>1</v>
      </c>
    </row>
    <row r="12" spans="1:29" s="1338" customFormat="1" ht="28.8">
      <c r="A12" s="2915"/>
      <c r="B12" s="2920" t="s">
        <v>2758</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94"/>
      <c r="Q12" s="1151" t="str">
        <f t="shared" si="6"/>
        <v>土地使用年限（年）</v>
      </c>
      <c r="R12" s="1569" t="s">
        <v>8</v>
      </c>
      <c r="S12" s="1570">
        <f t="shared" si="0"/>
        <v>101</v>
      </c>
      <c r="T12" s="1569" t="s">
        <v>8</v>
      </c>
      <c r="U12" s="1570">
        <f t="shared" si="1"/>
        <v>101</v>
      </c>
      <c r="V12" s="1569" t="s">
        <v>8</v>
      </c>
      <c r="W12" s="1570">
        <f t="shared" si="2"/>
        <v>101</v>
      </c>
      <c r="X12" s="1571"/>
      <c r="Y12" s="3351"/>
      <c r="Z12" s="1150" t="str">
        <f t="shared" si="7"/>
        <v>土地使用年限（年）</v>
      </c>
      <c r="AA12" s="1572">
        <f t="shared" si="3"/>
        <v>0.99009900990099009</v>
      </c>
      <c r="AB12" s="1572">
        <f t="shared" si="4"/>
        <v>0.99009900990099009</v>
      </c>
      <c r="AC12" s="1572">
        <f t="shared" si="5"/>
        <v>0.99009900990099009</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4"/>
      <c r="Q13" s="1151" t="str">
        <f t="shared" si="6"/>
        <v>容积率</v>
      </c>
      <c r="R13" s="1569" t="s">
        <v>8</v>
      </c>
      <c r="S13" s="1570" t="e">
        <f t="shared" si="0"/>
        <v>#N/A</v>
      </c>
      <c r="T13" s="1569" t="s">
        <v>8</v>
      </c>
      <c r="U13" s="1570" t="e">
        <f t="shared" si="1"/>
        <v>#N/A</v>
      </c>
      <c r="V13" s="1569" t="s">
        <v>8</v>
      </c>
      <c r="W13" s="1570" t="e">
        <f t="shared" si="2"/>
        <v>#N/A</v>
      </c>
      <c r="X13" s="1571"/>
      <c r="Y13" s="3351"/>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4"/>
      <c r="Q14" s="1151">
        <f t="shared" si="6"/>
        <v>111</v>
      </c>
      <c r="R14" s="1569" t="s">
        <v>8</v>
      </c>
      <c r="S14" s="1570">
        <f t="shared" si="0"/>
        <v>100</v>
      </c>
      <c r="T14" s="1569" t="s">
        <v>8</v>
      </c>
      <c r="U14" s="1570">
        <f t="shared" si="1"/>
        <v>100</v>
      </c>
      <c r="V14" s="1569" t="s">
        <v>8</v>
      </c>
      <c r="W14" s="1570">
        <f t="shared" si="2"/>
        <v>100</v>
      </c>
      <c r="X14" s="1571"/>
      <c r="Y14" s="3351"/>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4"/>
      <c r="Q15" s="1151">
        <f t="shared" si="6"/>
        <v>111</v>
      </c>
      <c r="R15" s="1569" t="s">
        <v>8</v>
      </c>
      <c r="S15" s="1570">
        <f t="shared" si="0"/>
        <v>100</v>
      </c>
      <c r="T15" s="1569" t="s">
        <v>8</v>
      </c>
      <c r="U15" s="1570">
        <f t="shared" si="1"/>
        <v>100</v>
      </c>
      <c r="V15" s="1569" t="s">
        <v>8</v>
      </c>
      <c r="W15" s="1570">
        <f t="shared" si="2"/>
        <v>100</v>
      </c>
      <c r="X15" s="1571"/>
      <c r="Y15" s="3351"/>
      <c r="Z15" s="1150">
        <f t="shared" si="7"/>
        <v>111</v>
      </c>
      <c r="AA15" s="1572">
        <f t="shared" si="3"/>
        <v>1</v>
      </c>
      <c r="AB15" s="1572">
        <f t="shared" si="4"/>
        <v>1</v>
      </c>
      <c r="AC15" s="1572">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4"/>
      <c r="Q16" s="1151">
        <f t="shared" si="6"/>
        <v>111</v>
      </c>
      <c r="R16" s="1569" t="s">
        <v>8</v>
      </c>
      <c r="S16" s="1570">
        <f t="shared" si="0"/>
        <v>100</v>
      </c>
      <c r="T16" s="1569" t="s">
        <v>8</v>
      </c>
      <c r="U16" s="1570">
        <f t="shared" si="1"/>
        <v>100</v>
      </c>
      <c r="V16" s="1569" t="s">
        <v>8</v>
      </c>
      <c r="W16" s="1570">
        <f t="shared" si="2"/>
        <v>100</v>
      </c>
      <c r="X16" s="1571"/>
      <c r="Y16" s="3351"/>
      <c r="Z16" s="1150">
        <f t="shared" si="7"/>
        <v>111</v>
      </c>
      <c r="AA16" s="1572">
        <f t="shared" si="3"/>
        <v>1</v>
      </c>
      <c r="AB16" s="1572">
        <f t="shared" si="4"/>
        <v>1</v>
      </c>
      <c r="AC16" s="1572">
        <f t="shared" si="5"/>
        <v>1</v>
      </c>
    </row>
    <row r="17" spans="1:29" ht="69">
      <c r="A17" s="2910" t="s">
        <v>2755</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6" t="s">
        <v>539</v>
      </c>
      <c r="Q17" s="1573" t="str">
        <f t="shared" si="6"/>
        <v>产业集聚程度</v>
      </c>
      <c r="R17" s="1574" t="s">
        <v>8</v>
      </c>
      <c r="S17" s="1575">
        <f t="shared" si="0"/>
        <v>100</v>
      </c>
      <c r="T17" s="1574" t="s">
        <v>8</v>
      </c>
      <c r="U17" s="1575">
        <f t="shared" si="1"/>
        <v>100</v>
      </c>
      <c r="V17" s="1574" t="s">
        <v>8</v>
      </c>
      <c r="W17" s="1575">
        <f t="shared" si="2"/>
        <v>100</v>
      </c>
      <c r="X17" s="1568"/>
      <c r="Y17" s="3396"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97"/>
      <c r="Q18" s="1573"/>
      <c r="R18" s="1574"/>
      <c r="S18" s="1575"/>
      <c r="T18" s="1574"/>
      <c r="U18" s="1575"/>
      <c r="V18" s="1574"/>
      <c r="W18" s="1575"/>
      <c r="X18" s="1568"/>
      <c r="Y18" s="3397"/>
      <c r="Z18" s="1576"/>
      <c r="AA18" s="1577">
        <v>1</v>
      </c>
      <c r="AB18" s="1577">
        <v>1</v>
      </c>
      <c r="AC18" s="1577">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97"/>
      <c r="Q22" s="1573"/>
      <c r="R22" s="1574"/>
      <c r="S22" s="1575"/>
      <c r="T22" s="1574"/>
      <c r="U22" s="1575"/>
      <c r="V22" s="1574"/>
      <c r="W22" s="1575"/>
      <c r="X22" s="1568"/>
      <c r="Y22" s="3397"/>
      <c r="Z22" s="1576"/>
      <c r="AA22" s="1577"/>
      <c r="AB22" s="1577"/>
      <c r="AC22" s="1577"/>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97"/>
      <c r="Q24" s="1573"/>
      <c r="R24" s="1574"/>
      <c r="S24" s="1575"/>
      <c r="T24" s="1574"/>
      <c r="U24" s="1575"/>
      <c r="V24" s="1574"/>
      <c r="W24" s="1575"/>
      <c r="X24" s="1568"/>
      <c r="Y24" s="3397"/>
      <c r="Z24" s="1576"/>
      <c r="AA24" s="1577">
        <v>1</v>
      </c>
      <c r="AB24" s="1577">
        <v>1</v>
      </c>
      <c r="AC24" s="1577">
        <v>1</v>
      </c>
    </row>
    <row r="25" spans="1:29" s="1220" customFormat="1" ht="41.4">
      <c r="A25" s="577"/>
      <c r="B25" s="259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7"/>
      <c r="Q25" s="1151" t="str">
        <f t="shared" si="8"/>
        <v>公共配套设施</v>
      </c>
      <c r="R25" s="1569" t="s">
        <v>8</v>
      </c>
      <c r="S25" s="1570">
        <f>F25</f>
        <v>100</v>
      </c>
      <c r="T25" s="1569" t="s">
        <v>8</v>
      </c>
      <c r="U25" s="1570">
        <f>H25</f>
        <v>100</v>
      </c>
      <c r="V25" s="1569" t="s">
        <v>8</v>
      </c>
      <c r="W25" s="1570">
        <f>J25</f>
        <v>100</v>
      </c>
      <c r="X25" s="1571"/>
      <c r="Y25" s="3397"/>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397"/>
      <c r="Q26" s="1151"/>
      <c r="R26" s="1569"/>
      <c r="S26" s="1570"/>
      <c r="T26" s="1569"/>
      <c r="U26" s="1570"/>
      <c r="V26" s="1569"/>
      <c r="W26" s="1570"/>
      <c r="X26" s="1571"/>
      <c r="Y26" s="3397"/>
      <c r="Z26" s="1150"/>
      <c r="AA26" s="1572">
        <v>1</v>
      </c>
      <c r="AB26" s="1572">
        <v>1</v>
      </c>
      <c r="AC26" s="1572">
        <v>1</v>
      </c>
    </row>
    <row r="27" spans="1:29" s="1220" customFormat="1" ht="41.4">
      <c r="A27" s="577"/>
      <c r="B27" s="259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7"/>
      <c r="Q27" s="2578" t="str">
        <f t="shared" ref="Q27" si="9">B27</f>
        <v>基础设施水平</v>
      </c>
      <c r="R27" s="1569" t="s">
        <v>8</v>
      </c>
      <c r="S27" s="1570">
        <f>F27</f>
        <v>100</v>
      </c>
      <c r="T27" s="1569" t="s">
        <v>8</v>
      </c>
      <c r="U27" s="1570">
        <f>H27</f>
        <v>100</v>
      </c>
      <c r="V27" s="1569" t="s">
        <v>8</v>
      </c>
      <c r="W27" s="1570">
        <f>J27</f>
        <v>100</v>
      </c>
      <c r="X27" s="1571"/>
      <c r="Y27" s="3397"/>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397"/>
      <c r="Q28" s="2578"/>
      <c r="R28" s="1569"/>
      <c r="S28" s="1570"/>
      <c r="T28" s="1569"/>
      <c r="U28" s="1570"/>
      <c r="V28" s="1569"/>
      <c r="W28" s="1570"/>
      <c r="X28" s="1571"/>
      <c r="Y28" s="3397"/>
      <c r="Z28" s="2575"/>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97"/>
      <c r="Q31" s="1573"/>
      <c r="R31" s="1574"/>
      <c r="S31" s="1575"/>
      <c r="T31" s="1574"/>
      <c r="U31" s="1575"/>
      <c r="V31" s="1574"/>
      <c r="W31" s="1575"/>
      <c r="X31" s="1568"/>
      <c r="Y31" s="3397"/>
      <c r="Z31" s="1576"/>
      <c r="AA31" s="1577">
        <v>1</v>
      </c>
      <c r="AB31" s="1577">
        <v>1</v>
      </c>
      <c r="AC31" s="1577">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8" t="s">
        <v>549</v>
      </c>
      <c r="Q34" s="1573">
        <f t="shared" si="8"/>
        <v>111</v>
      </c>
      <c r="R34" s="1574" t="s">
        <v>8</v>
      </c>
      <c r="S34" s="1575">
        <f t="shared" si="10"/>
        <v>100</v>
      </c>
      <c r="T34" s="1574" t="s">
        <v>8</v>
      </c>
      <c r="U34" s="1575">
        <f t="shared" si="11"/>
        <v>100</v>
      </c>
      <c r="V34" s="1574" t="s">
        <v>8</v>
      </c>
      <c r="W34" s="1575">
        <f t="shared" si="12"/>
        <v>100</v>
      </c>
      <c r="X34" s="1568"/>
      <c r="Y34" s="3399" t="s">
        <v>549</v>
      </c>
      <c r="Z34" s="1576">
        <f t="shared" si="13"/>
        <v>111</v>
      </c>
      <c r="AA34" s="1577">
        <f t="shared" si="3"/>
        <v>1</v>
      </c>
      <c r="AB34" s="1577">
        <f t="shared" si="4"/>
        <v>1</v>
      </c>
      <c r="AC34" s="1577">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907"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0" customFormat="1" ht="15">
      <c r="A38" s="600"/>
      <c r="B38" s="1897"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9" t="s">
        <v>600</v>
      </c>
      <c r="Q39" s="1573" t="str">
        <f t="shared" si="14"/>
        <v>工程地质条件</v>
      </c>
      <c r="R39" s="1574" t="s">
        <v>8</v>
      </c>
      <c r="S39" s="1575">
        <f t="shared" si="10"/>
        <v>100</v>
      </c>
      <c r="T39" s="1574" t="s">
        <v>8</v>
      </c>
      <c r="U39" s="1575">
        <f t="shared" si="11"/>
        <v>100</v>
      </c>
      <c r="V39" s="1574" t="s">
        <v>8</v>
      </c>
      <c r="W39" s="1575">
        <f t="shared" si="12"/>
        <v>100</v>
      </c>
      <c r="X39" s="1568"/>
      <c r="Y39" s="3399"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4.4">
      <c r="A43" s="607" t="s">
        <v>555</v>
      </c>
      <c r="B43" s="608" t="s">
        <v>2932</v>
      </c>
      <c r="C43" s="609" t="s">
        <v>1</v>
      </c>
      <c r="D43" s="610"/>
      <c r="E43" s="611"/>
      <c r="F43" s="612"/>
      <c r="G43" s="613"/>
      <c r="H43" s="614"/>
      <c r="I43" s="611"/>
      <c r="J43" s="614"/>
      <c r="K43" s="1340"/>
      <c r="L43" s="2144"/>
      <c r="M43" s="2134"/>
      <c r="N43" s="2134"/>
      <c r="O43" s="2145"/>
      <c r="P43" s="3394" t="str">
        <f>A43</f>
        <v>成交单价</v>
      </c>
      <c r="Q43" s="3394"/>
      <c r="R43" s="3408">
        <f>E43</f>
        <v>0</v>
      </c>
      <c r="S43" s="3408"/>
      <c r="T43" s="3408">
        <f>G43</f>
        <v>0</v>
      </c>
      <c r="U43" s="3408"/>
      <c r="V43" s="3408">
        <f>I43</f>
        <v>0</v>
      </c>
      <c r="W43" s="3408"/>
      <c r="X43" s="1560"/>
      <c r="Y43" s="1582"/>
      <c r="Z43" s="1560"/>
      <c r="AA43" s="1560"/>
      <c r="AB43" s="1560"/>
      <c r="AC43" s="1560"/>
    </row>
    <row r="44" spans="1:29" ht="1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394" t="str">
        <f>A44</f>
        <v>比较价格（元/平方米）</v>
      </c>
      <c r="Q44" s="3394"/>
      <c r="R44" s="3418" t="e">
        <f>ROUND(PRODUCT(R43,AA9:AA42),0)</f>
        <v>#DIV/0!</v>
      </c>
      <c r="S44" s="3418"/>
      <c r="T44" s="3418" t="e">
        <f>ROUND(PRODUCT(T43,AB9:AB42),0)</f>
        <v>#DIV/0!</v>
      </c>
      <c r="U44" s="3418"/>
      <c r="V44" s="3418" t="e">
        <f>ROUND(PRODUCT(V43,AC9:AC42),0)</f>
        <v>#DIV/0!</v>
      </c>
      <c r="W44" s="3418"/>
      <c r="X44" s="1560"/>
      <c r="Y44" s="1560"/>
      <c r="Z44" s="1560"/>
      <c r="AA44" s="1560"/>
      <c r="AB44" s="1560"/>
      <c r="AC44" s="1560"/>
    </row>
    <row r="45" spans="1:29" ht="15" thickBot="1">
      <c r="A45" s="621" t="s">
        <v>2933</v>
      </c>
      <c r="B45" s="622"/>
      <c r="C45" s="623" t="e">
        <f>R45</f>
        <v>#DIV/0!</v>
      </c>
      <c r="D45" s="623"/>
      <c r="E45" s="623"/>
      <c r="F45" s="623"/>
      <c r="G45" s="623"/>
      <c r="H45" s="623"/>
      <c r="I45" s="623"/>
      <c r="J45" s="623"/>
      <c r="K45" s="1342"/>
      <c r="L45" s="2144"/>
      <c r="M45" s="2134"/>
      <c r="N45" s="2134"/>
      <c r="O45" s="2145"/>
      <c r="P45" s="3415" t="str">
        <f>A45</f>
        <v>估价对象XX用房的比较价格（楼面单价，元/平方米）</v>
      </c>
      <c r="Q45" s="3416"/>
      <c r="R45" s="3417" t="e">
        <f>ROUND(AVERAGE(R44:V44),0)</f>
        <v>#DIV/0!</v>
      </c>
      <c r="S45" s="3417"/>
      <c r="T45" s="3417"/>
      <c r="U45" s="3417"/>
      <c r="V45" s="3417"/>
      <c r="W45" s="3417"/>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61" t="s">
        <v>1723</v>
      </c>
      <c r="D52" s="2227" t="s">
        <v>2294</v>
      </c>
      <c r="E52" s="631" t="s">
        <v>561</v>
      </c>
      <c r="F52" s="1953" t="s">
        <v>562</v>
      </c>
      <c r="G52" s="3419" t="s">
        <v>2285</v>
      </c>
      <c r="H52" s="3420"/>
      <c r="I52" s="1954" t="s">
        <v>1946</v>
      </c>
      <c r="J52" s="1556">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42003.000000000007</v>
      </c>
      <c r="F53" s="1952" t="e">
        <f t="shared" ref="F53:F62" si="15">ROUND(B53*E53/10000,0)</f>
        <v>#DIV/0!</v>
      </c>
      <c r="G53" s="3421"/>
      <c r="H53" s="3422"/>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2" t="e">
        <f t="shared" si="15"/>
        <v>#DIV/0!</v>
      </c>
      <c r="G54" s="3423" t="s">
        <v>2286</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2" t="e">
        <f t="shared" si="15"/>
        <v>#DIV/0!</v>
      </c>
      <c r="G55" s="3423"/>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2" t="e">
        <f t="shared" si="15"/>
        <v>#DIV/0!</v>
      </c>
      <c r="G56" s="3423"/>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2" t="e">
        <f t="shared" si="15"/>
        <v>#DIV/0!</v>
      </c>
      <c r="G57" s="3423"/>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2329</v>
      </c>
      <c r="B58" s="638" t="e">
        <f t="shared" si="17"/>
        <v>#DIV/0!</v>
      </c>
      <c r="C58" s="378">
        <f t="shared" si="16"/>
        <v>0</v>
      </c>
      <c r="D58" s="2229">
        <v>0.25</v>
      </c>
      <c r="E58" s="641">
        <f>'数据-汇总表'!E11</f>
        <v>0</v>
      </c>
      <c r="F58" s="1952" t="e">
        <f t="shared" si="15"/>
        <v>#DIV/0!</v>
      </c>
      <c r="G58" s="1958" t="s">
        <v>2287</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2" t="e">
        <f t="shared" si="15"/>
        <v>#DIV/0!</v>
      </c>
      <c r="G59" s="1948" t="s">
        <v>1676</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2" t="e">
        <f t="shared" si="15"/>
        <v>#DIV/0!</v>
      </c>
      <c r="G60" s="1948" t="s">
        <v>921</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2" t="e">
        <f t="shared" si="15"/>
        <v>#DIV/0!</v>
      </c>
      <c r="G61" s="1958" t="s">
        <v>2286</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2" t="e">
        <f t="shared" si="15"/>
        <v>#DIV/0!</v>
      </c>
      <c r="G62" s="1959" t="s">
        <v>2287</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2295</v>
      </c>
      <c r="E63" s="643">
        <f>IF(B43="楼面地价",SUM(E53:E62),'数据-汇总表'!D3)</f>
        <v>13984.89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2019-11-1</v>
      </c>
      <c r="D65" s="2799">
        <f>EDATE(C65,-3)</f>
        <v>43678</v>
      </c>
      <c r="E65" s="2799">
        <f t="shared" ref="E65:N65" si="18">EDATE(D65,-3)</f>
        <v>43586</v>
      </c>
      <c r="F65" s="2799">
        <f t="shared" si="18"/>
        <v>43497</v>
      </c>
      <c r="G65" s="2799">
        <f t="shared" si="18"/>
        <v>43405</v>
      </c>
      <c r="H65" s="2799">
        <f t="shared" si="18"/>
        <v>43313</v>
      </c>
      <c r="I65" s="2799">
        <f t="shared" si="18"/>
        <v>43221</v>
      </c>
      <c r="J65" s="2799">
        <f t="shared" si="18"/>
        <v>43132</v>
      </c>
      <c r="K65" s="2799">
        <f t="shared" si="18"/>
        <v>43040</v>
      </c>
      <c r="L65" s="2799">
        <f t="shared" si="18"/>
        <v>42948</v>
      </c>
      <c r="M65" s="2799">
        <f t="shared" si="18"/>
        <v>42856</v>
      </c>
      <c r="N65" s="2799">
        <f t="shared" si="18"/>
        <v>42767</v>
      </c>
      <c r="O65" s="2145"/>
      <c r="P65" s="2145"/>
      <c r="Q65" s="2145"/>
      <c r="R65" s="2145"/>
      <c r="S65" s="2145"/>
      <c r="T65" s="2145"/>
      <c r="U65" s="2145"/>
      <c r="V65" s="2145"/>
      <c r="W65" s="2145"/>
      <c r="X65" s="2145"/>
      <c r="Y65" s="2145"/>
      <c r="Z65" s="2145"/>
      <c r="AA65" s="2145"/>
      <c r="AB65" s="2145"/>
      <c r="AC65" s="2145"/>
    </row>
    <row r="66" spans="1:29" ht="22.2" thickBot="1">
      <c r="A66" s="1585" t="s">
        <v>573</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4.4">
      <c r="A67" s="2568" t="s">
        <v>2534</v>
      </c>
      <c r="B67" s="646"/>
      <c r="C67" s="2794" t="str">
        <f>YEAR(C65)&amp;"-"&amp;ROUNDUP(MONTH(C65)/3,0)</f>
        <v>2019-4</v>
      </c>
      <c r="D67" s="2801" t="str">
        <f t="shared" ref="D67:N67" si="19">YEAR(D65)&amp;"-"&amp;ROUNDUP(MONTH(D65)/3,0)</f>
        <v>2019-3</v>
      </c>
      <c r="E67" s="2801" t="str">
        <f t="shared" si="19"/>
        <v>2019-2</v>
      </c>
      <c r="F67" s="2801" t="str">
        <f t="shared" si="19"/>
        <v>2019-1</v>
      </c>
      <c r="G67" s="2801" t="str">
        <f t="shared" si="19"/>
        <v>2018-4</v>
      </c>
      <c r="H67" s="2801" t="str">
        <f t="shared" si="19"/>
        <v>2018-3</v>
      </c>
      <c r="I67" s="2801" t="str">
        <f t="shared" si="19"/>
        <v>2018-2</v>
      </c>
      <c r="J67" s="2801" t="str">
        <f t="shared" si="19"/>
        <v>2018-1</v>
      </c>
      <c r="K67" s="2801" t="str">
        <f t="shared" si="19"/>
        <v>2017-4</v>
      </c>
      <c r="L67" s="2801" t="str">
        <f t="shared" si="19"/>
        <v>2017-3</v>
      </c>
      <c r="M67" s="2801" t="str">
        <f t="shared" si="19"/>
        <v>2017-2</v>
      </c>
      <c r="N67" s="2801" t="str">
        <f t="shared" si="19"/>
        <v>2017-1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2650</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8"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2551</v>
      </c>
      <c r="C95" s="2598" t="s">
        <v>2552</v>
      </c>
      <c r="D95" s="2598" t="s">
        <v>2553</v>
      </c>
      <c r="E95" s="2598" t="s">
        <v>2554</v>
      </c>
      <c r="F95" s="2598" t="s">
        <v>2555</v>
      </c>
      <c r="G95" s="2598"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7734375" style="1405" customWidth="1"/>
    <col min="2" max="2" width="19.21875" style="1529" customWidth="1"/>
    <col min="3" max="4" width="12" style="1406"/>
    <col min="5" max="5" width="14.6640625" style="1406" customWidth="1"/>
    <col min="6" max="8" width="12" style="1406"/>
    <col min="9" max="9" width="12.21875" style="1406" bestFit="1" customWidth="1"/>
    <col min="10" max="10" width="12" style="1406"/>
    <col min="11" max="11" width="9.6640625" style="1403" customWidth="1"/>
    <col min="12" max="12" width="12" style="1406"/>
    <col min="13" max="14" width="10.6640625" style="1406" customWidth="1"/>
    <col min="15" max="17" width="12" style="1406"/>
    <col min="18" max="18" width="12" style="1405"/>
    <col min="19" max="22" width="15.44140625" style="1405" customWidth="1"/>
    <col min="23" max="28" width="12" style="1406"/>
    <col min="29" max="29" width="9.33203125" style="1405" customWidth="1"/>
    <col min="30" max="35" width="9.33203125" style="1404" customWidth="1"/>
    <col min="36" max="39" width="9.33203125" style="1405" customWidth="1"/>
    <col min="40" max="41" width="9.33203125" style="1406" customWidth="1"/>
    <col min="42" max="16384" width="12" style="1406"/>
  </cols>
  <sheetData>
    <row r="1" spans="1:39" ht="20.399999999999999">
      <c r="A1" s="1400" t="s">
        <v>1693</v>
      </c>
      <c r="B1" s="1401"/>
      <c r="C1" s="1407" t="s">
        <v>2427</v>
      </c>
      <c r="D1" s="1522">
        <f>SUM(D29:D30,D33:D39)</f>
        <v>0</v>
      </c>
      <c r="E1" s="1407" t="s">
        <v>2428</v>
      </c>
      <c r="F1" s="2452"/>
      <c r="G1" s="1402"/>
      <c r="H1" s="1402"/>
      <c r="I1" s="1402"/>
      <c r="J1" s="1402"/>
      <c r="K1" s="1402"/>
      <c r="L1" s="1884" t="s">
        <v>2239</v>
      </c>
      <c r="M1" s="1885">
        <f>SUMPRODUCT((区片价!B5:B9=I2)*(区片价!C3:F3=E2)*(区片价!C5:F9))</f>
        <v>0</v>
      </c>
      <c r="N1" s="1886">
        <f>SUMPRODUCT((因素修正幅度!B5:B9=I2)*(因素修正幅度!C3:F3=E2)*(因素修正幅度!C5:F9))</f>
        <v>0</v>
      </c>
      <c r="O1" s="2189"/>
      <c r="P1" s="2189"/>
      <c r="Q1" s="2189"/>
      <c r="R1" s="2936" t="s">
        <v>2763</v>
      </c>
      <c r="S1" s="2936" t="s">
        <v>2764</v>
      </c>
      <c r="T1" s="2936" t="s">
        <v>2785</v>
      </c>
      <c r="U1" s="2936" t="s">
        <v>2786</v>
      </c>
      <c r="V1" s="2936" t="s">
        <v>2787</v>
      </c>
      <c r="W1" s="2189"/>
      <c r="X1" s="2189"/>
      <c r="Y1" s="2189"/>
      <c r="Z1" s="2189"/>
      <c r="AA1" s="2189"/>
      <c r="AB1" s="2189"/>
      <c r="AC1" s="2190"/>
    </row>
    <row r="2" spans="1:39" ht="15.6">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887" t="s">
        <v>2240</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2" t="s">
        <v>1686</v>
      </c>
      <c r="B3" s="1038" t="e">
        <f>ROUND(B2*10000/D1,0)</f>
        <v>#DIV/0!</v>
      </c>
      <c r="C3" s="1408" t="s">
        <v>925</v>
      </c>
      <c r="D3" s="1409" t="s">
        <v>926</v>
      </c>
      <c r="E3" s="1413"/>
      <c r="F3" s="1414" t="s">
        <v>2934</v>
      </c>
      <c r="G3" s="1039">
        <f>IF(F3="宗地容积率",'数据-汇总表'!I4,IF(F3="估价对象容积率",'数据-汇总表'!I6,'数据-汇总表'!I7))</f>
        <v>3</v>
      </c>
      <c r="H3" s="1415" t="s">
        <v>927</v>
      </c>
      <c r="I3" s="1040">
        <v>8</v>
      </c>
      <c r="J3" s="1411" t="s">
        <v>928</v>
      </c>
      <c r="K3" s="1402"/>
      <c r="L3" s="1887" t="s">
        <v>2241</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3" t="s">
        <v>2281</v>
      </c>
      <c r="B4" s="2453" t="e">
        <f>ROUND(B2*10000/F1,0)</f>
        <v>#DIV/0!</v>
      </c>
      <c r="C4" s="1896" t="s">
        <v>2255</v>
      </c>
      <c r="D4" s="1896" t="e">
        <f>ROUND(B2/(F1/666.67),0)</f>
        <v>#DIV/0!</v>
      </c>
      <c r="E4" s="1896" t="s">
        <v>2256</v>
      </c>
      <c r="F4" s="1894"/>
      <c r="G4" s="1894"/>
      <c r="H4" s="1894"/>
      <c r="I4" s="1894"/>
      <c r="J4" s="1895"/>
      <c r="K4" s="1402"/>
      <c r="L4" s="1887" t="s">
        <v>2242</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6" thickBot="1">
      <c r="A5" s="1639" t="s">
        <v>1822</v>
      </c>
      <c r="B5" s="1416" t="s">
        <v>929</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2243</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6" thickBot="1">
      <c r="A6" s="1640" t="s">
        <v>1869</v>
      </c>
      <c r="B6" s="1423" t="s">
        <v>929</v>
      </c>
      <c r="C6" s="1042">
        <f>SUMIF(L1:L12,基准地价!G2,M1:M12)</f>
        <v>0</v>
      </c>
      <c r="D6" s="1424" t="s">
        <v>1694</v>
      </c>
      <c r="E6" s="1425"/>
      <c r="F6" s="1425"/>
      <c r="G6" s="1426"/>
      <c r="H6" s="1426"/>
      <c r="I6" s="1426"/>
      <c r="J6" s="1427"/>
      <c r="K6" s="1596"/>
      <c r="L6" s="1887" t="s">
        <v>2244</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32" t="str">
        <f>IF(E2="商业",IF(C8="不临58条商业街","",2),"")</f>
        <v/>
      </c>
      <c r="B7" s="1428" t="s">
        <v>930</v>
      </c>
      <c r="C7" s="1043" t="e">
        <f>IF(C8="不临58条商业街",1,ROUND(1+(1.6*E8+1.2*E9+0.8*E10+0.4*E11)*C9,4))</f>
        <v>#DIV/0!</v>
      </c>
      <c r="D7" s="1429" t="s">
        <v>931</v>
      </c>
      <c r="E7" s="1044"/>
      <c r="F7" s="1430"/>
      <c r="G7" s="1431"/>
      <c r="H7" s="1431"/>
      <c r="I7" s="1431"/>
      <c r="J7" s="1432"/>
      <c r="K7" s="1596"/>
      <c r="L7" s="1887" t="s">
        <v>2245</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3</v>
      </c>
      <c r="AA7" s="2192"/>
      <c r="AB7" s="2192"/>
      <c r="AC7" s="2193"/>
      <c r="AD7" s="2929"/>
      <c r="AE7" s="2929"/>
      <c r="AF7" s="2929"/>
      <c r="AG7" s="2929"/>
      <c r="AH7" s="2929"/>
      <c r="AI7" s="2929"/>
      <c r="AJ7" s="2930"/>
    </row>
    <row r="8" spans="1:39" ht="15">
      <c r="A8" s="3433"/>
      <c r="B8" s="1415" t="s">
        <v>932</v>
      </c>
      <c r="C8" s="1530"/>
      <c r="D8" s="1045" t="s">
        <v>933</v>
      </c>
      <c r="E8" s="1046" t="e">
        <f>ROUND(C11/E7,4)</f>
        <v>#DIV/0!</v>
      </c>
      <c r="F8" s="1433" t="s">
        <v>934</v>
      </c>
      <c r="G8" s="1434"/>
      <c r="H8" s="1434"/>
      <c r="I8" s="1434"/>
      <c r="J8" s="1435"/>
      <c r="K8" s="1402"/>
      <c r="L8" s="1887" t="s">
        <v>2246</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42" t="s">
        <v>2784</v>
      </c>
      <c r="X8" s="3443"/>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33"/>
      <c r="B9" s="1415" t="s">
        <v>935</v>
      </c>
      <c r="C9" s="1047">
        <f>SUMIF(修正!C59:C119,C8,修正!E59:E119)</f>
        <v>0</v>
      </c>
      <c r="D9" s="1048" t="s">
        <v>936</v>
      </c>
      <c r="E9" s="1048" t="e">
        <f>ROUND(C11/E7,4)</f>
        <v>#DIV/0!</v>
      </c>
      <c r="F9" s="1433" t="s">
        <v>937</v>
      </c>
      <c r="G9" s="1434"/>
      <c r="H9" s="1434"/>
      <c r="I9" s="1434"/>
      <c r="J9" s="1435"/>
      <c r="K9" s="1402"/>
      <c r="L9" s="1887" t="s">
        <v>2247</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41" t="s">
        <v>2780</v>
      </c>
      <c r="X9" s="2931" t="s">
        <v>2781</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3"/>
      <c r="B10" s="1415" t="s">
        <v>938</v>
      </c>
      <c r="C10" s="1048">
        <f>SUMIF(修正!C59:C119,C8,修正!F59:F119)</f>
        <v>0</v>
      </c>
      <c r="D10" s="1048" t="s">
        <v>939</v>
      </c>
      <c r="E10" s="1048" t="e">
        <f>ROUND(C11/E7,4)</f>
        <v>#DIV/0!</v>
      </c>
      <c r="F10" s="1433" t="s">
        <v>940</v>
      </c>
      <c r="G10" s="1434"/>
      <c r="H10" s="1434"/>
      <c r="I10" s="1434"/>
      <c r="J10" s="1435"/>
      <c r="K10" s="1402"/>
      <c r="L10" s="1887" t="s">
        <v>2248</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41"/>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3"/>
      <c r="B11" s="1436" t="s">
        <v>941</v>
      </c>
      <c r="C11" s="1049">
        <f>C10/4</f>
        <v>0</v>
      </c>
      <c r="D11" s="1049" t="s">
        <v>942</v>
      </c>
      <c r="E11" s="1049" t="e">
        <f>ROUND(C11/E7,4)</f>
        <v>#DIV/0!</v>
      </c>
      <c r="F11" s="1437" t="s">
        <v>943</v>
      </c>
      <c r="G11" s="1438"/>
      <c r="H11" s="1438"/>
      <c r="I11" s="1438"/>
      <c r="J11" s="1439"/>
      <c r="K11" s="1402"/>
      <c r="L11" s="1887" t="s">
        <v>2249</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41" t="s">
        <v>2782</v>
      </c>
      <c r="X11" s="1048" t="s">
        <v>2767</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8" thickBot="1">
      <c r="A12" s="3432" t="s">
        <v>1870</v>
      </c>
      <c r="B12" s="1440" t="s">
        <v>944</v>
      </c>
      <c r="C12" s="1043">
        <f>ROUND(C15*D15*E15*F15*G15*H15*I15*J15,4)</f>
        <v>1</v>
      </c>
      <c r="D12" s="1441" t="s">
        <v>945</v>
      </c>
      <c r="E12" s="1442"/>
      <c r="F12" s="1442"/>
      <c r="G12" s="1443"/>
      <c r="H12" s="1443"/>
      <c r="I12" s="1443"/>
      <c r="J12" s="1444"/>
      <c r="K12" s="1402"/>
      <c r="L12" s="1890" t="s">
        <v>2250</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41"/>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4"/>
      <c r="B13" s="1445" t="s">
        <v>1695</v>
      </c>
      <c r="C13" s="1446" t="s">
        <v>1696</v>
      </c>
      <c r="D13" s="1089" t="s">
        <v>1697</v>
      </c>
      <c r="E13" s="1089" t="s">
        <v>1698</v>
      </c>
      <c r="F13" s="1447" t="s">
        <v>946</v>
      </c>
      <c r="G13" s="1448" t="s">
        <v>1641</v>
      </c>
      <c r="H13" s="1449" t="s">
        <v>1641</v>
      </c>
      <c r="I13" s="1450" t="s">
        <v>1641</v>
      </c>
      <c r="J13" s="1451" t="s">
        <v>1641</v>
      </c>
      <c r="K13" s="1402"/>
      <c r="L13" s="2189"/>
      <c r="M13" s="2189"/>
      <c r="N13" s="2189"/>
      <c r="O13" s="2189"/>
      <c r="P13" s="2189"/>
      <c r="Q13" s="2189"/>
      <c r="R13" s="2937">
        <v>12</v>
      </c>
      <c r="S13" s="2926"/>
      <c r="T13" s="2937" t="e">
        <f t="shared" si="0"/>
        <v>#DIV/0!</v>
      </c>
      <c r="U13" s="2926"/>
      <c r="V13" s="2937" t="e">
        <f t="shared" si="1"/>
        <v>#DIV/0!</v>
      </c>
      <c r="W13" s="3441"/>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34"/>
      <c r="B14" s="1452"/>
      <c r="C14" s="1453"/>
      <c r="D14" s="1454"/>
      <c r="E14" s="1454"/>
      <c r="F14" s="1455"/>
      <c r="G14" s="1456" t="s">
        <v>947</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5"/>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89"/>
      <c r="R15" s="2937">
        <v>14</v>
      </c>
      <c r="S15" s="2926"/>
      <c r="T15" s="2937" t="e">
        <f t="shared" si="0"/>
        <v>#DIV/0!</v>
      </c>
      <c r="U15" s="2926"/>
      <c r="V15" s="2937" t="e">
        <f t="shared" si="1"/>
        <v>#DIV/0!</v>
      </c>
      <c r="W15" s="2189"/>
      <c r="X15" s="2189"/>
      <c r="Y15" s="2189"/>
      <c r="Z15" s="2189"/>
      <c r="AA15" s="2189"/>
      <c r="AB15" s="2189"/>
      <c r="AC15" s="2190"/>
    </row>
    <row r="16" spans="1:39" ht="24">
      <c r="A16" s="3432"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33"/>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 thickBot="1">
      <c r="A18" s="1642" t="s">
        <v>1828</v>
      </c>
      <c r="B18" s="2772" t="s">
        <v>954</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9.4" thickBot="1">
      <c r="A19" s="1641" t="s">
        <v>1834</v>
      </c>
      <c r="B19" s="1471" t="s">
        <v>955</v>
      </c>
      <c r="C19" s="1057" t="e">
        <f>ROUND(IF(H19="按公示增长率计算",SUMPRODUCT((地价!A3:A23=YEAR(G19)&amp;"-"&amp;ROUNDUP(MONTH(G19)/3,0))*(地价!X2:AB2=E2)*(地价!X3:AB23)),IF(H19="地价指数",M20/M19,(1+I19)^O19)),4)</f>
        <v>#DIV/0!</v>
      </c>
      <c r="D19" s="1475" t="s">
        <v>956</v>
      </c>
      <c r="E19" s="1058">
        <v>41640</v>
      </c>
      <c r="F19" s="1475" t="s">
        <v>957</v>
      </c>
      <c r="G19" s="1059">
        <f>'数据-取费表'!B2</f>
        <v>43780</v>
      </c>
      <c r="H19" s="1476" t="s">
        <v>2935</v>
      </c>
      <c r="I19" s="2784" t="str">
        <f>IF(H19="季度增幅（自定义）",SUMIF(N21:N24,E2,O21:O24),"")</f>
        <v/>
      </c>
      <c r="J19" s="1472"/>
      <c r="K19" s="1482"/>
      <c r="L19" s="3039" t="s">
        <v>2842</v>
      </c>
      <c r="M19" s="3040">
        <f>ROUND(SUMIF(地价!B2:F2,E2,地价!B23:F23),0)</f>
        <v>0</v>
      </c>
      <c r="N19" s="2786" t="s">
        <v>1675</v>
      </c>
      <c r="O19" s="2785">
        <f>ROUNDDOWN(DATEDIF(E19,G19,"M")/3,0)</f>
        <v>23</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9.4" thickBot="1">
      <c r="A20" s="2778" t="s">
        <v>1835</v>
      </c>
      <c r="B20" s="2779" t="s">
        <v>970</v>
      </c>
      <c r="C20" s="2780" t="e">
        <f>ROUND(POWER(1+G20,J20-I20)*(POWER(1+G20,I20)-1)/(POWER(1+G20,J20)-1),4)</f>
        <v>#DIV/0!</v>
      </c>
      <c r="D20" s="2781" t="s">
        <v>971</v>
      </c>
      <c r="E20" s="3093">
        <f ca="1">存贷款利率!I4/100</f>
        <v>4.3499999999999997E-2</v>
      </c>
      <c r="F20" s="2781" t="s">
        <v>972</v>
      </c>
      <c r="G20" s="2782">
        <f>SUMIF(M15:P15,E2,M17:P17)</f>
        <v>0</v>
      </c>
      <c r="H20" s="2781" t="s">
        <v>973</v>
      </c>
      <c r="I20" s="2771" t="e">
        <f>SUMIF('数据-取费表'!C6:C15,E2,'数据-取费表'!F6:F15)/COUNTIF('数据-取费表'!C6:C15,E2)</f>
        <v>#DIV/0!</v>
      </c>
      <c r="J20" s="2783">
        <f>IF(E2="住宅",70,IF(E2="商业",40,50))</f>
        <v>50</v>
      </c>
      <c r="K20" s="1482"/>
      <c r="L20" s="3041" t="s">
        <v>2843</v>
      </c>
      <c r="M20" s="3042">
        <f>ROUND(SUMPRODUCT((地价!A4:A23=YEAR(G19)&amp;"-"&amp;ROUNDUP(MONTH(G19)/3,0))*(地价!B2:F2=E2)*(地价!B4:F23)),0)</f>
        <v>0</v>
      </c>
      <c r="N20" s="2789" t="s">
        <v>2646</v>
      </c>
      <c r="O20" s="2787" t="s">
        <v>2645</v>
      </c>
      <c r="P20" s="2788" t="s">
        <v>2651</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4">
      <c r="A21" s="1643" t="s">
        <v>1836</v>
      </c>
      <c r="B21" s="1481" t="s">
        <v>2762</v>
      </c>
      <c r="C21" s="1158">
        <f>IF(B21="容积率修正",IF(G3&lt;=10,D22,J22),C23)</f>
        <v>0</v>
      </c>
      <c r="D21" s="1482"/>
      <c r="E21" s="1482"/>
      <c r="F21" s="1482"/>
      <c r="G21" s="1482"/>
      <c r="H21" s="1482"/>
      <c r="I21" s="1482"/>
      <c r="J21" s="1483"/>
      <c r="K21" s="1482"/>
      <c r="L21" s="1482"/>
      <c r="M21" s="1482"/>
      <c r="N21" s="1479" t="s">
        <v>974</v>
      </c>
      <c r="O21" s="1543"/>
      <c r="P21" s="2769">
        <f>SUMPRODUCT((地价!A3:A23=YEAR(G19)&amp;"-"&amp;ROUNDUP(MONTH(G19)/3,0))*(地价!AD2:AH2=N21)*(地价!AD3:AH23))</f>
        <v>0</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4">
      <c r="A22" s="1644" t="s">
        <v>1869</v>
      </c>
      <c r="B22" s="1484" t="s">
        <v>975</v>
      </c>
      <c r="C22" s="1060" t="s">
        <v>1701</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769">
        <f>SUMPRODUCT((地价!A3:A23=YEAR(G19)&amp;"-"&amp;ROUNDUP(MONTH(G19)/3,0))*(地价!AD2:AH2=N22)*(地价!AD3:AH23))</f>
        <v>0</v>
      </c>
      <c r="R22" s="2925"/>
      <c r="S22" s="2925"/>
      <c r="T22" s="2925"/>
      <c r="U22" s="2925"/>
      <c r="V22" s="2925"/>
      <c r="W22" s="2195"/>
      <c r="X22" s="2195"/>
      <c r="Y22" s="2195"/>
      <c r="Z22" s="2195"/>
      <c r="AA22" s="2195"/>
      <c r="AB22" s="2195"/>
      <c r="AC22" s="2195"/>
      <c r="AD22" s="1473"/>
      <c r="AE22" s="1473"/>
      <c r="AF22" s="1473"/>
      <c r="AG22" s="1473"/>
      <c r="AH22" s="1473"/>
      <c r="AI22" s="1473"/>
    </row>
    <row r="23" spans="1:40" ht="29.4"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769">
        <f>SUMPRODUCT((地价!A3:A23=YEAR(G19)&amp;"-"&amp;ROUNDUP(MONTH(G19)/3,0))*(地价!AD2:AH2=N23)*(地价!AD3:AH23))</f>
        <v>0</v>
      </c>
      <c r="R23" s="2925"/>
      <c r="S23" s="2925"/>
      <c r="T23" s="2925"/>
      <c r="U23" s="2925"/>
      <c r="V23" s="2925"/>
      <c r="W23" s="2195"/>
      <c r="X23" s="2195"/>
      <c r="Y23" s="2195"/>
      <c r="Z23" s="2195"/>
      <c r="AA23" s="2195"/>
      <c r="AB23" s="2195"/>
      <c r="AC23" s="2195"/>
      <c r="AN23" s="1405"/>
    </row>
    <row r="24" spans="1:40" s="1422" customFormat="1" ht="1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SUMPRODUCT((地价!A3:A23=YEAR(G19)&amp;"-"&amp;ROUNDUP(MONTH(G19)/3,0))*(地价!AD2:AH2=N24)*(地价!AD3:AH23))</f>
        <v>0</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5"/>
      <c r="M25" s="2195"/>
      <c r="N25" s="2797" t="s">
        <v>2649</v>
      </c>
      <c r="O25" s="2195"/>
      <c r="P25" s="1542">
        <f>SUMPRODUCT((地价!A3:A23=YEAR(G19)&amp;"-"&amp;ROUNDUP(MONTH(G19)/3,0))*(地价!AD2:AH2=N25)*(地价!AD3:AH23))</f>
        <v>0</v>
      </c>
      <c r="R25" s="2925"/>
      <c r="S25" s="2925"/>
      <c r="T25" s="2925"/>
      <c r="U25" s="2925"/>
      <c r="V25" s="2925"/>
      <c r="W25" s="2195"/>
      <c r="X25" s="2195"/>
      <c r="Y25" s="2195"/>
      <c r="Z25" s="2195"/>
      <c r="AA25" s="2195"/>
      <c r="AB25" s="2195"/>
      <c r="AC25" s="2195"/>
    </row>
    <row r="26" spans="1:40" ht="14.4">
      <c r="A26" s="1490"/>
      <c r="B26" s="1484" t="s">
        <v>985</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4">
      <c r="A28" s="1486"/>
      <c r="B28" s="1499" t="s">
        <v>988</v>
      </c>
      <c r="C28" s="1500" t="s">
        <v>989</v>
      </c>
      <c r="D28" s="1500" t="s">
        <v>990</v>
      </c>
      <c r="E28" s="1501" t="s">
        <v>991</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992</v>
      </c>
      <c r="C29" s="1063" t="e">
        <f>ROUND(C5*C18*C19*C20*C21*C24,0)</f>
        <v>#DIV/0!</v>
      </c>
      <c r="D29" s="1505"/>
      <c r="E29" s="1851" t="e">
        <f>ROUND(C29*D29/10000,0)</f>
        <v>#DIV/0!</v>
      </c>
      <c r="F29" s="1506" t="s">
        <v>1700</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6" thickBot="1">
      <c r="A30" s="1509"/>
      <c r="B30" s="1510" t="s">
        <v>993</v>
      </c>
      <c r="C30" s="1051" t="e">
        <f>ROUND(IF(E2="工业",C29*M39,C29*M38),0)</f>
        <v>#DIV/0!</v>
      </c>
      <c r="D30" s="1511"/>
      <c r="E30" s="1851" t="e">
        <f>ROUND(C30*D30/10000,0)</f>
        <v>#DIV/0!</v>
      </c>
      <c r="F30" s="1512" t="s">
        <v>994</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36">
      <c r="A32" s="1503"/>
      <c r="B32" s="1519"/>
      <c r="C32" s="1520" t="s">
        <v>989</v>
      </c>
      <c r="D32" s="1521" t="s">
        <v>990</v>
      </c>
      <c r="E32" s="1521" t="s">
        <v>991</v>
      </c>
      <c r="F32" s="1522" t="s">
        <v>997</v>
      </c>
      <c r="G32" s="1480" t="s">
        <v>989</v>
      </c>
      <c r="H32" s="1480" t="s">
        <v>990</v>
      </c>
      <c r="I32" s="1480" t="s">
        <v>991</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3.2">
      <c r="A33" s="3438" t="s">
        <v>2960</v>
      </c>
      <c r="B33" s="1525" t="s">
        <v>998</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3.2">
      <c r="A34" s="3439"/>
      <c r="B34" s="1446" t="s">
        <v>999</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3.2">
      <c r="A35" s="3439"/>
      <c r="B35" s="1446" t="s">
        <v>1000</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40"/>
      <c r="B36" s="1446" t="s">
        <v>1001</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3.2">
      <c r="A37" s="1524"/>
      <c r="B37" s="1446" t="s">
        <v>1002</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89"/>
      <c r="O37" s="2189"/>
      <c r="P37" s="2189"/>
      <c r="Q37" s="2189"/>
      <c r="R37" s="2190"/>
      <c r="S37" s="2190"/>
      <c r="T37" s="2190"/>
      <c r="U37" s="2190"/>
      <c r="V37" s="2190"/>
      <c r="W37" s="2189"/>
      <c r="X37" s="2189"/>
      <c r="Y37" s="2189"/>
      <c r="Z37" s="2189"/>
      <c r="AA37" s="2189"/>
      <c r="AB37" s="2189"/>
      <c r="AC37" s="2190"/>
    </row>
    <row r="38" spans="1:40" ht="13.2">
      <c r="A38" s="1524"/>
      <c r="B38" s="1446" t="s">
        <v>1003</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89"/>
      <c r="O38" s="2189"/>
      <c r="P38" s="2189"/>
      <c r="Q38" s="2189"/>
      <c r="R38" s="2190"/>
      <c r="S38" s="2190"/>
      <c r="T38" s="2190"/>
      <c r="U38" s="2190"/>
      <c r="V38" s="2190"/>
      <c r="W38" s="2189"/>
      <c r="X38" s="2189"/>
      <c r="Y38" s="2189"/>
      <c r="Z38" s="2189"/>
      <c r="AA38" s="2189"/>
      <c r="AB38" s="2189"/>
      <c r="AC38" s="2190"/>
    </row>
    <row r="39" spans="1:40" ht="13.8" thickBot="1">
      <c r="A39" s="1509"/>
      <c r="B39" s="1527" t="s">
        <v>1004</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1005</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4.4">
      <c r="A45" s="2424" t="s">
        <v>1006</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1007</v>
      </c>
      <c r="B46" s="2408" t="s">
        <v>1008</v>
      </c>
      <c r="C46" s="2430" t="s">
        <v>1009</v>
      </c>
      <c r="D46" s="2431" t="s">
        <v>1010</v>
      </c>
      <c r="E46" s="2432" t="s">
        <v>1012</v>
      </c>
      <c r="F46" s="2433" t="s">
        <v>2251</v>
      </c>
      <c r="G46" s="2431" t="s">
        <v>1013</v>
      </c>
      <c r="H46" s="2414" t="s">
        <v>2419</v>
      </c>
      <c r="I46" s="2431" t="s">
        <v>1011</v>
      </c>
      <c r="J46" s="2434" t="s">
        <v>1014</v>
      </c>
      <c r="K46" s="2434" t="s">
        <v>1015</v>
      </c>
      <c r="L46" s="2434" t="s">
        <v>1016</v>
      </c>
      <c r="M46" s="2434" t="s">
        <v>1017</v>
      </c>
      <c r="N46" s="2434" t="s">
        <v>1018</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48">
      <c r="A47" s="1067" t="s">
        <v>1019</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60">
      <c r="A48" s="1067" t="s">
        <v>1020</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1021</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48">
      <c r="A50" s="1067" t="s">
        <v>1022</v>
      </c>
      <c r="B50" s="3095" t="s">
        <v>2937</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1023</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36">
      <c r="A52" s="1067" t="s">
        <v>1024</v>
      </c>
      <c r="B52" s="3094" t="s">
        <v>2936</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1025</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1026</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6" thickBot="1">
      <c r="A55" s="2441" t="s">
        <v>1027</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4.4">
      <c r="A56" s="2424" t="s">
        <v>1028</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1007</v>
      </c>
      <c r="B57" s="2408"/>
      <c r="C57" s="2430" t="s">
        <v>1009</v>
      </c>
      <c r="D57" s="2431" t="s">
        <v>1010</v>
      </c>
      <c r="E57" s="2432" t="s">
        <v>1012</v>
      </c>
      <c r="F57" s="2433" t="s">
        <v>2252</v>
      </c>
      <c r="G57" s="2431" t="s">
        <v>1013</v>
      </c>
      <c r="H57" s="2414" t="s">
        <v>2419</v>
      </c>
      <c r="I57" s="2431" t="s">
        <v>1011</v>
      </c>
      <c r="J57" s="2434" t="s">
        <v>1014</v>
      </c>
      <c r="K57" s="2434" t="s">
        <v>1015</v>
      </c>
      <c r="L57" s="2434" t="s">
        <v>1016</v>
      </c>
      <c r="M57" s="2434" t="s">
        <v>1017</v>
      </c>
      <c r="N57" s="2434" t="s">
        <v>1018</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48">
      <c r="A58" s="1067" t="s">
        <v>1029</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60">
      <c r="A59" s="1067" t="s">
        <v>1020</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1021</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48">
      <c r="A61" s="1067" t="s">
        <v>1022</v>
      </c>
      <c r="B61" s="3095" t="s">
        <v>2938</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1023</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36">
      <c r="A63" s="1067" t="s">
        <v>1024</v>
      </c>
      <c r="B63" s="3094" t="s">
        <v>2936</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1025</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1026</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6" thickBot="1">
      <c r="A66" s="2441" t="s">
        <v>1027</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4.4">
      <c r="A67" s="2424" t="s">
        <v>1030</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1007</v>
      </c>
      <c r="B68" s="2408"/>
      <c r="C68" s="2430" t="s">
        <v>1009</v>
      </c>
      <c r="D68" s="2431" t="s">
        <v>1010</v>
      </c>
      <c r="E68" s="2432" t="s">
        <v>1012</v>
      </c>
      <c r="F68" s="2433" t="s">
        <v>2253</v>
      </c>
      <c r="G68" s="2431" t="s">
        <v>1013</v>
      </c>
      <c r="H68" s="2414" t="s">
        <v>2419</v>
      </c>
      <c r="I68" s="2431" t="s">
        <v>1011</v>
      </c>
      <c r="J68" s="2434" t="s">
        <v>1014</v>
      </c>
      <c r="K68" s="2434" t="s">
        <v>1015</v>
      </c>
      <c r="L68" s="2434" t="s">
        <v>1016</v>
      </c>
      <c r="M68" s="2434" t="s">
        <v>1017</v>
      </c>
      <c r="N68" s="2434" t="s">
        <v>1018</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60">
      <c r="A69" s="1067" t="s">
        <v>1031</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60">
      <c r="A70" s="1067" t="s">
        <v>1032</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1021</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3.8">
      <c r="A72" s="1067" t="s">
        <v>1033</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1025</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1026</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36">
      <c r="A75" s="1067" t="s">
        <v>1024</v>
      </c>
      <c r="B75" s="3094" t="s">
        <v>2936</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1027</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36.6" thickBot="1">
      <c r="A77" s="2441" t="s">
        <v>1034</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4.4">
      <c r="A78" s="2424" t="s">
        <v>1035</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1007</v>
      </c>
      <c r="B79" s="2408"/>
      <c r="C79" s="2430" t="s">
        <v>1009</v>
      </c>
      <c r="D79" s="2431" t="s">
        <v>1010</v>
      </c>
      <c r="E79" s="2432" t="s">
        <v>1012</v>
      </c>
      <c r="F79" s="2433" t="s">
        <v>2254</v>
      </c>
      <c r="G79" s="2431" t="s">
        <v>1013</v>
      </c>
      <c r="H79" s="2414" t="s">
        <v>2419</v>
      </c>
      <c r="I79" s="2431" t="s">
        <v>1011</v>
      </c>
      <c r="J79" s="2434" t="s">
        <v>1014</v>
      </c>
      <c r="K79" s="2434" t="s">
        <v>1015</v>
      </c>
      <c r="L79" s="2434" t="s">
        <v>1016</v>
      </c>
      <c r="M79" s="2434" t="s">
        <v>1017</v>
      </c>
      <c r="N79" s="2434" t="s">
        <v>1018</v>
      </c>
      <c r="AC79" s="1406"/>
      <c r="AD79" s="1405"/>
      <c r="AJ79" s="1404"/>
      <c r="AN79" s="1405"/>
    </row>
    <row r="80" spans="1:40" ht="36">
      <c r="A80" s="1067" t="s">
        <v>1036</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60">
      <c r="A81" s="1067" t="s">
        <v>1032</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1021</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3.8">
      <c r="A83" s="1067" t="s">
        <v>1033</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1025</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1026</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36">
      <c r="A86" s="1067" t="s">
        <v>1024</v>
      </c>
      <c r="B86" s="3094" t="s">
        <v>2936</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48.6" thickBot="1">
      <c r="A87" s="2441" t="s">
        <v>1037</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36" t="s">
        <v>1632</v>
      </c>
      <c r="B90" s="3436"/>
      <c r="C90" s="3436"/>
      <c r="D90" s="3436"/>
      <c r="E90" s="3436"/>
      <c r="F90" s="3436"/>
      <c r="G90" s="3436"/>
      <c r="H90" s="3436"/>
      <c r="I90" s="3436"/>
      <c r="J90" s="3436"/>
      <c r="K90" s="2450"/>
      <c r="L90" s="2450"/>
      <c r="M90" s="2450"/>
      <c r="N90" s="2450"/>
    </row>
    <row r="91" spans="1:40">
      <c r="A91" s="3437" t="s">
        <v>1442</v>
      </c>
      <c r="B91" s="3437" t="s">
        <v>1633</v>
      </c>
      <c r="C91" s="1140" t="s">
        <v>1634</v>
      </c>
      <c r="D91" s="1141"/>
      <c r="E91" s="1141"/>
      <c r="F91" s="1141"/>
      <c r="G91" s="1141"/>
      <c r="H91" s="1141"/>
      <c r="I91" s="1141"/>
      <c r="J91" s="1142"/>
      <c r="K91" s="1134"/>
      <c r="L91" s="1134"/>
      <c r="M91" s="1134"/>
      <c r="N91" s="1134"/>
    </row>
    <row r="92" spans="1:40">
      <c r="A92" s="3437"/>
      <c r="B92" s="3437"/>
      <c r="C92" s="2449" t="s">
        <v>905</v>
      </c>
      <c r="D92" s="2449" t="s">
        <v>883</v>
      </c>
      <c r="E92" s="2449" t="s">
        <v>884</v>
      </c>
      <c r="F92" s="2449" t="s">
        <v>908</v>
      </c>
      <c r="G92" s="2449" t="s">
        <v>886</v>
      </c>
      <c r="H92" s="2449" t="s">
        <v>887</v>
      </c>
      <c r="I92" s="2449" t="s">
        <v>888</v>
      </c>
      <c r="J92" s="2449" t="s">
        <v>889</v>
      </c>
      <c r="K92" s="2449" t="s">
        <v>913</v>
      </c>
      <c r="L92" s="2449" t="s">
        <v>891</v>
      </c>
      <c r="M92" s="2449" t="s">
        <v>892</v>
      </c>
      <c r="N92" s="2449" t="s">
        <v>916</v>
      </c>
    </row>
    <row r="93" spans="1:40">
      <c r="A93" s="3444"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5"/>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4" t="s">
        <v>1636</v>
      </c>
      <c r="B101" s="1147" t="s">
        <v>904</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45"/>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45"/>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45"/>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45"/>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45"/>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45"/>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45"/>
      <c r="B108" s="3447"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6"/>
      <c r="B109" s="3448"/>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31" t="s">
        <v>1638</v>
      </c>
      <c r="B110" s="3431"/>
      <c r="C110" s="3431"/>
      <c r="D110" s="3431"/>
      <c r="E110" s="3431"/>
      <c r="F110" s="3431"/>
      <c r="G110" s="3431"/>
      <c r="H110" s="3431"/>
      <c r="I110" s="3431"/>
      <c r="J110" s="3431"/>
      <c r="K110" s="2448"/>
      <c r="L110" s="2448"/>
      <c r="M110" s="2448"/>
      <c r="N110" s="2448"/>
    </row>
    <row r="112" spans="1:14" ht="12.6" thickBot="1"/>
    <row r="113" spans="1:13" ht="25.8" thickBot="1">
      <c r="A113" s="1016" t="s">
        <v>894</v>
      </c>
      <c r="B113" s="2451">
        <f>G3</f>
        <v>3</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3.2">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3.2">
      <c r="A115" s="1029" t="s">
        <v>898</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3.2">
      <c r="A116" s="1029" t="s">
        <v>899</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3.2">
      <c r="A117" s="1032" t="s">
        <v>900</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8" thickBot="1">
      <c r="A118" s="1033" t="s">
        <v>901</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437" t="s">
        <v>1006</v>
      </c>
      <c r="B18" s="1154" t="s">
        <v>1445</v>
      </c>
      <c r="C18" s="1131" t="s">
        <v>1446</v>
      </c>
      <c r="D18" s="1132"/>
      <c r="E18" s="1154">
        <v>1</v>
      </c>
      <c r="F18" s="1133" t="s">
        <v>1447</v>
      </c>
      <c r="G18" s="1134"/>
      <c r="H18" s="1105"/>
      <c r="I18" s="1105"/>
    </row>
    <row r="19" spans="1:9" s="1600" customFormat="1" ht="19.5" customHeight="1">
      <c r="A19" s="3437"/>
      <c r="B19" s="3437" t="s">
        <v>1448</v>
      </c>
      <c r="C19" s="1131" t="s">
        <v>1449</v>
      </c>
      <c r="D19" s="1132"/>
      <c r="E19" s="1154">
        <v>0.9</v>
      </c>
      <c r="F19" s="1133" t="s">
        <v>1450</v>
      </c>
      <c r="G19" s="1134"/>
      <c r="H19" s="1105"/>
      <c r="I19" s="1105"/>
    </row>
    <row r="20" spans="1:9" s="1600" customFormat="1" ht="19.5" customHeight="1">
      <c r="A20" s="3437"/>
      <c r="B20" s="3437"/>
      <c r="C20" s="1131" t="s">
        <v>1451</v>
      </c>
      <c r="D20" s="1132"/>
      <c r="E20" s="1154">
        <v>1.1000000000000001</v>
      </c>
      <c r="F20" s="1133" t="s">
        <v>1452</v>
      </c>
      <c r="G20" s="1134"/>
      <c r="H20" s="1105"/>
      <c r="I20" s="1105"/>
    </row>
    <row r="21" spans="1:9" s="1600" customFormat="1" ht="19.5" customHeight="1">
      <c r="A21" s="3437"/>
      <c r="B21" s="3437"/>
      <c r="C21" s="1131" t="s">
        <v>1453</v>
      </c>
      <c r="D21" s="1132"/>
      <c r="E21" s="1154">
        <v>0.8</v>
      </c>
      <c r="F21" s="1133" t="s">
        <v>1454</v>
      </c>
      <c r="G21" s="1134"/>
      <c r="H21" s="1105"/>
      <c r="I21" s="1105"/>
    </row>
    <row r="22" spans="1:9" s="1600" customFormat="1" ht="19.5" customHeight="1">
      <c r="A22" s="3437"/>
      <c r="B22" s="3437"/>
      <c r="C22" s="1131" t="s">
        <v>1455</v>
      </c>
      <c r="D22" s="1132"/>
      <c r="E22" s="1154">
        <v>0.5</v>
      </c>
      <c r="F22" s="1133"/>
      <c r="G22" s="1134"/>
      <c r="H22" s="1105"/>
      <c r="I22" s="1105"/>
    </row>
    <row r="23" spans="1:9" s="1600" customFormat="1" ht="19.5" customHeight="1">
      <c r="A23" s="3437" t="s">
        <v>1028</v>
      </c>
      <c r="B23" s="1154" t="s">
        <v>1445</v>
      </c>
      <c r="C23" s="1131" t="s">
        <v>1456</v>
      </c>
      <c r="D23" s="1132"/>
      <c r="E23" s="1154">
        <v>1</v>
      </c>
      <c r="F23" s="1133" t="s">
        <v>1457</v>
      </c>
      <c r="G23" s="1134"/>
      <c r="H23" s="1105"/>
      <c r="I23" s="1105"/>
    </row>
    <row r="24" spans="1:9" s="1600" customFormat="1" ht="19.5" customHeight="1">
      <c r="A24" s="3437"/>
      <c r="B24" s="3437" t="s">
        <v>1448</v>
      </c>
      <c r="C24" s="1131" t="s">
        <v>1458</v>
      </c>
      <c r="D24" s="1132"/>
      <c r="E24" s="1154">
        <v>0.5</v>
      </c>
      <c r="F24" s="1133"/>
      <c r="G24" s="1134"/>
      <c r="H24" s="1105"/>
      <c r="I24" s="1105"/>
    </row>
    <row r="25" spans="1:9" s="1600" customFormat="1" ht="19.5" customHeight="1">
      <c r="A25" s="3437"/>
      <c r="B25" s="3437"/>
      <c r="C25" s="1131" t="s">
        <v>1459</v>
      </c>
      <c r="D25" s="1132"/>
      <c r="E25" s="1154">
        <v>1.1000000000000001</v>
      </c>
      <c r="F25" s="1133"/>
      <c r="G25" s="1134"/>
      <c r="H25" s="1105"/>
      <c r="I25" s="1105"/>
    </row>
    <row r="26" spans="1:9" s="1600" customFormat="1" ht="19.5" customHeight="1">
      <c r="A26" s="3437"/>
      <c r="B26" s="3437"/>
      <c r="C26" s="1131" t="s">
        <v>1460</v>
      </c>
      <c r="D26" s="1132"/>
      <c r="E26" s="1154">
        <v>1.1000000000000001</v>
      </c>
      <c r="F26" s="1133"/>
      <c r="G26" s="1134"/>
      <c r="H26" s="1105"/>
      <c r="I26" s="1105"/>
    </row>
    <row r="27" spans="1:9" s="1600" customFormat="1" ht="19.5" customHeight="1">
      <c r="A27" s="3437"/>
      <c r="B27" s="3437"/>
      <c r="C27" s="1131" t="s">
        <v>1461</v>
      </c>
      <c r="D27" s="1132"/>
      <c r="E27" s="1154">
        <v>0.9</v>
      </c>
      <c r="F27" s="1133" t="s">
        <v>1462</v>
      </c>
      <c r="G27" s="1134"/>
      <c r="H27" s="1105"/>
      <c r="I27" s="1105"/>
    </row>
    <row r="28" spans="1:9" s="1600" customFormat="1" ht="19.5" customHeight="1">
      <c r="A28" s="3437"/>
      <c r="B28" s="3437"/>
      <c r="C28" s="1131" t="s">
        <v>1463</v>
      </c>
      <c r="D28" s="1132"/>
      <c r="E28" s="1154">
        <v>0.9</v>
      </c>
      <c r="F28" s="1133" t="s">
        <v>1464</v>
      </c>
      <c r="G28" s="1134"/>
      <c r="H28" s="1105"/>
      <c r="I28" s="1105"/>
    </row>
    <row r="29" spans="1:9" s="1600" customFormat="1" ht="19.5" customHeight="1">
      <c r="A29" s="3437"/>
      <c r="B29" s="3437"/>
      <c r="C29" s="1131" t="s">
        <v>1465</v>
      </c>
      <c r="D29" s="1132"/>
      <c r="E29" s="1154">
        <v>0.9</v>
      </c>
      <c r="F29" s="1133" t="s">
        <v>1466</v>
      </c>
      <c r="G29" s="1134"/>
      <c r="H29" s="1105"/>
      <c r="I29" s="1105"/>
    </row>
    <row r="30" spans="1:9" s="1600" customFormat="1" ht="19.5" customHeight="1">
      <c r="A30" s="3437"/>
      <c r="B30" s="3437"/>
      <c r="C30" s="1131" t="s">
        <v>1467</v>
      </c>
      <c r="D30" s="1132"/>
      <c r="E30" s="1154">
        <v>0.9</v>
      </c>
      <c r="F30" s="1133" t="s">
        <v>1468</v>
      </c>
      <c r="G30" s="1134"/>
      <c r="H30" s="1105"/>
      <c r="I30" s="1105"/>
    </row>
    <row r="31" spans="1:9" s="1600" customFormat="1" ht="19.5" customHeight="1">
      <c r="A31" s="3437"/>
      <c r="B31" s="3437"/>
      <c r="C31" s="1131" t="s">
        <v>1469</v>
      </c>
      <c r="D31" s="1132"/>
      <c r="E31" s="1154">
        <v>0.8</v>
      </c>
      <c r="F31" s="1133" t="s">
        <v>1470</v>
      </c>
      <c r="G31" s="1134"/>
      <c r="H31" s="1105"/>
      <c r="I31" s="1105"/>
    </row>
    <row r="32" spans="1:9" s="1600" customFormat="1" ht="19.5" customHeight="1">
      <c r="A32" s="3437"/>
      <c r="B32" s="3437"/>
      <c r="C32" s="1131" t="s">
        <v>1471</v>
      </c>
      <c r="D32" s="1132"/>
      <c r="E32" s="1154">
        <v>0.8</v>
      </c>
      <c r="F32" s="1133" t="s">
        <v>1472</v>
      </c>
      <c r="G32" s="1134"/>
      <c r="H32" s="1105"/>
      <c r="I32" s="1105"/>
    </row>
    <row r="33" spans="1:9" s="1600" customFormat="1" ht="19.5" customHeight="1">
      <c r="A33" s="3437" t="s">
        <v>1473</v>
      </c>
      <c r="B33" s="1154" t="s">
        <v>1445</v>
      </c>
      <c r="C33" s="1131" t="s">
        <v>1474</v>
      </c>
      <c r="D33" s="1132"/>
      <c r="E33" s="1154">
        <v>1</v>
      </c>
      <c r="F33" s="1133" t="s">
        <v>1475</v>
      </c>
      <c r="G33" s="1134"/>
      <c r="H33" s="1105"/>
      <c r="I33" s="1105"/>
    </row>
    <row r="34" spans="1:9" s="1600" customFormat="1" ht="19.5" customHeight="1">
      <c r="A34" s="3437"/>
      <c r="B34" s="1154" t="s">
        <v>1448</v>
      </c>
      <c r="C34" s="1131" t="s">
        <v>1476</v>
      </c>
      <c r="D34" s="1132"/>
      <c r="E34" s="1154">
        <v>1.5</v>
      </c>
      <c r="F34" s="1133" t="s">
        <v>1477</v>
      </c>
      <c r="G34" s="1134"/>
      <c r="H34" s="1105"/>
      <c r="I34" s="1105"/>
    </row>
    <row r="35" spans="1:9" s="1600" customFormat="1" ht="19.5" customHeight="1">
      <c r="A35" s="3437" t="s">
        <v>1431</v>
      </c>
      <c r="B35" s="1154" t="s">
        <v>1445</v>
      </c>
      <c r="C35" s="1131" t="s">
        <v>1478</v>
      </c>
      <c r="D35" s="1132"/>
      <c r="E35" s="1154">
        <v>1</v>
      </c>
      <c r="F35" s="1133" t="s">
        <v>1479</v>
      </c>
      <c r="G35" s="1134"/>
      <c r="H35" s="1105"/>
      <c r="I35" s="1105"/>
    </row>
    <row r="36" spans="1:9" s="1600" customFormat="1" ht="19.5" customHeight="1">
      <c r="A36" s="3437"/>
      <c r="B36" s="3437" t="s">
        <v>1448</v>
      </c>
      <c r="C36" s="1131" t="s">
        <v>1480</v>
      </c>
      <c r="D36" s="1132"/>
      <c r="E36" s="1154">
        <v>1</v>
      </c>
      <c r="F36" s="1133" t="s">
        <v>1481</v>
      </c>
      <c r="G36" s="1134"/>
      <c r="H36" s="1105"/>
      <c r="I36" s="1105"/>
    </row>
    <row r="37" spans="1:9" s="1600" customFormat="1" ht="19.5" customHeight="1">
      <c r="A37" s="3437"/>
      <c r="B37" s="3437"/>
      <c r="C37" s="1131" t="s">
        <v>1482</v>
      </c>
      <c r="D37" s="1132"/>
      <c r="E37" s="1154">
        <v>1.5</v>
      </c>
      <c r="F37" s="1133" t="s">
        <v>1483</v>
      </c>
      <c r="G37" s="1134"/>
      <c r="H37" s="1105"/>
      <c r="I37" s="1105"/>
    </row>
    <row r="38" spans="1:9" s="1600" customFormat="1" ht="19.5" customHeight="1">
      <c r="A38" s="3437"/>
      <c r="B38" s="3437"/>
      <c r="C38" s="1131" t="s">
        <v>1484</v>
      </c>
      <c r="D38" s="1132"/>
      <c r="E38" s="1154">
        <v>1</v>
      </c>
      <c r="F38" s="1133" t="s">
        <v>1485</v>
      </c>
      <c r="G38" s="1134"/>
      <c r="H38" s="1105"/>
      <c r="I38" s="1105"/>
    </row>
    <row r="39" spans="1:9" s="1600" customFormat="1" ht="19.5" customHeight="1">
      <c r="A39" s="3437"/>
      <c r="B39" s="3437"/>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36">
      <c r="A61" s="1154">
        <v>1</v>
      </c>
      <c r="B61" s="3437" t="s">
        <v>1500</v>
      </c>
      <c r="C61" s="1068" t="s">
        <v>1501</v>
      </c>
      <c r="D61" s="1068" t="s">
        <v>1502</v>
      </c>
      <c r="E61" s="1139">
        <v>0.5</v>
      </c>
      <c r="F61" s="1154">
        <v>80</v>
      </c>
      <c r="H61" s="1105">
        <f>SUMIF(C59:C119,基准地价!C8,E59:E119)</f>
        <v>0</v>
      </c>
    </row>
    <row r="62" spans="1:8" s="1105" customFormat="1" ht="36">
      <c r="A62" s="1154">
        <v>2</v>
      </c>
      <c r="B62" s="3437"/>
      <c r="C62" s="1068" t="s">
        <v>1503</v>
      </c>
      <c r="D62" s="1068" t="s">
        <v>1504</v>
      </c>
      <c r="E62" s="1139">
        <v>0.5</v>
      </c>
      <c r="F62" s="1154">
        <v>80</v>
      </c>
    </row>
    <row r="63" spans="1:8" s="1105" customFormat="1" ht="48">
      <c r="A63" s="1154">
        <v>3</v>
      </c>
      <c r="B63" s="3437"/>
      <c r="C63" s="1068" t="s">
        <v>1505</v>
      </c>
      <c r="D63" s="1068" t="s">
        <v>1506</v>
      </c>
      <c r="E63" s="1139">
        <v>0.5</v>
      </c>
      <c r="F63" s="1154">
        <v>80</v>
      </c>
    </row>
    <row r="64" spans="1:8" s="1105" customFormat="1" ht="48">
      <c r="A64" s="1154">
        <v>4</v>
      </c>
      <c r="B64" s="3437"/>
      <c r="C64" s="1068" t="s">
        <v>1507</v>
      </c>
      <c r="D64" s="1068" t="s">
        <v>1508</v>
      </c>
      <c r="E64" s="1139">
        <v>0.4</v>
      </c>
      <c r="F64" s="1154">
        <v>60</v>
      </c>
    </row>
    <row r="65" spans="1:6" s="1105" customFormat="1" ht="48">
      <c r="A65" s="1154">
        <v>5</v>
      </c>
      <c r="B65" s="3437"/>
      <c r="C65" s="1068" t="s">
        <v>1509</v>
      </c>
      <c r="D65" s="1068" t="s">
        <v>1510</v>
      </c>
      <c r="E65" s="1139">
        <v>0.2</v>
      </c>
      <c r="F65" s="1154">
        <v>30</v>
      </c>
    </row>
    <row r="66" spans="1:6" s="1105" customFormat="1" ht="48">
      <c r="A66" s="1154">
        <v>6</v>
      </c>
      <c r="B66" s="3437"/>
      <c r="C66" s="1068" t="s">
        <v>1511</v>
      </c>
      <c r="D66" s="1068" t="s">
        <v>1512</v>
      </c>
      <c r="E66" s="1139">
        <v>0.3</v>
      </c>
      <c r="F66" s="1154">
        <v>50</v>
      </c>
    </row>
    <row r="67" spans="1:6" s="1105" customFormat="1" ht="48">
      <c r="A67" s="1154">
        <v>7</v>
      </c>
      <c r="B67" s="3437"/>
      <c r="C67" s="1068" t="s">
        <v>1513</v>
      </c>
      <c r="D67" s="1068" t="s">
        <v>1514</v>
      </c>
      <c r="E67" s="1139">
        <v>0.2</v>
      </c>
      <c r="F67" s="1154">
        <v>30</v>
      </c>
    </row>
    <row r="68" spans="1:6" s="1105" customFormat="1" ht="48">
      <c r="A68" s="1154">
        <v>8</v>
      </c>
      <c r="B68" s="3437"/>
      <c r="C68" s="1068" t="s">
        <v>1515</v>
      </c>
      <c r="D68" s="1068" t="s">
        <v>1516</v>
      </c>
      <c r="E68" s="1139">
        <v>0.2</v>
      </c>
      <c r="F68" s="1154">
        <v>30</v>
      </c>
    </row>
    <row r="69" spans="1:6" s="1105" customFormat="1" ht="48">
      <c r="A69" s="1154">
        <v>9</v>
      </c>
      <c r="B69" s="3437"/>
      <c r="C69" s="1068" t="s">
        <v>1517</v>
      </c>
      <c r="D69" s="1068" t="s">
        <v>1518</v>
      </c>
      <c r="E69" s="1139">
        <v>0.2</v>
      </c>
      <c r="F69" s="1154">
        <v>30</v>
      </c>
    </row>
    <row r="70" spans="1:6" s="1105" customFormat="1" ht="60">
      <c r="A70" s="1154">
        <v>10</v>
      </c>
      <c r="B70" s="3437"/>
      <c r="C70" s="1068" t="s">
        <v>1519</v>
      </c>
      <c r="D70" s="1068" t="s">
        <v>1520</v>
      </c>
      <c r="E70" s="1139">
        <v>0.2</v>
      </c>
      <c r="F70" s="1154">
        <v>30</v>
      </c>
    </row>
    <row r="71" spans="1:6" s="1105" customFormat="1" ht="60">
      <c r="A71" s="1154">
        <v>11</v>
      </c>
      <c r="B71" s="3437"/>
      <c r="C71" s="1068" t="s">
        <v>1521</v>
      </c>
      <c r="D71" s="1068" t="s">
        <v>1522</v>
      </c>
      <c r="E71" s="1139">
        <v>0.2</v>
      </c>
      <c r="F71" s="1154">
        <v>30</v>
      </c>
    </row>
    <row r="72" spans="1:6" s="1105" customFormat="1" ht="36">
      <c r="A72" s="1154">
        <v>12</v>
      </c>
      <c r="B72" s="3437"/>
      <c r="C72" s="1068" t="s">
        <v>1523</v>
      </c>
      <c r="D72" s="1068" t="s">
        <v>1524</v>
      </c>
      <c r="E72" s="1139">
        <v>0.5</v>
      </c>
      <c r="F72" s="1154">
        <v>80</v>
      </c>
    </row>
    <row r="73" spans="1:6" s="1105" customFormat="1" ht="36">
      <c r="A73" s="1154">
        <v>13</v>
      </c>
      <c r="B73" s="3437"/>
      <c r="C73" s="1068" t="s">
        <v>1525</v>
      </c>
      <c r="D73" s="1068" t="s">
        <v>1526</v>
      </c>
      <c r="E73" s="1139">
        <v>0.4</v>
      </c>
      <c r="F73" s="1154">
        <v>60</v>
      </c>
    </row>
    <row r="74" spans="1:6" s="1105" customFormat="1" ht="36">
      <c r="A74" s="1154">
        <v>14</v>
      </c>
      <c r="B74" s="3437"/>
      <c r="C74" s="1068" t="s">
        <v>1527</v>
      </c>
      <c r="D74" s="1068" t="s">
        <v>1528</v>
      </c>
      <c r="E74" s="1139">
        <v>0.2</v>
      </c>
      <c r="F74" s="1154">
        <v>30</v>
      </c>
    </row>
    <row r="75" spans="1:6" s="1105" customFormat="1" ht="36">
      <c r="A75" s="1154">
        <v>15</v>
      </c>
      <c r="B75" s="3437"/>
      <c r="C75" s="1068" t="s">
        <v>1529</v>
      </c>
      <c r="D75" s="1068" t="s">
        <v>1530</v>
      </c>
      <c r="E75" s="1139">
        <v>0.2</v>
      </c>
      <c r="F75" s="1154">
        <v>30</v>
      </c>
    </row>
    <row r="76" spans="1:6" s="1105" customFormat="1" ht="36">
      <c r="A76" s="1154">
        <v>16</v>
      </c>
      <c r="B76" s="3437" t="s">
        <v>1531</v>
      </c>
      <c r="C76" s="1068" t="s">
        <v>1532</v>
      </c>
      <c r="D76" s="1068" t="s">
        <v>1533</v>
      </c>
      <c r="E76" s="1139">
        <v>0.5</v>
      </c>
      <c r="F76" s="1154">
        <v>80</v>
      </c>
    </row>
    <row r="77" spans="1:6" s="1105" customFormat="1" ht="36">
      <c r="A77" s="1154">
        <v>17</v>
      </c>
      <c r="B77" s="3437"/>
      <c r="C77" s="1068" t="s">
        <v>1534</v>
      </c>
      <c r="D77" s="1068" t="s">
        <v>1535</v>
      </c>
      <c r="E77" s="1139">
        <v>0.5</v>
      </c>
      <c r="F77" s="1154">
        <v>80</v>
      </c>
    </row>
    <row r="78" spans="1:6" s="1105" customFormat="1" ht="36">
      <c r="A78" s="1154">
        <v>18</v>
      </c>
      <c r="B78" s="3437"/>
      <c r="C78" s="1068" t="s">
        <v>1536</v>
      </c>
      <c r="D78" s="1068" t="s">
        <v>1537</v>
      </c>
      <c r="E78" s="1139">
        <v>0.2</v>
      </c>
      <c r="F78" s="1154">
        <v>30</v>
      </c>
    </row>
    <row r="79" spans="1:6" s="1105" customFormat="1" ht="36">
      <c r="A79" s="1154">
        <v>19</v>
      </c>
      <c r="B79" s="3437"/>
      <c r="C79" s="1068" t="s">
        <v>1538</v>
      </c>
      <c r="D79" s="1068" t="s">
        <v>1539</v>
      </c>
      <c r="E79" s="1139">
        <v>0.5</v>
      </c>
      <c r="F79" s="1154">
        <v>80</v>
      </c>
    </row>
    <row r="80" spans="1:6" s="1105" customFormat="1" ht="36">
      <c r="A80" s="1154">
        <v>20</v>
      </c>
      <c r="B80" s="3437"/>
      <c r="C80" s="1068" t="s">
        <v>1540</v>
      </c>
      <c r="D80" s="1068" t="s">
        <v>1541</v>
      </c>
      <c r="E80" s="1139">
        <v>0.2</v>
      </c>
      <c r="F80" s="1154">
        <v>30</v>
      </c>
    </row>
    <row r="81" spans="1:6" s="1105" customFormat="1" ht="36">
      <c r="A81" s="1154">
        <v>21</v>
      </c>
      <c r="B81" s="3437"/>
      <c r="C81" s="1068" t="s">
        <v>1542</v>
      </c>
      <c r="D81" s="1068" t="s">
        <v>1543</v>
      </c>
      <c r="E81" s="1139">
        <v>0.2</v>
      </c>
      <c r="F81" s="1154">
        <v>30</v>
      </c>
    </row>
    <row r="82" spans="1:6" s="1105" customFormat="1" ht="60">
      <c r="A82" s="1154">
        <v>22</v>
      </c>
      <c r="B82" s="3437"/>
      <c r="C82" s="1068" t="s">
        <v>1544</v>
      </c>
      <c r="D82" s="1068" t="s">
        <v>1545</v>
      </c>
      <c r="E82" s="1139">
        <v>0.2</v>
      </c>
      <c r="F82" s="1154">
        <v>30</v>
      </c>
    </row>
    <row r="83" spans="1:6" s="1105" customFormat="1" ht="60">
      <c r="A83" s="1154">
        <v>23</v>
      </c>
      <c r="B83" s="3437"/>
      <c r="C83" s="1068" t="s">
        <v>1546</v>
      </c>
      <c r="D83" s="1068" t="s">
        <v>1547</v>
      </c>
      <c r="E83" s="1139">
        <v>0.2</v>
      </c>
      <c r="F83" s="1154">
        <v>30</v>
      </c>
    </row>
    <row r="84" spans="1:6" s="1105" customFormat="1" ht="48">
      <c r="A84" s="1154">
        <v>24</v>
      </c>
      <c r="B84" s="3437"/>
      <c r="C84" s="1068" t="s">
        <v>1548</v>
      </c>
      <c r="D84" s="1068" t="s">
        <v>1549</v>
      </c>
      <c r="E84" s="1139">
        <v>0.2</v>
      </c>
      <c r="F84" s="1154">
        <v>30</v>
      </c>
    </row>
    <row r="85" spans="1:6" s="1105" customFormat="1" ht="36">
      <c r="A85" s="1154">
        <v>25</v>
      </c>
      <c r="B85" s="3437"/>
      <c r="C85" s="1068" t="s">
        <v>1550</v>
      </c>
      <c r="D85" s="1068" t="s">
        <v>1551</v>
      </c>
      <c r="E85" s="1139">
        <v>0.5</v>
      </c>
      <c r="F85" s="1154">
        <v>80</v>
      </c>
    </row>
    <row r="86" spans="1:6" s="1105" customFormat="1" ht="36">
      <c r="A86" s="1154">
        <v>26</v>
      </c>
      <c r="B86" s="3437"/>
      <c r="C86" s="1068" t="s">
        <v>1552</v>
      </c>
      <c r="D86" s="1068" t="s">
        <v>1553</v>
      </c>
      <c r="E86" s="1139">
        <v>0.2</v>
      </c>
      <c r="F86" s="1154">
        <v>30</v>
      </c>
    </row>
    <row r="87" spans="1:6" s="1105" customFormat="1" ht="36">
      <c r="A87" s="1154">
        <v>27</v>
      </c>
      <c r="B87" s="3437"/>
      <c r="C87" s="1068" t="s">
        <v>1554</v>
      </c>
      <c r="D87" s="1068" t="s">
        <v>1555</v>
      </c>
      <c r="E87" s="1139">
        <v>0.2</v>
      </c>
      <c r="F87" s="1154">
        <v>30</v>
      </c>
    </row>
    <row r="88" spans="1:6" s="1105" customFormat="1" ht="36">
      <c r="A88" s="1154">
        <v>28</v>
      </c>
      <c r="B88" s="3437"/>
      <c r="C88" s="1068" t="s">
        <v>1556</v>
      </c>
      <c r="D88" s="1068" t="s">
        <v>1557</v>
      </c>
      <c r="E88" s="1139">
        <v>0.2</v>
      </c>
      <c r="F88" s="1154">
        <v>30</v>
      </c>
    </row>
    <row r="89" spans="1:6" s="1105" customFormat="1" ht="36">
      <c r="A89" s="1154">
        <v>29</v>
      </c>
      <c r="B89" s="3437"/>
      <c r="C89" s="1068" t="s">
        <v>1558</v>
      </c>
      <c r="D89" s="1068" t="s">
        <v>1559</v>
      </c>
      <c r="E89" s="1139">
        <v>0.2</v>
      </c>
      <c r="F89" s="1154">
        <v>30</v>
      </c>
    </row>
    <row r="90" spans="1:6" s="1105" customFormat="1" ht="36">
      <c r="A90" s="1154">
        <v>30</v>
      </c>
      <c r="B90" s="3437"/>
      <c r="C90" s="1068" t="s">
        <v>1560</v>
      </c>
      <c r="D90" s="1068" t="s">
        <v>1561</v>
      </c>
      <c r="E90" s="1139">
        <v>0.2</v>
      </c>
      <c r="F90" s="1154">
        <v>30</v>
      </c>
    </row>
    <row r="91" spans="1:6" s="1105" customFormat="1" ht="48">
      <c r="A91" s="1154">
        <v>31</v>
      </c>
      <c r="B91" s="3437"/>
      <c r="C91" s="1068" t="s">
        <v>1562</v>
      </c>
      <c r="D91" s="1068" t="s">
        <v>1563</v>
      </c>
      <c r="E91" s="1139">
        <v>0.2</v>
      </c>
      <c r="F91" s="1154">
        <v>30</v>
      </c>
    </row>
    <row r="92" spans="1:6" s="1105" customFormat="1" ht="36">
      <c r="A92" s="1154">
        <v>32</v>
      </c>
      <c r="B92" s="3437" t="s">
        <v>1564</v>
      </c>
      <c r="C92" s="1154" t="s">
        <v>1565</v>
      </c>
      <c r="D92" s="1068" t="s">
        <v>1566</v>
      </c>
      <c r="E92" s="1139">
        <v>0.2</v>
      </c>
      <c r="F92" s="1154">
        <v>30</v>
      </c>
    </row>
    <row r="93" spans="1:6" s="1105" customFormat="1" ht="36">
      <c r="A93" s="1154">
        <v>33</v>
      </c>
      <c r="B93" s="3437"/>
      <c r="C93" s="1154" t="s">
        <v>1567</v>
      </c>
      <c r="D93" s="1068" t="s">
        <v>1568</v>
      </c>
      <c r="E93" s="1139">
        <v>0.2</v>
      </c>
      <c r="F93" s="1154">
        <v>30</v>
      </c>
    </row>
    <row r="94" spans="1:6" s="1105" customFormat="1" ht="60">
      <c r="A94" s="1154">
        <v>34</v>
      </c>
      <c r="B94" s="3437"/>
      <c r="C94" s="1154" t="s">
        <v>1569</v>
      </c>
      <c r="D94" s="1068" t="s">
        <v>1570</v>
      </c>
      <c r="E94" s="1139">
        <v>0.2</v>
      </c>
      <c r="F94" s="1154">
        <v>30</v>
      </c>
    </row>
    <row r="95" spans="1:6" s="1105" customFormat="1" ht="48">
      <c r="A95" s="1154">
        <v>35</v>
      </c>
      <c r="B95" s="3437"/>
      <c r="C95" s="1154" t="s">
        <v>1571</v>
      </c>
      <c r="D95" s="1068" t="s">
        <v>1572</v>
      </c>
      <c r="E95" s="1139">
        <v>0.2</v>
      </c>
      <c r="F95" s="1154">
        <v>30</v>
      </c>
    </row>
    <row r="96" spans="1:6" s="1105" customFormat="1" ht="72">
      <c r="A96" s="1154">
        <v>36</v>
      </c>
      <c r="B96" s="3437"/>
      <c r="C96" s="1068" t="s">
        <v>1573</v>
      </c>
      <c r="D96" s="1068" t="s">
        <v>1574</v>
      </c>
      <c r="E96" s="1139">
        <v>0.2</v>
      </c>
      <c r="F96" s="1154">
        <v>30</v>
      </c>
    </row>
    <row r="97" spans="1:6" s="1105" customFormat="1" ht="36">
      <c r="A97" s="1154">
        <v>37</v>
      </c>
      <c r="B97" s="3437"/>
      <c r="C97" s="1154" t="s">
        <v>1575</v>
      </c>
      <c r="D97" s="1068" t="s">
        <v>1576</v>
      </c>
      <c r="E97" s="1139">
        <v>0.2</v>
      </c>
      <c r="F97" s="1154">
        <v>30</v>
      </c>
    </row>
    <row r="98" spans="1:6" s="1105" customFormat="1" ht="36">
      <c r="A98" s="1154">
        <v>38</v>
      </c>
      <c r="B98" s="3437"/>
      <c r="C98" s="1154" t="s">
        <v>1577</v>
      </c>
      <c r="D98" s="1068" t="s">
        <v>1578</v>
      </c>
      <c r="E98" s="1139">
        <v>0.2</v>
      </c>
      <c r="F98" s="1154">
        <v>30</v>
      </c>
    </row>
    <row r="99" spans="1:6" s="1105" customFormat="1" ht="36">
      <c r="A99" s="1154">
        <v>39</v>
      </c>
      <c r="B99" s="3437" t="s">
        <v>1579</v>
      </c>
      <c r="C99" s="1154" t="s">
        <v>1580</v>
      </c>
      <c r="D99" s="1068" t="s">
        <v>1581</v>
      </c>
      <c r="E99" s="1139">
        <v>0.3</v>
      </c>
      <c r="F99" s="1154">
        <v>50</v>
      </c>
    </row>
    <row r="100" spans="1:6" s="1105" customFormat="1" ht="36">
      <c r="A100" s="1154">
        <v>40</v>
      </c>
      <c r="B100" s="3437"/>
      <c r="C100" s="1154" t="s">
        <v>1582</v>
      </c>
      <c r="D100" s="1068" t="s">
        <v>1583</v>
      </c>
      <c r="E100" s="1139">
        <v>0.2</v>
      </c>
      <c r="F100" s="1154">
        <v>30</v>
      </c>
    </row>
    <row r="101" spans="1:6" s="1105" customFormat="1" ht="36">
      <c r="A101" s="1154">
        <v>41</v>
      </c>
      <c r="B101" s="3437"/>
      <c r="C101" s="1154" t="s">
        <v>1584</v>
      </c>
      <c r="D101" s="1068" t="s">
        <v>1581</v>
      </c>
      <c r="E101" s="1139">
        <v>0.2</v>
      </c>
      <c r="F101" s="1154">
        <v>30</v>
      </c>
    </row>
    <row r="102" spans="1:6" s="1105" customFormat="1" ht="72">
      <c r="A102" s="1154">
        <v>42</v>
      </c>
      <c r="B102" s="1154" t="s">
        <v>1585</v>
      </c>
      <c r="C102" s="1068" t="s">
        <v>1586</v>
      </c>
      <c r="D102" s="1068" t="s">
        <v>1587</v>
      </c>
      <c r="E102" s="1139">
        <v>0.2</v>
      </c>
      <c r="F102" s="1154">
        <v>30</v>
      </c>
    </row>
    <row r="103" spans="1:6" s="1105" customFormat="1" ht="36">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48">
      <c r="A105" s="1154">
        <v>45</v>
      </c>
      <c r="B105" s="3437" t="s">
        <v>1594</v>
      </c>
      <c r="C105" s="1154" t="s">
        <v>1595</v>
      </c>
      <c r="D105" s="1068" t="s">
        <v>1596</v>
      </c>
      <c r="E105" s="1139">
        <v>0.2</v>
      </c>
      <c r="F105" s="1154">
        <v>30</v>
      </c>
    </row>
    <row r="106" spans="1:6" s="1105" customFormat="1" ht="48">
      <c r="A106" s="1154">
        <v>46</v>
      </c>
      <c r="B106" s="3437"/>
      <c r="C106" s="1154" t="s">
        <v>1597</v>
      </c>
      <c r="D106" s="1068" t="s">
        <v>1598</v>
      </c>
      <c r="E106" s="1139">
        <v>0.2</v>
      </c>
      <c r="F106" s="1154">
        <v>30</v>
      </c>
    </row>
    <row r="107" spans="1:6" s="1105" customFormat="1" ht="36">
      <c r="A107" s="1154">
        <v>47</v>
      </c>
      <c r="B107" s="3437" t="s">
        <v>1599</v>
      </c>
      <c r="C107" s="1154" t="s">
        <v>1600</v>
      </c>
      <c r="D107" s="1068" t="s">
        <v>1601</v>
      </c>
      <c r="E107" s="1139">
        <v>0.3</v>
      </c>
      <c r="F107" s="1154">
        <v>50</v>
      </c>
    </row>
    <row r="108" spans="1:6" s="1105" customFormat="1" ht="48">
      <c r="A108" s="1154">
        <v>48</v>
      </c>
      <c r="B108" s="3437"/>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48">
      <c r="A110" s="1154">
        <v>50</v>
      </c>
      <c r="B110" s="1154" t="s">
        <v>1607</v>
      </c>
      <c r="C110" s="1154" t="s">
        <v>1608</v>
      </c>
      <c r="D110" s="1068" t="s">
        <v>1609</v>
      </c>
      <c r="E110" s="1139">
        <v>0.2</v>
      </c>
      <c r="F110" s="1154">
        <v>30</v>
      </c>
    </row>
    <row r="111" spans="1:6" s="1105" customFormat="1" ht="48">
      <c r="A111" s="1154">
        <v>51</v>
      </c>
      <c r="B111" s="3437" t="s">
        <v>1610</v>
      </c>
      <c r="C111" s="1154" t="s">
        <v>1611</v>
      </c>
      <c r="D111" s="1068" t="s">
        <v>1612</v>
      </c>
      <c r="E111" s="1139">
        <v>0.2</v>
      </c>
      <c r="F111" s="1154">
        <v>30</v>
      </c>
    </row>
    <row r="112" spans="1:6" s="1105" customFormat="1" ht="36">
      <c r="A112" s="1154">
        <v>52</v>
      </c>
      <c r="B112" s="3437"/>
      <c r="C112" s="1154" t="s">
        <v>1613</v>
      </c>
      <c r="D112" s="1068" t="s">
        <v>1614</v>
      </c>
      <c r="E112" s="1139">
        <v>0.2</v>
      </c>
      <c r="F112" s="1154">
        <v>30</v>
      </c>
    </row>
    <row r="113" spans="1:14" s="1105" customFormat="1" ht="36">
      <c r="A113" s="1154">
        <v>53</v>
      </c>
      <c r="B113" s="3437"/>
      <c r="C113" s="1154" t="s">
        <v>1615</v>
      </c>
      <c r="D113" s="1068" t="s">
        <v>1616</v>
      </c>
      <c r="E113" s="1139">
        <v>0.2</v>
      </c>
      <c r="F113" s="1154">
        <v>30</v>
      </c>
    </row>
    <row r="114" spans="1:14" ht="48">
      <c r="A114" s="1154">
        <v>54</v>
      </c>
      <c r="B114" s="1154" t="s">
        <v>1617</v>
      </c>
      <c r="C114" s="1154" t="s">
        <v>1618</v>
      </c>
      <c r="D114" s="1068" t="s">
        <v>1619</v>
      </c>
      <c r="E114" s="1139">
        <v>0.2</v>
      </c>
      <c r="F114" s="1154">
        <v>30</v>
      </c>
    </row>
    <row r="115" spans="1:14" ht="36">
      <c r="A115" s="1154">
        <v>55</v>
      </c>
      <c r="B115" s="1154" t="s">
        <v>1620</v>
      </c>
      <c r="C115" s="1154" t="s">
        <v>1621</v>
      </c>
      <c r="D115" s="1068" t="s">
        <v>1622</v>
      </c>
      <c r="E115" s="1139">
        <v>0.2</v>
      </c>
      <c r="F115" s="1154">
        <v>30</v>
      </c>
    </row>
    <row r="116" spans="1:14" ht="36">
      <c r="A116" s="1154">
        <v>56</v>
      </c>
      <c r="B116" s="3437" t="s">
        <v>1623</v>
      </c>
      <c r="C116" s="1154" t="s">
        <v>1624</v>
      </c>
      <c r="D116" s="1068" t="s">
        <v>1625</v>
      </c>
      <c r="E116" s="1139">
        <v>0.2</v>
      </c>
      <c r="F116" s="1154">
        <v>30</v>
      </c>
    </row>
    <row r="117" spans="1:14" ht="36">
      <c r="A117" s="1154">
        <v>57</v>
      </c>
      <c r="B117" s="3437"/>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4.4">
      <c r="A119" s="1154"/>
      <c r="B119" s="1154"/>
      <c r="C119" s="1154"/>
      <c r="D119" s="1154"/>
      <c r="E119" s="1139"/>
      <c r="F119" s="1154"/>
    </row>
    <row r="121" spans="1:14" ht="19.5" customHeight="1">
      <c r="A121" s="3436" t="s">
        <v>1632</v>
      </c>
      <c r="B121" s="3436"/>
      <c r="C121" s="3436"/>
      <c r="D121" s="3436"/>
      <c r="E121" s="3436"/>
      <c r="F121" s="3436"/>
      <c r="G121" s="3436"/>
      <c r="H121" s="3436"/>
      <c r="I121" s="3436"/>
      <c r="J121" s="343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49" t="s">
        <v>1038</v>
      </c>
      <c r="B1" s="3449"/>
      <c r="C1" s="3449"/>
      <c r="D1" s="3449"/>
      <c r="E1" s="3449"/>
      <c r="F1" s="3449"/>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5" thickBot="1">
      <c r="A2" s="3450" t="s">
        <v>1051</v>
      </c>
      <c r="B2" s="3450"/>
      <c r="C2" s="3450"/>
      <c r="D2" s="3450"/>
      <c r="E2" s="3450"/>
      <c r="F2" s="3450"/>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451"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452"/>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2423</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2424</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902</v>
      </c>
      <c r="B103" s="1010"/>
      <c r="C103" s="1010"/>
      <c r="D103" s="1010"/>
      <c r="E103" s="1010"/>
      <c r="F103" s="1010"/>
      <c r="G103" s="1010"/>
      <c r="H103" s="1010"/>
      <c r="I103" s="1010"/>
      <c r="J103" s="1010"/>
      <c r="K103" s="1010"/>
      <c r="L103" s="1010"/>
      <c r="M103" s="1010"/>
      <c r="N103" s="1010"/>
    </row>
    <row r="104" spans="1:14" ht="15.6">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2" customWidth="1"/>
    <col min="2" max="2" width="10.21875" style="1883" customWidth="1"/>
  </cols>
  <sheetData>
    <row r="1" spans="1:6">
      <c r="A1" s="3453" t="s">
        <v>2080</v>
      </c>
      <c r="B1" s="3453"/>
    </row>
    <row r="2" spans="1:6" ht="15" thickBot="1">
      <c r="A2" s="1853"/>
      <c r="B2" s="1853"/>
    </row>
    <row r="3" spans="1:6" ht="15" thickBot="1">
      <c r="A3" s="1853"/>
      <c r="B3" s="1853"/>
      <c r="C3" s="1854" t="s">
        <v>2081</v>
      </c>
      <c r="D3" s="1854" t="s">
        <v>2082</v>
      </c>
      <c r="E3" s="1854" t="s">
        <v>2083</v>
      </c>
      <c r="F3" s="1854" t="s">
        <v>2084</v>
      </c>
    </row>
    <row r="4" spans="1:6" ht="15" thickBot="1">
      <c r="A4" s="1855" t="s">
        <v>2085</v>
      </c>
      <c r="B4" s="1856" t="s">
        <v>2086</v>
      </c>
      <c r="C4" s="1854"/>
      <c r="D4" s="1854"/>
      <c r="E4" s="1854"/>
      <c r="F4" s="1854"/>
    </row>
    <row r="5" spans="1:6" ht="15" thickBot="1">
      <c r="A5" s="1857" t="s">
        <v>2087</v>
      </c>
      <c r="B5" s="1858" t="s">
        <v>2088</v>
      </c>
      <c r="C5" s="1859">
        <v>8.8999999999999996E-2</v>
      </c>
      <c r="D5" s="1859">
        <v>7.3999999999999996E-2</v>
      </c>
      <c r="E5" s="1859">
        <v>7.4999999999999997E-2</v>
      </c>
      <c r="F5" s="1860">
        <v>0.1</v>
      </c>
    </row>
    <row r="6" spans="1:6" ht="15" thickBot="1">
      <c r="A6" s="1857" t="s">
        <v>1095</v>
      </c>
      <c r="B6" s="1861" t="s">
        <v>2089</v>
      </c>
      <c r="C6" s="1862">
        <v>0.1</v>
      </c>
      <c r="D6" s="1862">
        <v>9.0999999999999998E-2</v>
      </c>
      <c r="E6" s="1862">
        <v>9.0999999999999998E-2</v>
      </c>
      <c r="F6" s="1863">
        <v>0.1</v>
      </c>
    </row>
    <row r="7" spans="1:6" ht="15" thickBot="1">
      <c r="A7" s="1857" t="s">
        <v>1095</v>
      </c>
      <c r="B7" s="1864" t="s">
        <v>1083</v>
      </c>
      <c r="C7" s="1862">
        <v>8.5999999999999993E-2</v>
      </c>
      <c r="D7" s="1862">
        <v>9.6000000000000002E-2</v>
      </c>
      <c r="E7" s="1862">
        <v>7.5999999999999998E-2</v>
      </c>
      <c r="F7" s="1863">
        <v>0.1</v>
      </c>
    </row>
    <row r="8" spans="1:6" ht="15" thickBot="1">
      <c r="A8" s="1857" t="s">
        <v>1095</v>
      </c>
      <c r="B8" s="1861" t="s">
        <v>1096</v>
      </c>
      <c r="C8" s="1862">
        <v>9.9000000000000005E-2</v>
      </c>
      <c r="D8" s="1862">
        <v>9.8000000000000004E-2</v>
      </c>
      <c r="E8" s="1862">
        <v>9.8000000000000004E-2</v>
      </c>
      <c r="F8" s="1863">
        <v>0.1</v>
      </c>
    </row>
    <row r="9" spans="1:6" ht="15" thickBot="1">
      <c r="A9" s="1865" t="s">
        <v>1095</v>
      </c>
      <c r="B9" s="1866" t="s">
        <v>1110</v>
      </c>
      <c r="C9" s="1867">
        <v>0.05</v>
      </c>
      <c r="D9" s="1868"/>
      <c r="E9" s="1868"/>
      <c r="F9" s="1869"/>
    </row>
    <row r="10" spans="1:6" ht="15" thickBot="1">
      <c r="A10" s="1857" t="s">
        <v>1154</v>
      </c>
      <c r="B10" s="1858" t="s">
        <v>2090</v>
      </c>
      <c r="C10" s="1859">
        <v>8.8999999999999996E-2</v>
      </c>
      <c r="D10" s="1859">
        <v>7.2999999999999995E-2</v>
      </c>
      <c r="E10" s="1859">
        <v>8.2000000000000003E-2</v>
      </c>
      <c r="F10" s="1860">
        <v>0.1</v>
      </c>
    </row>
    <row r="11" spans="1:6" ht="15" thickBot="1">
      <c r="A11" s="1857" t="s">
        <v>1154</v>
      </c>
      <c r="B11" s="1864" t="s">
        <v>1070</v>
      </c>
      <c r="C11" s="1862">
        <v>8.8999999999999996E-2</v>
      </c>
      <c r="D11" s="1862">
        <v>7.2999999999999995E-2</v>
      </c>
      <c r="E11" s="1862">
        <v>8.2000000000000003E-2</v>
      </c>
      <c r="F11" s="1863">
        <v>0.1</v>
      </c>
    </row>
    <row r="12" spans="1:6" ht="15" thickBot="1">
      <c r="A12" s="1857" t="s">
        <v>1154</v>
      </c>
      <c r="B12" s="1864" t="s">
        <v>1084</v>
      </c>
      <c r="C12" s="1862">
        <v>6.0999999999999999E-2</v>
      </c>
      <c r="D12" s="1862">
        <v>7.0999999999999994E-2</v>
      </c>
      <c r="E12" s="1862">
        <v>9.6000000000000002E-2</v>
      </c>
      <c r="F12" s="1863">
        <v>0.1</v>
      </c>
    </row>
    <row r="13" spans="1:6" ht="15" thickBot="1">
      <c r="A13" s="1857" t="s">
        <v>1154</v>
      </c>
      <c r="B13" s="1864" t="s">
        <v>1097</v>
      </c>
      <c r="C13" s="1862">
        <v>6.9000000000000006E-2</v>
      </c>
      <c r="D13" s="1862">
        <v>6.5000000000000002E-2</v>
      </c>
      <c r="E13" s="1862">
        <v>6.6000000000000003E-2</v>
      </c>
      <c r="F13" s="1863">
        <v>0.1</v>
      </c>
    </row>
    <row r="14" spans="1:6" ht="15" thickBot="1">
      <c r="A14" s="1857" t="s">
        <v>1154</v>
      </c>
      <c r="B14" s="1864" t="s">
        <v>1111</v>
      </c>
      <c r="C14" s="1862">
        <v>0.1</v>
      </c>
      <c r="D14" s="1862">
        <v>6.5000000000000002E-2</v>
      </c>
      <c r="E14" s="1862">
        <v>7.0000000000000007E-2</v>
      </c>
      <c r="F14" s="1863">
        <v>0.1</v>
      </c>
    </row>
    <row r="15" spans="1:6" ht="15" thickBot="1">
      <c r="A15" s="1857" t="s">
        <v>1154</v>
      </c>
      <c r="B15" s="1864" t="s">
        <v>1122</v>
      </c>
      <c r="C15" s="1862">
        <v>9.8000000000000004E-2</v>
      </c>
      <c r="D15" s="1862">
        <v>8.8999999999999996E-2</v>
      </c>
      <c r="E15" s="1862">
        <v>8.8999999999999996E-2</v>
      </c>
      <c r="F15" s="1863">
        <v>0.1</v>
      </c>
    </row>
    <row r="16" spans="1:6" ht="15" thickBot="1">
      <c r="A16" s="1857" t="s">
        <v>1154</v>
      </c>
      <c r="B16" s="1864" t="s">
        <v>1133</v>
      </c>
      <c r="C16" s="1862">
        <v>7.0000000000000007E-2</v>
      </c>
      <c r="D16" s="1862">
        <v>9.2999999999999999E-2</v>
      </c>
      <c r="E16" s="1862">
        <v>9.6000000000000002E-2</v>
      </c>
      <c r="F16" s="1863">
        <v>0.1</v>
      </c>
    </row>
    <row r="17" spans="1:6" ht="15" thickBot="1">
      <c r="A17" s="1857" t="s">
        <v>1154</v>
      </c>
      <c r="B17" s="1864" t="s">
        <v>1144</v>
      </c>
      <c r="C17" s="1862">
        <v>9.5000000000000001E-2</v>
      </c>
      <c r="D17" s="1862">
        <v>0.1</v>
      </c>
      <c r="E17" s="1862">
        <v>0.1</v>
      </c>
      <c r="F17" s="1870"/>
    </row>
    <row r="18" spans="1:6" ht="15" thickBot="1">
      <c r="A18" s="1857" t="s">
        <v>1154</v>
      </c>
      <c r="B18" s="1864" t="s">
        <v>1156</v>
      </c>
      <c r="C18" s="1862">
        <v>7.3999999999999996E-2</v>
      </c>
      <c r="D18" s="1862">
        <v>9.9000000000000005E-2</v>
      </c>
      <c r="E18" s="1862">
        <v>0.1</v>
      </c>
      <c r="F18" s="1870"/>
    </row>
    <row r="19" spans="1:6" ht="15" thickBot="1">
      <c r="A19" s="1857" t="s">
        <v>1154</v>
      </c>
      <c r="B19" s="1864" t="s">
        <v>1166</v>
      </c>
      <c r="C19" s="1862">
        <v>9.9000000000000005E-2</v>
      </c>
      <c r="D19" s="1862">
        <v>7.5999999999999998E-2</v>
      </c>
      <c r="E19" s="1862">
        <v>8.6999999999999994E-2</v>
      </c>
      <c r="F19" s="1870"/>
    </row>
    <row r="20" spans="1:6" ht="15" thickBot="1">
      <c r="A20" s="1857" t="s">
        <v>1154</v>
      </c>
      <c r="B20" s="1864" t="s">
        <v>1176</v>
      </c>
      <c r="C20" s="1862">
        <v>9.8000000000000004E-2</v>
      </c>
      <c r="D20" s="1862">
        <v>8.5000000000000006E-2</v>
      </c>
      <c r="E20" s="1862">
        <v>8.2000000000000003E-2</v>
      </c>
      <c r="F20" s="1870"/>
    </row>
    <row r="21" spans="1:6" ht="15" thickBot="1">
      <c r="A21" s="1857" t="s">
        <v>1154</v>
      </c>
      <c r="B21" s="1864" t="s">
        <v>1186</v>
      </c>
      <c r="C21" s="1862">
        <v>6.6000000000000003E-2</v>
      </c>
      <c r="D21" s="1862">
        <v>6.4000000000000001E-2</v>
      </c>
      <c r="E21" s="1862">
        <v>6.5000000000000002E-2</v>
      </c>
      <c r="F21" s="1870"/>
    </row>
    <row r="22" spans="1:6" ht="15" thickBot="1">
      <c r="A22" s="1857" t="s">
        <v>1154</v>
      </c>
      <c r="B22" s="1864" t="s">
        <v>2091</v>
      </c>
      <c r="C22" s="1862">
        <v>0.08</v>
      </c>
      <c r="D22" s="1862">
        <v>9.8000000000000004E-2</v>
      </c>
      <c r="E22" s="1862">
        <v>9.8000000000000004E-2</v>
      </c>
      <c r="F22" s="1870"/>
    </row>
    <row r="23" spans="1:6" ht="15" thickBot="1">
      <c r="A23" s="1857" t="s">
        <v>1154</v>
      </c>
      <c r="B23" s="1864" t="s">
        <v>1206</v>
      </c>
      <c r="C23" s="1862">
        <v>9.9000000000000005E-2</v>
      </c>
      <c r="D23" s="1862">
        <v>9.8000000000000004E-2</v>
      </c>
      <c r="E23" s="1862">
        <v>9.0999999999999998E-2</v>
      </c>
      <c r="F23" s="1870"/>
    </row>
    <row r="24" spans="1:6" ht="15" thickBot="1">
      <c r="A24" s="1857" t="s">
        <v>1154</v>
      </c>
      <c r="B24" s="1864" t="s">
        <v>1216</v>
      </c>
      <c r="C24" s="1862">
        <v>8.8999999999999996E-2</v>
      </c>
      <c r="D24" s="1862">
        <v>9.7000000000000003E-2</v>
      </c>
      <c r="E24" s="1862">
        <v>7.0000000000000007E-2</v>
      </c>
      <c r="F24" s="1870"/>
    </row>
    <row r="25" spans="1:6" ht="15" thickBot="1">
      <c r="A25" s="1857" t="s">
        <v>1154</v>
      </c>
      <c r="B25" s="1864" t="s">
        <v>1226</v>
      </c>
      <c r="C25" s="1862">
        <v>8.8999999999999996E-2</v>
      </c>
      <c r="D25" s="1862">
        <v>0.1</v>
      </c>
      <c r="E25" s="1862">
        <v>8.1000000000000003E-2</v>
      </c>
      <c r="F25" s="1870"/>
    </row>
    <row r="26" spans="1:6" ht="15" thickBot="1">
      <c r="A26" s="1857" t="s">
        <v>1154</v>
      </c>
      <c r="B26" s="1864" t="s">
        <v>1236</v>
      </c>
      <c r="C26" s="1871"/>
      <c r="D26" s="1862">
        <v>9.6000000000000002E-2</v>
      </c>
      <c r="E26" s="1862">
        <v>9.2999999999999999E-2</v>
      </c>
      <c r="F26" s="1870"/>
    </row>
    <row r="27" spans="1:6" ht="15" thickBot="1">
      <c r="A27" s="1857" t="s">
        <v>1154</v>
      </c>
      <c r="B27" s="1864" t="s">
        <v>1246</v>
      </c>
      <c r="C27" s="1871"/>
      <c r="D27" s="1862">
        <v>7.5999999999999998E-2</v>
      </c>
      <c r="E27" s="1862">
        <v>9.1999999999999998E-2</v>
      </c>
      <c r="F27" s="1870"/>
    </row>
    <row r="28" spans="1:6" ht="15" thickBot="1">
      <c r="A28" s="1865" t="s">
        <v>1154</v>
      </c>
      <c r="B28" s="1866" t="s">
        <v>1256</v>
      </c>
      <c r="C28" s="1868"/>
      <c r="D28" s="1867">
        <v>7.5999999999999998E-2</v>
      </c>
      <c r="E28" s="1867">
        <v>9.1999999999999998E-2</v>
      </c>
      <c r="F28" s="1869"/>
    </row>
    <row r="29" spans="1:6" ht="15" thickBot="1">
      <c r="A29" s="1857" t="s">
        <v>1325</v>
      </c>
      <c r="B29" s="1858" t="s">
        <v>2092</v>
      </c>
      <c r="C29" s="1859">
        <v>6.4000000000000001E-2</v>
      </c>
      <c r="D29" s="1859">
        <v>6.5000000000000002E-2</v>
      </c>
      <c r="E29" s="1859">
        <v>6.9000000000000006E-2</v>
      </c>
      <c r="F29" s="1860">
        <v>0.1</v>
      </c>
    </row>
    <row r="30" spans="1:6" ht="15" thickBot="1">
      <c r="A30" s="1857" t="s">
        <v>1325</v>
      </c>
      <c r="B30" s="1864" t="s">
        <v>1071</v>
      </c>
      <c r="C30" s="1862">
        <v>6.4000000000000001E-2</v>
      </c>
      <c r="D30" s="1862">
        <v>9.9000000000000005E-2</v>
      </c>
      <c r="E30" s="1862">
        <v>0.1</v>
      </c>
      <c r="F30" s="1863">
        <v>0.1</v>
      </c>
    </row>
    <row r="31" spans="1:6" ht="15" thickBot="1">
      <c r="A31" s="1857" t="s">
        <v>1325</v>
      </c>
      <c r="B31" s="1864" t="s">
        <v>1085</v>
      </c>
      <c r="C31" s="1862">
        <v>0.1</v>
      </c>
      <c r="D31" s="1862">
        <v>9.5000000000000001E-2</v>
      </c>
      <c r="E31" s="1862">
        <v>8.8999999999999996E-2</v>
      </c>
      <c r="F31" s="1863">
        <v>0.1</v>
      </c>
    </row>
    <row r="32" spans="1:6" ht="15" thickBot="1">
      <c r="A32" s="1857" t="s">
        <v>1325</v>
      </c>
      <c r="B32" s="1864" t="s">
        <v>1098</v>
      </c>
      <c r="C32" s="1862">
        <v>0.05</v>
      </c>
      <c r="D32" s="1862">
        <v>0.05</v>
      </c>
      <c r="E32" s="1862">
        <v>8.7999999999999995E-2</v>
      </c>
      <c r="F32" s="1863">
        <v>0.1</v>
      </c>
    </row>
    <row r="33" spans="1:6" ht="15" thickBot="1">
      <c r="A33" s="1857" t="s">
        <v>1325</v>
      </c>
      <c r="B33" s="1864" t="s">
        <v>1112</v>
      </c>
      <c r="C33" s="1862">
        <v>7.4999999999999997E-2</v>
      </c>
      <c r="D33" s="1862">
        <v>9.4E-2</v>
      </c>
      <c r="E33" s="1862">
        <v>9.7000000000000003E-2</v>
      </c>
      <c r="F33" s="1863">
        <v>0.1</v>
      </c>
    </row>
    <row r="34" spans="1:6" ht="15" thickBot="1">
      <c r="A34" s="1857" t="s">
        <v>1325</v>
      </c>
      <c r="B34" s="1864" t="s">
        <v>1123</v>
      </c>
      <c r="C34" s="1862">
        <v>9.8000000000000004E-2</v>
      </c>
      <c r="D34" s="1862">
        <v>8.5999999999999993E-2</v>
      </c>
      <c r="E34" s="1862">
        <v>9.7000000000000003E-2</v>
      </c>
      <c r="F34" s="1863">
        <v>0.1</v>
      </c>
    </row>
    <row r="35" spans="1:6" ht="15" thickBot="1">
      <c r="A35" s="1857" t="s">
        <v>1325</v>
      </c>
      <c r="B35" s="1864" t="s">
        <v>1134</v>
      </c>
      <c r="C35" s="1862">
        <v>5.8999999999999997E-2</v>
      </c>
      <c r="D35" s="1862">
        <v>6.5000000000000002E-2</v>
      </c>
      <c r="E35" s="1862">
        <v>7.0000000000000007E-2</v>
      </c>
      <c r="F35" s="1863">
        <v>0.1</v>
      </c>
    </row>
    <row r="36" spans="1:6" ht="15" thickBot="1">
      <c r="A36" s="1857" t="s">
        <v>1325</v>
      </c>
      <c r="B36" s="1864" t="s">
        <v>1145</v>
      </c>
      <c r="C36" s="1862">
        <v>6.3E-2</v>
      </c>
      <c r="D36" s="1862">
        <v>0.1</v>
      </c>
      <c r="E36" s="1862">
        <v>0.1</v>
      </c>
      <c r="F36" s="1863">
        <v>0.1</v>
      </c>
    </row>
    <row r="37" spans="1:6" ht="15" thickBot="1">
      <c r="A37" s="1857" t="s">
        <v>1325</v>
      </c>
      <c r="B37" s="1864" t="s">
        <v>1157</v>
      </c>
      <c r="C37" s="1862">
        <v>7.3999999999999996E-2</v>
      </c>
      <c r="D37" s="1862">
        <v>0.1</v>
      </c>
      <c r="E37" s="1862">
        <v>0.1</v>
      </c>
      <c r="F37" s="1863">
        <v>0.1</v>
      </c>
    </row>
    <row r="38" spans="1:6" ht="15" thickBot="1">
      <c r="A38" s="1857" t="s">
        <v>1325</v>
      </c>
      <c r="B38" s="1864" t="s">
        <v>1167</v>
      </c>
      <c r="C38" s="1862">
        <v>0.1</v>
      </c>
      <c r="D38" s="1862">
        <v>9.6000000000000002E-2</v>
      </c>
      <c r="E38" s="1862">
        <v>9.6000000000000002E-2</v>
      </c>
      <c r="F38" s="1870"/>
    </row>
    <row r="39" spans="1:6" ht="15" thickBot="1">
      <c r="A39" s="1857" t="s">
        <v>1325</v>
      </c>
      <c r="B39" s="1864" t="s">
        <v>1177</v>
      </c>
      <c r="C39" s="1862">
        <v>0.1</v>
      </c>
      <c r="D39" s="1862">
        <v>9.6000000000000002E-2</v>
      </c>
      <c r="E39" s="1862">
        <v>9.6000000000000002E-2</v>
      </c>
      <c r="F39" s="1870"/>
    </row>
    <row r="40" spans="1:6" ht="15" thickBot="1">
      <c r="A40" s="1857" t="s">
        <v>1325</v>
      </c>
      <c r="B40" s="1864" t="s">
        <v>1187</v>
      </c>
      <c r="C40" s="1862">
        <v>9.6000000000000002E-2</v>
      </c>
      <c r="D40" s="1862">
        <v>0.1</v>
      </c>
      <c r="E40" s="1862">
        <v>9.9000000000000005E-2</v>
      </c>
      <c r="F40" s="1870"/>
    </row>
    <row r="41" spans="1:6" ht="15" thickBot="1">
      <c r="A41" s="1857" t="s">
        <v>1325</v>
      </c>
      <c r="B41" s="1864" t="s">
        <v>1197</v>
      </c>
      <c r="C41" s="1862">
        <v>9.6000000000000002E-2</v>
      </c>
      <c r="D41" s="1862">
        <v>9.8000000000000004E-2</v>
      </c>
      <c r="E41" s="1862">
        <v>9.8000000000000004E-2</v>
      </c>
      <c r="F41" s="1870"/>
    </row>
    <row r="42" spans="1:6" ht="15" thickBot="1">
      <c r="A42" s="1857" t="s">
        <v>1325</v>
      </c>
      <c r="B42" s="1864" t="s">
        <v>1207</v>
      </c>
      <c r="C42" s="1862">
        <v>0.1</v>
      </c>
      <c r="D42" s="1862">
        <v>8.7999999999999995E-2</v>
      </c>
      <c r="E42" s="1862">
        <v>0.1</v>
      </c>
      <c r="F42" s="1870"/>
    </row>
    <row r="43" spans="1:6" ht="15" thickBot="1">
      <c r="A43" s="1857" t="s">
        <v>1325</v>
      </c>
      <c r="B43" s="1864" t="s">
        <v>1217</v>
      </c>
      <c r="C43" s="1862">
        <v>9.8000000000000004E-2</v>
      </c>
      <c r="D43" s="1862">
        <v>9.7000000000000003E-2</v>
      </c>
      <c r="E43" s="1862">
        <v>9.6000000000000002E-2</v>
      </c>
      <c r="F43" s="1870"/>
    </row>
    <row r="44" spans="1:6" ht="15" thickBot="1">
      <c r="A44" s="1857" t="s">
        <v>1325</v>
      </c>
      <c r="B44" s="1864" t="s">
        <v>1227</v>
      </c>
      <c r="C44" s="1862">
        <v>8.5999999999999993E-2</v>
      </c>
      <c r="D44" s="1862">
        <v>7.9000000000000001E-2</v>
      </c>
      <c r="E44" s="1862">
        <v>7.0999999999999994E-2</v>
      </c>
      <c r="F44" s="1870"/>
    </row>
    <row r="45" spans="1:6" ht="15" thickBot="1">
      <c r="A45" s="1857" t="s">
        <v>1325</v>
      </c>
      <c r="B45" s="1864" t="s">
        <v>1237</v>
      </c>
      <c r="C45" s="1862">
        <v>9.8000000000000004E-2</v>
      </c>
      <c r="D45" s="1862">
        <v>9.6000000000000002E-2</v>
      </c>
      <c r="E45" s="1862">
        <v>9.6000000000000002E-2</v>
      </c>
      <c r="F45" s="1870"/>
    </row>
    <row r="46" spans="1:6" ht="15" thickBot="1">
      <c r="A46" s="1857" t="s">
        <v>1325</v>
      </c>
      <c r="B46" s="1864" t="s">
        <v>1247</v>
      </c>
      <c r="C46" s="1862">
        <v>8.5999999999999993E-2</v>
      </c>
      <c r="D46" s="1862">
        <v>9.8000000000000004E-2</v>
      </c>
      <c r="E46" s="1862">
        <v>8.7999999999999995E-2</v>
      </c>
      <c r="F46" s="1870"/>
    </row>
    <row r="47" spans="1:6" ht="15" thickBot="1">
      <c r="A47" s="1857" t="s">
        <v>1325</v>
      </c>
      <c r="B47" s="1864" t="s">
        <v>1257</v>
      </c>
      <c r="C47" s="1862">
        <v>9.6000000000000002E-2</v>
      </c>
      <c r="D47" s="1871"/>
      <c r="E47" s="1862">
        <v>6.9000000000000006E-2</v>
      </c>
      <c r="F47" s="1870"/>
    </row>
    <row r="48" spans="1:6" ht="15" thickBot="1">
      <c r="A48" s="1865" t="s">
        <v>1325</v>
      </c>
      <c r="B48" s="1866" t="s">
        <v>1266</v>
      </c>
      <c r="C48" s="1867">
        <v>9.8000000000000004E-2</v>
      </c>
      <c r="D48" s="1868"/>
      <c r="E48" s="1867">
        <v>9.5000000000000001E-2</v>
      </c>
      <c r="F48" s="1869"/>
    </row>
    <row r="49" spans="1:6" ht="15" thickBot="1">
      <c r="A49" s="1857" t="s">
        <v>923</v>
      </c>
      <c r="B49" s="1858" t="s">
        <v>2093</v>
      </c>
      <c r="C49" s="1859">
        <v>9.7000000000000003E-2</v>
      </c>
      <c r="D49" s="1859">
        <v>9.5000000000000001E-2</v>
      </c>
      <c r="E49" s="1859">
        <v>9.7000000000000003E-2</v>
      </c>
      <c r="F49" s="1860">
        <v>0.1</v>
      </c>
    </row>
    <row r="50" spans="1:6" ht="15" thickBot="1">
      <c r="A50" s="1857" t="s">
        <v>923</v>
      </c>
      <c r="B50" s="1861" t="s">
        <v>1072</v>
      </c>
      <c r="C50" s="1862">
        <v>7.4999999999999997E-2</v>
      </c>
      <c r="D50" s="1862">
        <v>9.5000000000000001E-2</v>
      </c>
      <c r="E50" s="1862">
        <v>0.1</v>
      </c>
      <c r="F50" s="1863">
        <v>0.1</v>
      </c>
    </row>
    <row r="51" spans="1:6" ht="15" thickBot="1">
      <c r="A51" s="1857" t="s">
        <v>923</v>
      </c>
      <c r="B51" s="1861" t="s">
        <v>1086</v>
      </c>
      <c r="C51" s="1862">
        <v>9.8000000000000004E-2</v>
      </c>
      <c r="D51" s="1862">
        <v>8.8999999999999996E-2</v>
      </c>
      <c r="E51" s="1862">
        <v>0.1</v>
      </c>
      <c r="F51" s="1863">
        <v>0.1</v>
      </c>
    </row>
    <row r="52" spans="1:6" ht="15" thickBot="1">
      <c r="A52" s="1857" t="s">
        <v>923</v>
      </c>
      <c r="B52" s="1861" t="s">
        <v>1099</v>
      </c>
      <c r="C52" s="1862">
        <v>9.8000000000000004E-2</v>
      </c>
      <c r="D52" s="1862">
        <v>9.7000000000000003E-2</v>
      </c>
      <c r="E52" s="1862">
        <v>8.1000000000000003E-2</v>
      </c>
      <c r="F52" s="1863">
        <v>0.1</v>
      </c>
    </row>
    <row r="53" spans="1:6" ht="15" thickBot="1">
      <c r="A53" s="1857" t="s">
        <v>923</v>
      </c>
      <c r="B53" s="1861" t="s">
        <v>1113</v>
      </c>
      <c r="C53" s="1862">
        <v>9.7000000000000003E-2</v>
      </c>
      <c r="D53" s="1862">
        <v>7.5999999999999998E-2</v>
      </c>
      <c r="E53" s="1862">
        <v>7.0999999999999994E-2</v>
      </c>
      <c r="F53" s="1863">
        <v>0.1</v>
      </c>
    </row>
    <row r="54" spans="1:6" ht="15" thickBot="1">
      <c r="A54" s="1857" t="s">
        <v>923</v>
      </c>
      <c r="B54" s="1861" t="s">
        <v>1124</v>
      </c>
      <c r="C54" s="1862">
        <v>7.5999999999999998E-2</v>
      </c>
      <c r="D54" s="1862">
        <v>0.1</v>
      </c>
      <c r="E54" s="1862">
        <v>9.9000000000000005E-2</v>
      </c>
      <c r="F54" s="1863">
        <v>0.1</v>
      </c>
    </row>
    <row r="55" spans="1:6" ht="15" thickBot="1">
      <c r="A55" s="1857" t="s">
        <v>923</v>
      </c>
      <c r="B55" s="1861" t="s">
        <v>1135</v>
      </c>
      <c r="C55" s="1862">
        <v>0.1</v>
      </c>
      <c r="D55" s="1862">
        <v>0.1</v>
      </c>
      <c r="E55" s="1862">
        <v>9.6000000000000002E-2</v>
      </c>
      <c r="F55" s="1863">
        <v>0.1</v>
      </c>
    </row>
    <row r="56" spans="1:6" ht="15" thickBot="1">
      <c r="A56" s="1857" t="s">
        <v>923</v>
      </c>
      <c r="B56" s="1861" t="s">
        <v>1146</v>
      </c>
      <c r="C56" s="1862">
        <v>0.1</v>
      </c>
      <c r="D56" s="1862">
        <v>9.6000000000000002E-2</v>
      </c>
      <c r="E56" s="1862">
        <v>5.1999999999999998E-2</v>
      </c>
      <c r="F56" s="1863">
        <v>0.1</v>
      </c>
    </row>
    <row r="57" spans="1:6" ht="15" thickBot="1">
      <c r="A57" s="1857" t="s">
        <v>923</v>
      </c>
      <c r="B57" s="1861" t="s">
        <v>1158</v>
      </c>
      <c r="C57" s="1862">
        <v>9.7000000000000003E-2</v>
      </c>
      <c r="D57" s="1862">
        <v>9.6000000000000002E-2</v>
      </c>
      <c r="E57" s="1862">
        <v>9.6000000000000002E-2</v>
      </c>
      <c r="F57" s="1863">
        <v>0.1</v>
      </c>
    </row>
    <row r="58" spans="1:6" ht="15" thickBot="1">
      <c r="A58" s="1857" t="s">
        <v>923</v>
      </c>
      <c r="B58" s="1861" t="s">
        <v>1168</v>
      </c>
      <c r="C58" s="1862">
        <v>9.6000000000000002E-2</v>
      </c>
      <c r="D58" s="1862">
        <v>9.9000000000000005E-2</v>
      </c>
      <c r="E58" s="1862">
        <v>9.6000000000000002E-2</v>
      </c>
      <c r="F58" s="1863">
        <v>0.1</v>
      </c>
    </row>
    <row r="59" spans="1:6" ht="15" thickBot="1">
      <c r="A59" s="1857" t="s">
        <v>923</v>
      </c>
      <c r="B59" s="1861" t="s">
        <v>1178</v>
      </c>
      <c r="C59" s="1862">
        <v>7.1999999999999995E-2</v>
      </c>
      <c r="D59" s="1862">
        <v>9.6000000000000002E-2</v>
      </c>
      <c r="E59" s="1862">
        <v>7.0999999999999994E-2</v>
      </c>
      <c r="F59" s="1863">
        <v>0.1</v>
      </c>
    </row>
    <row r="60" spans="1:6" ht="15" thickBot="1">
      <c r="A60" s="1857" t="s">
        <v>923</v>
      </c>
      <c r="B60" s="1861" t="s">
        <v>1188</v>
      </c>
      <c r="C60" s="1862">
        <v>9.6000000000000002E-2</v>
      </c>
      <c r="D60" s="1862">
        <v>8.8999999999999996E-2</v>
      </c>
      <c r="E60" s="1862">
        <v>9.6000000000000002E-2</v>
      </c>
      <c r="F60" s="1863">
        <v>0.1</v>
      </c>
    </row>
    <row r="61" spans="1:6" ht="15" thickBot="1">
      <c r="A61" s="1857" t="s">
        <v>923</v>
      </c>
      <c r="B61" s="1861" t="s">
        <v>1198</v>
      </c>
      <c r="C61" s="1862">
        <v>8.8999999999999996E-2</v>
      </c>
      <c r="D61" s="1862">
        <v>9.8000000000000004E-2</v>
      </c>
      <c r="E61" s="1862">
        <v>8.7999999999999995E-2</v>
      </c>
      <c r="F61" s="1870"/>
    </row>
    <row r="62" spans="1:6" ht="15" thickBot="1">
      <c r="A62" s="1857" t="s">
        <v>923</v>
      </c>
      <c r="B62" s="1861" t="s">
        <v>1208</v>
      </c>
      <c r="C62" s="1862">
        <v>9.8000000000000004E-2</v>
      </c>
      <c r="D62" s="1862">
        <v>9.2999999999999999E-2</v>
      </c>
      <c r="E62" s="1862">
        <v>9.7000000000000003E-2</v>
      </c>
      <c r="F62" s="1870"/>
    </row>
    <row r="63" spans="1:6" ht="15" thickBot="1">
      <c r="A63" s="1857" t="s">
        <v>923</v>
      </c>
      <c r="B63" s="1861" t="s">
        <v>1218</v>
      </c>
      <c r="C63" s="1862">
        <v>9.6000000000000002E-2</v>
      </c>
      <c r="D63" s="1862">
        <v>9.8000000000000004E-2</v>
      </c>
      <c r="E63" s="1862">
        <v>0.09</v>
      </c>
      <c r="F63" s="1870"/>
    </row>
    <row r="64" spans="1:6" ht="15" thickBot="1">
      <c r="A64" s="1857" t="s">
        <v>923</v>
      </c>
      <c r="B64" s="1861" t="s">
        <v>1228</v>
      </c>
      <c r="C64" s="1862">
        <v>9.9000000000000005E-2</v>
      </c>
      <c r="D64" s="1862">
        <v>9.7000000000000003E-2</v>
      </c>
      <c r="E64" s="1862">
        <v>9.9000000000000005E-2</v>
      </c>
      <c r="F64" s="1870"/>
    </row>
    <row r="65" spans="1:6" ht="15" thickBot="1">
      <c r="A65" s="1857" t="s">
        <v>923</v>
      </c>
      <c r="B65" s="1861" t="s">
        <v>1238</v>
      </c>
      <c r="C65" s="1862">
        <v>9.8000000000000004E-2</v>
      </c>
      <c r="D65" s="1862">
        <v>9.6000000000000002E-2</v>
      </c>
      <c r="E65" s="1862">
        <v>9.6000000000000002E-2</v>
      </c>
      <c r="F65" s="1870"/>
    </row>
    <row r="66" spans="1:6" ht="15" thickBot="1">
      <c r="A66" s="1857" t="s">
        <v>923</v>
      </c>
      <c r="B66" s="1861" t="s">
        <v>1248</v>
      </c>
      <c r="C66" s="1862">
        <v>9.6000000000000002E-2</v>
      </c>
      <c r="D66" s="1862">
        <v>9.1999999999999998E-2</v>
      </c>
      <c r="E66" s="1862">
        <v>9.6000000000000002E-2</v>
      </c>
      <c r="F66" s="1870"/>
    </row>
    <row r="67" spans="1:6" ht="15" thickBot="1">
      <c r="A67" s="1857" t="s">
        <v>923</v>
      </c>
      <c r="B67" s="1861" t="s">
        <v>1258</v>
      </c>
      <c r="C67" s="1862">
        <v>9.4E-2</v>
      </c>
      <c r="D67" s="1862">
        <v>0.1</v>
      </c>
      <c r="E67" s="1862">
        <v>8.7999999999999995E-2</v>
      </c>
      <c r="F67" s="1870"/>
    </row>
    <row r="68" spans="1:6" ht="15" thickBot="1">
      <c r="A68" s="1857" t="s">
        <v>923</v>
      </c>
      <c r="B68" s="1861" t="s">
        <v>1267</v>
      </c>
      <c r="C68" s="1862">
        <v>0.1</v>
      </c>
      <c r="D68" s="1862">
        <v>8.7999999999999995E-2</v>
      </c>
      <c r="E68" s="1862">
        <v>9.7000000000000003E-2</v>
      </c>
      <c r="F68" s="1870"/>
    </row>
    <row r="69" spans="1:6" ht="15" thickBot="1">
      <c r="A69" s="1857" t="s">
        <v>923</v>
      </c>
      <c r="B69" s="1861" t="s">
        <v>1276</v>
      </c>
      <c r="C69" s="1862">
        <v>6.4000000000000001E-2</v>
      </c>
      <c r="D69" s="1862">
        <v>0.1</v>
      </c>
      <c r="E69" s="1862">
        <v>0.1</v>
      </c>
      <c r="F69" s="1870"/>
    </row>
    <row r="70" spans="1:6" ht="15" thickBot="1">
      <c r="A70" s="1857" t="s">
        <v>923</v>
      </c>
      <c r="B70" s="1861" t="s">
        <v>1284</v>
      </c>
      <c r="C70" s="1862">
        <v>9.0999999999999998E-2</v>
      </c>
      <c r="D70" s="1871"/>
      <c r="E70" s="1871"/>
      <c r="F70" s="1870"/>
    </row>
    <row r="71" spans="1:6" ht="15" thickBot="1">
      <c r="A71" s="1857" t="s">
        <v>923</v>
      </c>
      <c r="B71" s="1861" t="s">
        <v>1291</v>
      </c>
      <c r="C71" s="1862">
        <v>0.1</v>
      </c>
      <c r="D71" s="1871"/>
      <c r="E71" s="1871"/>
      <c r="F71" s="1870"/>
    </row>
    <row r="72" spans="1:6" ht="24.6" thickBot="1">
      <c r="A72" s="1857" t="s">
        <v>923</v>
      </c>
      <c r="B72" s="1861" t="s">
        <v>2094</v>
      </c>
      <c r="C72" s="1871"/>
      <c r="D72" s="1871"/>
      <c r="E72" s="1871"/>
      <c r="F72" s="1863">
        <v>0.05</v>
      </c>
    </row>
    <row r="73" spans="1:6" ht="24.6" thickBot="1">
      <c r="A73" s="1857" t="s">
        <v>923</v>
      </c>
      <c r="B73" s="1861" t="s">
        <v>2095</v>
      </c>
      <c r="C73" s="1871"/>
      <c r="D73" s="1871"/>
      <c r="E73" s="1871"/>
      <c r="F73" s="1863">
        <v>0.05</v>
      </c>
    </row>
    <row r="74" spans="1:6" ht="24.6" thickBot="1">
      <c r="A74" s="1857" t="s">
        <v>923</v>
      </c>
      <c r="B74" s="1861" t="s">
        <v>2096</v>
      </c>
      <c r="C74" s="1871"/>
      <c r="D74" s="1871"/>
      <c r="E74" s="1871"/>
      <c r="F74" s="1863">
        <v>0.05</v>
      </c>
    </row>
    <row r="75" spans="1:6" ht="24.6" thickBot="1">
      <c r="A75" s="1865" t="s">
        <v>923</v>
      </c>
      <c r="B75" s="1872" t="s">
        <v>2097</v>
      </c>
      <c r="C75" s="1868"/>
      <c r="D75" s="1868"/>
      <c r="E75" s="1868"/>
      <c r="F75" s="1873">
        <v>0.05</v>
      </c>
    </row>
    <row r="76" spans="1:6" ht="15" thickBot="1">
      <c r="A76" s="1857" t="s">
        <v>1406</v>
      </c>
      <c r="B76" s="1858" t="s">
        <v>2098</v>
      </c>
      <c r="C76" s="1859">
        <v>0.1</v>
      </c>
      <c r="D76" s="1859">
        <v>0.1</v>
      </c>
      <c r="E76" s="1859">
        <v>0.1</v>
      </c>
      <c r="F76" s="1860">
        <v>0.1</v>
      </c>
    </row>
    <row r="77" spans="1:6" ht="15" thickBot="1">
      <c r="A77" s="1857" t="s">
        <v>1406</v>
      </c>
      <c r="B77" s="1861" t="s">
        <v>1073</v>
      </c>
      <c r="C77" s="1862">
        <v>8.7999999999999995E-2</v>
      </c>
      <c r="D77" s="1862">
        <v>8.6999999999999994E-2</v>
      </c>
      <c r="E77" s="1862">
        <v>7.9000000000000001E-2</v>
      </c>
      <c r="F77" s="1863">
        <v>0.1</v>
      </c>
    </row>
    <row r="78" spans="1:6" ht="15" thickBot="1">
      <c r="A78" s="1857" t="s">
        <v>1406</v>
      </c>
      <c r="B78" s="1861" t="s">
        <v>1087</v>
      </c>
      <c r="C78" s="1862">
        <v>8.6999999999999994E-2</v>
      </c>
      <c r="D78" s="1862">
        <v>8.4000000000000005E-2</v>
      </c>
      <c r="E78" s="1862">
        <v>9.6000000000000002E-2</v>
      </c>
      <c r="F78" s="1863">
        <v>0.1</v>
      </c>
    </row>
    <row r="79" spans="1:6" ht="15" thickBot="1">
      <c r="A79" s="1857" t="s">
        <v>1406</v>
      </c>
      <c r="B79" s="1861" t="s">
        <v>1100</v>
      </c>
      <c r="C79" s="1862">
        <v>9.8000000000000004E-2</v>
      </c>
      <c r="D79" s="1862">
        <v>9.8000000000000004E-2</v>
      </c>
      <c r="E79" s="1862">
        <v>9.0999999999999998E-2</v>
      </c>
      <c r="F79" s="1863">
        <v>0.1</v>
      </c>
    </row>
    <row r="80" spans="1:6" ht="15" thickBot="1">
      <c r="A80" s="1857" t="s">
        <v>1406</v>
      </c>
      <c r="B80" s="1861" t="s">
        <v>1114</v>
      </c>
      <c r="C80" s="1862">
        <v>9.6000000000000002E-2</v>
      </c>
      <c r="D80" s="1862">
        <v>9.6000000000000002E-2</v>
      </c>
      <c r="E80" s="1862">
        <v>0.1</v>
      </c>
      <c r="F80" s="1863">
        <v>0.1</v>
      </c>
    </row>
    <row r="81" spans="1:6" ht="15" thickBot="1">
      <c r="A81" s="1857" t="s">
        <v>1406</v>
      </c>
      <c r="B81" s="1861" t="s">
        <v>1125</v>
      </c>
      <c r="C81" s="1862">
        <v>9.9000000000000005E-2</v>
      </c>
      <c r="D81" s="1862">
        <v>9.9000000000000005E-2</v>
      </c>
      <c r="E81" s="1862">
        <v>9.8000000000000004E-2</v>
      </c>
      <c r="F81" s="1863">
        <v>0.1</v>
      </c>
    </row>
    <row r="82" spans="1:6" ht="15" thickBot="1">
      <c r="A82" s="1857" t="s">
        <v>1406</v>
      </c>
      <c r="B82" s="1861" t="s">
        <v>1136</v>
      </c>
      <c r="C82" s="1862">
        <v>9.9000000000000005E-2</v>
      </c>
      <c r="D82" s="1862">
        <v>9.9000000000000005E-2</v>
      </c>
      <c r="E82" s="1862">
        <v>9.7000000000000003E-2</v>
      </c>
      <c r="F82" s="1863">
        <v>0.1</v>
      </c>
    </row>
    <row r="83" spans="1:6" ht="15" thickBot="1">
      <c r="A83" s="1857" t="s">
        <v>1406</v>
      </c>
      <c r="B83" s="1861" t="s">
        <v>1147</v>
      </c>
      <c r="C83" s="1862">
        <v>9.8000000000000004E-2</v>
      </c>
      <c r="D83" s="1862">
        <v>9.8000000000000004E-2</v>
      </c>
      <c r="E83" s="1862">
        <v>9.8000000000000004E-2</v>
      </c>
      <c r="F83" s="1863">
        <v>0.1</v>
      </c>
    </row>
    <row r="84" spans="1:6" ht="15" thickBot="1">
      <c r="A84" s="1857" t="s">
        <v>1406</v>
      </c>
      <c r="B84" s="1861" t="s">
        <v>1159</v>
      </c>
      <c r="C84" s="1862">
        <v>9.9000000000000005E-2</v>
      </c>
      <c r="D84" s="1862">
        <v>9.9000000000000005E-2</v>
      </c>
      <c r="E84" s="1862">
        <v>9.9000000000000005E-2</v>
      </c>
      <c r="F84" s="1863">
        <v>0.1</v>
      </c>
    </row>
    <row r="85" spans="1:6" ht="15" thickBot="1">
      <c r="A85" s="1857" t="s">
        <v>1406</v>
      </c>
      <c r="B85" s="1861" t="s">
        <v>1169</v>
      </c>
      <c r="C85" s="1862">
        <v>9.9000000000000005E-2</v>
      </c>
      <c r="D85" s="1862">
        <v>9.9000000000000005E-2</v>
      </c>
      <c r="E85" s="1862">
        <v>9.9000000000000005E-2</v>
      </c>
      <c r="F85" s="1863">
        <v>0.1</v>
      </c>
    </row>
    <row r="86" spans="1:6" ht="15" thickBot="1">
      <c r="A86" s="1857" t="s">
        <v>1406</v>
      </c>
      <c r="B86" s="1861" t="s">
        <v>1179</v>
      </c>
      <c r="C86" s="1862">
        <v>0.1</v>
      </c>
      <c r="D86" s="1862">
        <v>0.1</v>
      </c>
      <c r="E86" s="1862">
        <v>7.6999999999999999E-2</v>
      </c>
      <c r="F86" s="1863">
        <v>0.1</v>
      </c>
    </row>
    <row r="87" spans="1:6" ht="15" thickBot="1">
      <c r="A87" s="1857" t="s">
        <v>1406</v>
      </c>
      <c r="B87" s="1861" t="s">
        <v>1189</v>
      </c>
      <c r="C87" s="1862">
        <v>0.1</v>
      </c>
      <c r="D87" s="1862">
        <v>0.1</v>
      </c>
      <c r="E87" s="1862">
        <v>9.8000000000000004E-2</v>
      </c>
      <c r="F87" s="1870"/>
    </row>
    <row r="88" spans="1:6" ht="15" thickBot="1">
      <c r="A88" s="1857" t="s">
        <v>1406</v>
      </c>
      <c r="B88" s="1861" t="s">
        <v>1199</v>
      </c>
      <c r="C88" s="1862">
        <v>9.1999999999999998E-2</v>
      </c>
      <c r="D88" s="1862">
        <v>8.5000000000000006E-2</v>
      </c>
      <c r="E88" s="1862">
        <v>9.6000000000000002E-2</v>
      </c>
      <c r="F88" s="1870"/>
    </row>
    <row r="89" spans="1:6" ht="15" thickBot="1">
      <c r="A89" s="1857" t="s">
        <v>1406</v>
      </c>
      <c r="B89" s="1861" t="s">
        <v>1209</v>
      </c>
      <c r="C89" s="1862">
        <v>0.1</v>
      </c>
      <c r="D89" s="1862">
        <v>0.1</v>
      </c>
      <c r="E89" s="1862">
        <v>9.7000000000000003E-2</v>
      </c>
      <c r="F89" s="1870"/>
    </row>
    <row r="90" spans="1:6" ht="15" thickBot="1">
      <c r="A90" s="1857" t="s">
        <v>1406</v>
      </c>
      <c r="B90" s="1861" t="s">
        <v>1219</v>
      </c>
      <c r="C90" s="1862">
        <v>9.8000000000000004E-2</v>
      </c>
      <c r="D90" s="1862">
        <v>9.8000000000000004E-2</v>
      </c>
      <c r="E90" s="1862">
        <v>8.7999999999999995E-2</v>
      </c>
      <c r="F90" s="1870"/>
    </row>
    <row r="91" spans="1:6" ht="15" thickBot="1">
      <c r="A91" s="1857" t="s">
        <v>1406</v>
      </c>
      <c r="B91" s="1861" t="s">
        <v>1229</v>
      </c>
      <c r="C91" s="1862">
        <v>9.9000000000000005E-2</v>
      </c>
      <c r="D91" s="1862">
        <v>9.9000000000000005E-2</v>
      </c>
      <c r="E91" s="1862">
        <v>9.0999999999999998E-2</v>
      </c>
      <c r="F91" s="1870"/>
    </row>
    <row r="92" spans="1:6" ht="15" thickBot="1">
      <c r="A92" s="1857" t="s">
        <v>1406</v>
      </c>
      <c r="B92" s="1861" t="s">
        <v>1239</v>
      </c>
      <c r="C92" s="1862">
        <v>9.6000000000000002E-2</v>
      </c>
      <c r="D92" s="1862">
        <v>9.6000000000000002E-2</v>
      </c>
      <c r="E92" s="1862">
        <v>7.2999999999999995E-2</v>
      </c>
      <c r="F92" s="1870"/>
    </row>
    <row r="93" spans="1:6" ht="15" thickBot="1">
      <c r="A93" s="1857" t="s">
        <v>1406</v>
      </c>
      <c r="B93" s="1861" t="s">
        <v>1249</v>
      </c>
      <c r="C93" s="1862">
        <v>9.6000000000000002E-2</v>
      </c>
      <c r="D93" s="1862">
        <v>9.6000000000000002E-2</v>
      </c>
      <c r="E93" s="1862">
        <v>9.9000000000000005E-2</v>
      </c>
      <c r="F93" s="1870"/>
    </row>
    <row r="94" spans="1:6" ht="15" thickBot="1">
      <c r="A94" s="1857" t="s">
        <v>1406</v>
      </c>
      <c r="B94" s="1861" t="s">
        <v>1259</v>
      </c>
      <c r="C94" s="1862">
        <v>7.5999999999999998E-2</v>
      </c>
      <c r="D94" s="1862">
        <v>7.3999999999999996E-2</v>
      </c>
      <c r="E94" s="1862">
        <v>9.7000000000000003E-2</v>
      </c>
      <c r="F94" s="1870"/>
    </row>
    <row r="95" spans="1:6" ht="15" thickBot="1">
      <c r="A95" s="1857" t="s">
        <v>1406</v>
      </c>
      <c r="B95" s="1861" t="s">
        <v>1268</v>
      </c>
      <c r="C95" s="1862">
        <v>9.9000000000000005E-2</v>
      </c>
      <c r="D95" s="1862">
        <v>9.4E-2</v>
      </c>
      <c r="E95" s="1862">
        <v>9.6000000000000002E-2</v>
      </c>
      <c r="F95" s="1870"/>
    </row>
    <row r="96" spans="1:6" ht="15" thickBot="1">
      <c r="A96" s="1857" t="s">
        <v>1406</v>
      </c>
      <c r="B96" s="1861" t="s">
        <v>1277</v>
      </c>
      <c r="C96" s="1862">
        <v>9.9000000000000005E-2</v>
      </c>
      <c r="D96" s="1862">
        <v>9.9000000000000005E-2</v>
      </c>
      <c r="E96" s="1862">
        <v>9.9000000000000005E-2</v>
      </c>
      <c r="F96" s="1870"/>
    </row>
    <row r="97" spans="1:6" ht="15" thickBot="1">
      <c r="A97" s="1857" t="s">
        <v>1406</v>
      </c>
      <c r="B97" s="1861" t="s">
        <v>1285</v>
      </c>
      <c r="C97" s="1862">
        <v>9.8000000000000004E-2</v>
      </c>
      <c r="D97" s="1862">
        <v>9.8000000000000004E-2</v>
      </c>
      <c r="E97" s="1862">
        <v>9.7000000000000003E-2</v>
      </c>
      <c r="F97" s="1870"/>
    </row>
    <row r="98" spans="1:6" ht="15" thickBot="1">
      <c r="A98" s="1857" t="s">
        <v>1406</v>
      </c>
      <c r="B98" s="1861" t="s">
        <v>1292</v>
      </c>
      <c r="C98" s="1862">
        <v>0.1</v>
      </c>
      <c r="D98" s="1862">
        <v>0.1</v>
      </c>
      <c r="E98" s="1862">
        <v>9.7000000000000003E-2</v>
      </c>
      <c r="F98" s="1870"/>
    </row>
    <row r="99" spans="1:6" ht="15" thickBot="1">
      <c r="A99" s="1857" t="s">
        <v>1406</v>
      </c>
      <c r="B99" s="1861" t="s">
        <v>1299</v>
      </c>
      <c r="C99" s="1862">
        <v>0.1</v>
      </c>
      <c r="D99" s="1862">
        <v>0.1</v>
      </c>
      <c r="E99" s="1871"/>
      <c r="F99" s="1870"/>
    </row>
    <row r="100" spans="1:6" ht="15" thickBot="1">
      <c r="A100" s="1857" t="s">
        <v>1406</v>
      </c>
      <c r="B100" s="1861" t="s">
        <v>1306</v>
      </c>
      <c r="C100" s="1862">
        <v>0.09</v>
      </c>
      <c r="D100" s="1862">
        <v>8.8999999999999996E-2</v>
      </c>
      <c r="E100" s="1871"/>
      <c r="F100" s="1870"/>
    </row>
    <row r="101" spans="1:6" ht="15" thickBot="1">
      <c r="A101" s="1857" t="s">
        <v>1406</v>
      </c>
      <c r="B101" s="1861" t="s">
        <v>1313</v>
      </c>
      <c r="C101" s="1862">
        <v>9.8000000000000004E-2</v>
      </c>
      <c r="D101" s="1862">
        <v>9.7000000000000003E-2</v>
      </c>
      <c r="E101" s="1871"/>
      <c r="F101" s="1870"/>
    </row>
    <row r="102" spans="1:6" ht="24.6" thickBot="1">
      <c r="A102" s="1857" t="s">
        <v>1406</v>
      </c>
      <c r="B102" s="1861" t="s">
        <v>2099</v>
      </c>
      <c r="C102" s="1871"/>
      <c r="D102" s="1871"/>
      <c r="E102" s="1871"/>
      <c r="F102" s="1863">
        <v>0.05</v>
      </c>
    </row>
    <row r="103" spans="1:6" ht="24.6" thickBot="1">
      <c r="A103" s="1857" t="s">
        <v>1406</v>
      </c>
      <c r="B103" s="1861" t="s">
        <v>2100</v>
      </c>
      <c r="C103" s="1871"/>
      <c r="D103" s="1871"/>
      <c r="E103" s="1871"/>
      <c r="F103" s="1863">
        <v>0.05</v>
      </c>
    </row>
    <row r="104" spans="1:6" ht="15" thickBot="1">
      <c r="A104" s="1857" t="s">
        <v>1406</v>
      </c>
      <c r="B104" s="1861" t="s">
        <v>2101</v>
      </c>
      <c r="C104" s="1871"/>
      <c r="D104" s="1871"/>
      <c r="E104" s="1871"/>
      <c r="F104" s="1863">
        <v>0.05</v>
      </c>
    </row>
    <row r="105" spans="1:6" ht="24.6" thickBot="1">
      <c r="A105" s="1857" t="s">
        <v>1406</v>
      </c>
      <c r="B105" s="1861" t="s">
        <v>2102</v>
      </c>
      <c r="C105" s="1871"/>
      <c r="D105" s="1871"/>
      <c r="E105" s="1871"/>
      <c r="F105" s="1863">
        <v>0.05</v>
      </c>
    </row>
    <row r="106" spans="1:6" ht="24.6" thickBot="1">
      <c r="A106" s="1857" t="s">
        <v>1406</v>
      </c>
      <c r="B106" s="1861" t="s">
        <v>2103</v>
      </c>
      <c r="C106" s="1871"/>
      <c r="D106" s="1871"/>
      <c r="E106" s="1871"/>
      <c r="F106" s="1863">
        <v>0.05</v>
      </c>
    </row>
    <row r="107" spans="1:6" ht="24.6" thickBot="1">
      <c r="A107" s="1857" t="s">
        <v>1406</v>
      </c>
      <c r="B107" s="1861" t="s">
        <v>2104</v>
      </c>
      <c r="C107" s="1871"/>
      <c r="D107" s="1871"/>
      <c r="E107" s="1871"/>
      <c r="F107" s="1863">
        <v>0.05</v>
      </c>
    </row>
    <row r="108" spans="1:6" ht="24.6" thickBot="1">
      <c r="A108" s="1857" t="s">
        <v>1406</v>
      </c>
      <c r="B108" s="1861" t="s">
        <v>2105</v>
      </c>
      <c r="C108" s="1871"/>
      <c r="D108" s="1871"/>
      <c r="E108" s="1871"/>
      <c r="F108" s="1863">
        <v>0.05</v>
      </c>
    </row>
    <row r="109" spans="1:6" ht="24.6" thickBot="1">
      <c r="A109" s="1865" t="s">
        <v>1406</v>
      </c>
      <c r="B109" s="1872" t="s">
        <v>2106</v>
      </c>
      <c r="C109" s="1868"/>
      <c r="D109" s="1868"/>
      <c r="E109" s="1868"/>
      <c r="F109" s="1873">
        <v>0.05</v>
      </c>
    </row>
    <row r="110" spans="1:6" ht="15" thickBot="1">
      <c r="A110" s="1857" t="s">
        <v>1408</v>
      </c>
      <c r="B110" s="1858" t="s">
        <v>2107</v>
      </c>
      <c r="C110" s="1859">
        <v>0.129</v>
      </c>
      <c r="D110" s="1859">
        <v>0.129</v>
      </c>
      <c r="E110" s="1859">
        <v>0.126</v>
      </c>
      <c r="F110" s="1860">
        <v>0.13</v>
      </c>
    </row>
    <row r="111" spans="1:6" ht="15" thickBot="1">
      <c r="A111" s="1857" t="s">
        <v>1408</v>
      </c>
      <c r="B111" s="1861" t="s">
        <v>1074</v>
      </c>
      <c r="C111" s="1862">
        <v>0.11</v>
      </c>
      <c r="D111" s="1862">
        <v>0.11</v>
      </c>
      <c r="E111" s="1862">
        <v>9.9000000000000005E-2</v>
      </c>
      <c r="F111" s="1863">
        <v>0.128</v>
      </c>
    </row>
    <row r="112" spans="1:6" ht="15" thickBot="1">
      <c r="A112" s="1857" t="s">
        <v>1408</v>
      </c>
      <c r="B112" s="1861" t="s">
        <v>1088</v>
      </c>
      <c r="C112" s="1862">
        <v>0.125</v>
      </c>
      <c r="D112" s="1862">
        <v>0.125</v>
      </c>
      <c r="E112" s="1862">
        <v>0.12</v>
      </c>
      <c r="F112" s="1863">
        <v>0.125</v>
      </c>
    </row>
    <row r="113" spans="1:6" ht="15" thickBot="1">
      <c r="A113" s="1857" t="s">
        <v>1408</v>
      </c>
      <c r="B113" s="1861" t="s">
        <v>1101</v>
      </c>
      <c r="C113" s="1862">
        <v>0.13</v>
      </c>
      <c r="D113" s="1862">
        <v>0.13</v>
      </c>
      <c r="E113" s="1862">
        <v>0.13</v>
      </c>
      <c r="F113" s="1863">
        <v>0.13</v>
      </c>
    </row>
    <row r="114" spans="1:6" ht="15" thickBot="1">
      <c r="A114" s="1857" t="s">
        <v>1408</v>
      </c>
      <c r="B114" s="1861" t="s">
        <v>1115</v>
      </c>
      <c r="C114" s="1862">
        <v>0.123</v>
      </c>
      <c r="D114" s="1862">
        <v>0.123</v>
      </c>
      <c r="E114" s="1862">
        <v>0.12</v>
      </c>
      <c r="F114" s="1863">
        <v>0.13</v>
      </c>
    </row>
    <row r="115" spans="1:6" ht="15" thickBot="1">
      <c r="A115" s="1857" t="s">
        <v>1408</v>
      </c>
      <c r="B115" s="1861" t="s">
        <v>1126</v>
      </c>
      <c r="C115" s="1862">
        <v>0.125</v>
      </c>
      <c r="D115" s="1862">
        <v>0.125</v>
      </c>
      <c r="E115" s="1862">
        <v>0.11700000000000001</v>
      </c>
      <c r="F115" s="1863">
        <v>0.13</v>
      </c>
    </row>
    <row r="116" spans="1:6" ht="15" thickBot="1">
      <c r="A116" s="1857" t="s">
        <v>1408</v>
      </c>
      <c r="B116" s="1861" t="s">
        <v>1137</v>
      </c>
      <c r="C116" s="1862">
        <v>0.11700000000000001</v>
      </c>
      <c r="D116" s="1862">
        <v>0.11700000000000001</v>
      </c>
      <c r="E116" s="1862">
        <v>8.7999999999999995E-2</v>
      </c>
      <c r="F116" s="1863">
        <v>0.13</v>
      </c>
    </row>
    <row r="117" spans="1:6" ht="15" thickBot="1">
      <c r="A117" s="1857" t="s">
        <v>1408</v>
      </c>
      <c r="B117" s="1861" t="s">
        <v>1148</v>
      </c>
      <c r="C117" s="1862">
        <v>0.13</v>
      </c>
      <c r="D117" s="1862">
        <v>0.13</v>
      </c>
      <c r="E117" s="1862">
        <v>0.129</v>
      </c>
      <c r="F117" s="1863">
        <v>0.13</v>
      </c>
    </row>
    <row r="118" spans="1:6" ht="15" thickBot="1">
      <c r="A118" s="1857" t="s">
        <v>1408</v>
      </c>
      <c r="B118" s="1861" t="s">
        <v>1160</v>
      </c>
      <c r="C118" s="1862">
        <v>0.123</v>
      </c>
      <c r="D118" s="1862">
        <v>0.123</v>
      </c>
      <c r="E118" s="1862">
        <v>0.11600000000000001</v>
      </c>
      <c r="F118" s="1863">
        <v>0.13</v>
      </c>
    </row>
    <row r="119" spans="1:6" ht="15" thickBot="1">
      <c r="A119" s="1857" t="s">
        <v>1408</v>
      </c>
      <c r="B119" s="1861" t="s">
        <v>1170</v>
      </c>
      <c r="C119" s="1862">
        <v>0.127</v>
      </c>
      <c r="D119" s="1862">
        <v>0.127</v>
      </c>
      <c r="E119" s="1862">
        <v>0.124</v>
      </c>
      <c r="F119" s="1863">
        <v>0.13</v>
      </c>
    </row>
    <row r="120" spans="1:6" ht="15" thickBot="1">
      <c r="A120" s="1857" t="s">
        <v>1408</v>
      </c>
      <c r="B120" s="1861" t="s">
        <v>1180</v>
      </c>
      <c r="C120" s="1862">
        <v>0.125</v>
      </c>
      <c r="D120" s="1862">
        <v>0.125</v>
      </c>
      <c r="E120" s="1862">
        <v>0.122</v>
      </c>
      <c r="F120" s="1863">
        <v>0.13</v>
      </c>
    </row>
    <row r="121" spans="1:6" ht="15" thickBot="1">
      <c r="A121" s="1857" t="s">
        <v>1408</v>
      </c>
      <c r="B121" s="1861" t="s">
        <v>1190</v>
      </c>
      <c r="C121" s="1862">
        <v>0.13</v>
      </c>
      <c r="D121" s="1862">
        <v>0.13</v>
      </c>
      <c r="E121" s="1862">
        <v>0.13</v>
      </c>
      <c r="F121" s="1863">
        <v>0.13</v>
      </c>
    </row>
    <row r="122" spans="1:6" ht="15" thickBot="1">
      <c r="A122" s="1857" t="s">
        <v>1408</v>
      </c>
      <c r="B122" s="1861" t="s">
        <v>1200</v>
      </c>
      <c r="C122" s="1862">
        <v>0.13</v>
      </c>
      <c r="D122" s="1862">
        <v>0.13</v>
      </c>
      <c r="E122" s="1862">
        <v>0.125</v>
      </c>
      <c r="F122" s="1863">
        <v>0.13</v>
      </c>
    </row>
    <row r="123" spans="1:6" ht="15" thickBot="1">
      <c r="A123" s="1857" t="s">
        <v>1408</v>
      </c>
      <c r="B123" s="1861" t="s">
        <v>1210</v>
      </c>
      <c r="C123" s="1862">
        <v>0.129</v>
      </c>
      <c r="D123" s="1862">
        <v>0.129</v>
      </c>
      <c r="E123" s="1862">
        <v>0.123</v>
      </c>
      <c r="F123" s="1863">
        <v>0.13</v>
      </c>
    </row>
    <row r="124" spans="1:6" ht="15" thickBot="1">
      <c r="A124" s="1857" t="s">
        <v>1408</v>
      </c>
      <c r="B124" s="1861" t="s">
        <v>1220</v>
      </c>
      <c r="C124" s="1862">
        <v>0.10199999999999999</v>
      </c>
      <c r="D124" s="1862">
        <v>0.10100000000000001</v>
      </c>
      <c r="E124" s="1862">
        <v>0.08</v>
      </c>
      <c r="F124" s="1870"/>
    </row>
    <row r="125" spans="1:6" ht="15" thickBot="1">
      <c r="A125" s="1857" t="s">
        <v>1408</v>
      </c>
      <c r="B125" s="1861" t="s">
        <v>1230</v>
      </c>
      <c r="C125" s="1862">
        <v>0.13</v>
      </c>
      <c r="D125" s="1862">
        <v>0.13</v>
      </c>
      <c r="E125" s="1862">
        <v>0.129</v>
      </c>
      <c r="F125" s="1870"/>
    </row>
    <row r="126" spans="1:6" ht="15" thickBot="1">
      <c r="A126" s="1857" t="s">
        <v>1408</v>
      </c>
      <c r="B126" s="1861" t="s">
        <v>1240</v>
      </c>
      <c r="C126" s="1862">
        <v>0.13</v>
      </c>
      <c r="D126" s="1862">
        <v>0.13</v>
      </c>
      <c r="E126" s="1862">
        <v>0.126</v>
      </c>
      <c r="F126" s="1870"/>
    </row>
    <row r="127" spans="1:6" ht="15" thickBot="1">
      <c r="A127" s="1857" t="s">
        <v>1408</v>
      </c>
      <c r="B127" s="1861" t="s">
        <v>1250</v>
      </c>
      <c r="C127" s="1862">
        <v>0.125</v>
      </c>
      <c r="D127" s="1862">
        <v>0.125</v>
      </c>
      <c r="E127" s="1862">
        <v>0.121</v>
      </c>
      <c r="F127" s="1870"/>
    </row>
    <row r="128" spans="1:6" ht="15" thickBot="1">
      <c r="A128" s="1857" t="s">
        <v>1408</v>
      </c>
      <c r="B128" s="1861" t="s">
        <v>1260</v>
      </c>
      <c r="C128" s="1862">
        <v>0.12</v>
      </c>
      <c r="D128" s="1862">
        <v>0.12</v>
      </c>
      <c r="E128" s="1862">
        <v>0.105</v>
      </c>
      <c r="F128" s="1870"/>
    </row>
    <row r="129" spans="1:6" ht="15" thickBot="1">
      <c r="A129" s="1857" t="s">
        <v>1408</v>
      </c>
      <c r="B129" s="1861" t="s">
        <v>1269</v>
      </c>
      <c r="C129" s="1862">
        <v>0.13</v>
      </c>
      <c r="D129" s="1862">
        <v>0.13</v>
      </c>
      <c r="E129" s="1862">
        <v>0.126</v>
      </c>
      <c r="F129" s="1870"/>
    </row>
    <row r="130" spans="1:6" ht="15" thickBot="1">
      <c r="A130" s="1857" t="s">
        <v>1408</v>
      </c>
      <c r="B130" s="1861" t="s">
        <v>1278</v>
      </c>
      <c r="C130" s="1862">
        <v>0.125</v>
      </c>
      <c r="D130" s="1862">
        <v>0.125</v>
      </c>
      <c r="E130" s="1862">
        <v>0.122</v>
      </c>
      <c r="F130" s="1870"/>
    </row>
    <row r="131" spans="1:6" ht="15" thickBot="1">
      <c r="A131" s="1857" t="s">
        <v>1408</v>
      </c>
      <c r="B131" s="1861" t="s">
        <v>1286</v>
      </c>
      <c r="C131" s="1862">
        <v>0.127</v>
      </c>
      <c r="D131" s="1862">
        <v>0.126</v>
      </c>
      <c r="E131" s="1862">
        <v>0.123</v>
      </c>
      <c r="F131" s="1870"/>
    </row>
    <row r="132" spans="1:6" ht="15" thickBot="1">
      <c r="A132" s="1857" t="s">
        <v>1408</v>
      </c>
      <c r="B132" s="1861" t="s">
        <v>1293</v>
      </c>
      <c r="C132" s="1862">
        <v>9.0999999999999998E-2</v>
      </c>
      <c r="D132" s="1862">
        <v>0.121</v>
      </c>
      <c r="E132" s="1862">
        <v>9.9000000000000005E-2</v>
      </c>
      <c r="F132" s="1870"/>
    </row>
    <row r="133" spans="1:6" ht="15" thickBot="1">
      <c r="A133" s="1857" t="s">
        <v>1408</v>
      </c>
      <c r="B133" s="1861" t="s">
        <v>1300</v>
      </c>
      <c r="C133" s="1862">
        <v>0.13</v>
      </c>
      <c r="D133" s="1862">
        <v>0.13</v>
      </c>
      <c r="E133" s="1862">
        <v>0.129</v>
      </c>
      <c r="F133" s="1870"/>
    </row>
    <row r="134" spans="1:6" ht="15" thickBot="1">
      <c r="A134" s="1857" t="s">
        <v>1408</v>
      </c>
      <c r="B134" s="1861" t="s">
        <v>2108</v>
      </c>
      <c r="C134" s="1862">
        <v>6.8000000000000005E-2</v>
      </c>
      <c r="D134" s="1862">
        <v>6.5000000000000002E-2</v>
      </c>
      <c r="E134" s="1862">
        <v>6.5000000000000002E-2</v>
      </c>
      <c r="F134" s="1863">
        <v>0.13</v>
      </c>
    </row>
    <row r="135" spans="1:6" ht="15" thickBot="1">
      <c r="A135" s="1857" t="s">
        <v>1408</v>
      </c>
      <c r="B135" s="1861" t="s">
        <v>1314</v>
      </c>
      <c r="C135" s="1862">
        <v>0.123</v>
      </c>
      <c r="D135" s="1862">
        <v>0.123</v>
      </c>
      <c r="E135" s="1862">
        <v>0.11</v>
      </c>
      <c r="F135" s="1870"/>
    </row>
    <row r="136" spans="1:6" ht="15" thickBot="1">
      <c r="A136" s="1857" t="s">
        <v>1408</v>
      </c>
      <c r="B136" s="1861" t="s">
        <v>1321</v>
      </c>
      <c r="C136" s="1862">
        <v>0.13</v>
      </c>
      <c r="D136" s="1862">
        <v>0.13</v>
      </c>
      <c r="E136" s="1862">
        <v>0.125</v>
      </c>
      <c r="F136" s="1870"/>
    </row>
    <row r="137" spans="1:6" ht="15" thickBot="1">
      <c r="A137" s="1857" t="s">
        <v>1408</v>
      </c>
      <c r="B137" s="1861" t="s">
        <v>1328</v>
      </c>
      <c r="C137" s="1862">
        <v>0.121</v>
      </c>
      <c r="D137" s="1862">
        <v>0.122</v>
      </c>
      <c r="E137" s="1862">
        <v>0.115</v>
      </c>
      <c r="F137" s="1870"/>
    </row>
    <row r="138" spans="1:6" ht="15" thickBot="1">
      <c r="A138" s="1857" t="s">
        <v>1408</v>
      </c>
      <c r="B138" s="1861" t="s">
        <v>2109</v>
      </c>
      <c r="C138" s="1862">
        <v>0.105</v>
      </c>
      <c r="D138" s="1862">
        <v>0.125</v>
      </c>
      <c r="E138" s="1862">
        <v>0.112</v>
      </c>
      <c r="F138" s="1870"/>
    </row>
    <row r="139" spans="1:6" ht="15" thickBot="1">
      <c r="A139" s="1857" t="s">
        <v>1408</v>
      </c>
      <c r="B139" s="1861" t="s">
        <v>2110</v>
      </c>
      <c r="C139" s="1862">
        <v>0.127</v>
      </c>
      <c r="D139" s="1862">
        <v>0.127</v>
      </c>
      <c r="E139" s="1862">
        <v>0.122</v>
      </c>
      <c r="F139" s="1863">
        <v>0.13</v>
      </c>
    </row>
    <row r="140" spans="1:6" ht="15" thickBot="1">
      <c r="A140" s="1857" t="s">
        <v>1408</v>
      </c>
      <c r="B140" s="1861" t="s">
        <v>2111</v>
      </c>
      <c r="C140" s="1862">
        <v>0.125</v>
      </c>
      <c r="D140" s="1862">
        <v>0.125</v>
      </c>
      <c r="E140" s="1862">
        <v>0.11899999999999999</v>
      </c>
      <c r="F140" s="1863">
        <v>0.13</v>
      </c>
    </row>
    <row r="141" spans="1:6" ht="15" thickBot="1">
      <c r="A141" s="1857" t="s">
        <v>1408</v>
      </c>
      <c r="B141" s="1861" t="s">
        <v>1347</v>
      </c>
      <c r="C141" s="1862">
        <v>0.125</v>
      </c>
      <c r="D141" s="1862">
        <v>0.125</v>
      </c>
      <c r="E141" s="1862">
        <v>0.11700000000000001</v>
      </c>
      <c r="F141" s="1870"/>
    </row>
    <row r="142" spans="1:6" ht="15" thickBot="1">
      <c r="A142" s="1857" t="s">
        <v>1408</v>
      </c>
      <c r="B142" s="1861" t="s">
        <v>1352</v>
      </c>
      <c r="C142" s="1862">
        <v>0.125</v>
      </c>
      <c r="D142" s="1862">
        <v>0.125</v>
      </c>
      <c r="E142" s="1862">
        <v>0.115</v>
      </c>
      <c r="F142" s="1870"/>
    </row>
    <row r="143" spans="1:6" ht="15" thickBot="1">
      <c r="A143" s="1857" t="s">
        <v>1408</v>
      </c>
      <c r="B143" s="1861" t="s">
        <v>1357</v>
      </c>
      <c r="C143" s="1862">
        <v>0.121</v>
      </c>
      <c r="D143" s="1862">
        <v>0.121</v>
      </c>
      <c r="E143" s="1862">
        <v>0.108</v>
      </c>
      <c r="F143" s="1870"/>
    </row>
    <row r="144" spans="1:6" ht="15" thickBot="1">
      <c r="A144" s="1857" t="s">
        <v>1408</v>
      </c>
      <c r="B144" s="1874" t="s">
        <v>2112</v>
      </c>
      <c r="C144" s="1875">
        <v>0.126</v>
      </c>
      <c r="D144" s="1875">
        <v>0.126</v>
      </c>
      <c r="E144" s="1875">
        <v>0.121</v>
      </c>
      <c r="F144" s="1870"/>
    </row>
    <row r="145" spans="1:6" ht="15" thickBot="1">
      <c r="A145" s="1865" t="s">
        <v>1408</v>
      </c>
      <c r="B145" s="1876" t="s">
        <v>2113</v>
      </c>
      <c r="C145" s="1877"/>
      <c r="D145" s="1877"/>
      <c r="E145" s="1877"/>
      <c r="F145" s="1878">
        <v>0.05</v>
      </c>
    </row>
    <row r="146" spans="1:6" ht="24.6" thickBot="1">
      <c r="A146" s="1879" t="s">
        <v>1408</v>
      </c>
      <c r="B146" s="1864" t="s">
        <v>2114</v>
      </c>
      <c r="C146" s="1871"/>
      <c r="D146" s="1871"/>
      <c r="E146" s="1871"/>
      <c r="F146" s="1880">
        <v>0.05</v>
      </c>
    </row>
    <row r="147" spans="1:6" ht="24.6" thickBot="1">
      <c r="A147" s="1857" t="s">
        <v>1408</v>
      </c>
      <c r="B147" s="1861" t="s">
        <v>2115</v>
      </c>
      <c r="C147" s="1871"/>
      <c r="D147" s="1871"/>
      <c r="E147" s="1871"/>
      <c r="F147" s="1863">
        <v>0.05</v>
      </c>
    </row>
    <row r="148" spans="1:6" ht="24.6" thickBot="1">
      <c r="A148" s="1857" t="s">
        <v>1408</v>
      </c>
      <c r="B148" s="1861" t="s">
        <v>2116</v>
      </c>
      <c r="C148" s="1871"/>
      <c r="D148" s="1871"/>
      <c r="E148" s="1871"/>
      <c r="F148" s="1863">
        <v>0.05</v>
      </c>
    </row>
    <row r="149" spans="1:6" ht="24.6" thickBot="1">
      <c r="A149" s="1857" t="s">
        <v>1408</v>
      </c>
      <c r="B149" s="1861" t="s">
        <v>2117</v>
      </c>
      <c r="C149" s="1871"/>
      <c r="D149" s="1871"/>
      <c r="E149" s="1871"/>
      <c r="F149" s="1863">
        <v>0.05</v>
      </c>
    </row>
    <row r="150" spans="1:6" ht="24.6" thickBot="1">
      <c r="A150" s="1857" t="s">
        <v>1408</v>
      </c>
      <c r="B150" s="1861" t="s">
        <v>2118</v>
      </c>
      <c r="C150" s="1871"/>
      <c r="D150" s="1871"/>
      <c r="E150" s="1871"/>
      <c r="F150" s="1863">
        <v>0.05</v>
      </c>
    </row>
    <row r="151" spans="1:6" ht="24.6" thickBot="1">
      <c r="A151" s="1857" t="s">
        <v>1408</v>
      </c>
      <c r="B151" s="1861" t="s">
        <v>2119</v>
      </c>
      <c r="C151" s="1871"/>
      <c r="D151" s="1871"/>
      <c r="E151" s="1871"/>
      <c r="F151" s="1863">
        <v>0.05</v>
      </c>
    </row>
    <row r="152" spans="1:6" ht="24.6" thickBot="1">
      <c r="A152" s="1857" t="s">
        <v>1408</v>
      </c>
      <c r="B152" s="1861" t="s">
        <v>1390</v>
      </c>
      <c r="C152" s="1871"/>
      <c r="D152" s="1871"/>
      <c r="E152" s="1871"/>
      <c r="F152" s="1863">
        <v>0.05</v>
      </c>
    </row>
    <row r="153" spans="1:6" ht="15" thickBot="1">
      <c r="A153" s="1857" t="s">
        <v>1408</v>
      </c>
      <c r="B153" s="1861" t="s">
        <v>2120</v>
      </c>
      <c r="C153" s="1871"/>
      <c r="D153" s="1871"/>
      <c r="E153" s="1871"/>
      <c r="F153" s="1863">
        <v>0.05</v>
      </c>
    </row>
    <row r="154" spans="1:6" ht="15" thickBot="1">
      <c r="A154" s="1857" t="s">
        <v>1408</v>
      </c>
      <c r="B154" s="1861" t="s">
        <v>2121</v>
      </c>
      <c r="C154" s="1871"/>
      <c r="D154" s="1871"/>
      <c r="E154" s="1871"/>
      <c r="F154" s="1863">
        <v>0.05</v>
      </c>
    </row>
    <row r="155" spans="1:6" ht="24.6" thickBot="1">
      <c r="A155" s="1857" t="s">
        <v>1408</v>
      </c>
      <c r="B155" s="1861" t="s">
        <v>2122</v>
      </c>
      <c r="C155" s="1871"/>
      <c r="D155" s="1871"/>
      <c r="E155" s="1871"/>
      <c r="F155" s="1863">
        <v>0.05</v>
      </c>
    </row>
    <row r="156" spans="1:6" ht="24.6" thickBot="1">
      <c r="A156" s="1857" t="s">
        <v>1408</v>
      </c>
      <c r="B156" s="1861" t="s">
        <v>2123</v>
      </c>
      <c r="C156" s="1871"/>
      <c r="D156" s="1871"/>
      <c r="E156" s="1871"/>
      <c r="F156" s="1863">
        <v>0.05</v>
      </c>
    </row>
    <row r="157" spans="1:6" ht="24.6" thickBot="1">
      <c r="A157" s="1865" t="s">
        <v>1408</v>
      </c>
      <c r="B157" s="1872" t="s">
        <v>2124</v>
      </c>
      <c r="C157" s="1868"/>
      <c r="D157" s="1868"/>
      <c r="E157" s="1868"/>
      <c r="F157" s="1873">
        <v>0.05</v>
      </c>
    </row>
    <row r="158" spans="1:6" ht="15" thickBot="1">
      <c r="A158" s="1857" t="s">
        <v>1410</v>
      </c>
      <c r="B158" s="1858" t="s">
        <v>2125</v>
      </c>
      <c r="C158" s="1859">
        <v>0.13</v>
      </c>
      <c r="D158" s="1859">
        <v>0.13</v>
      </c>
      <c r="E158" s="1859">
        <v>0.13</v>
      </c>
      <c r="F158" s="1860">
        <v>0.13</v>
      </c>
    </row>
    <row r="159" spans="1:6" ht="15" thickBot="1">
      <c r="A159" s="1857" t="s">
        <v>1410</v>
      </c>
      <c r="B159" s="1861" t="s">
        <v>1075</v>
      </c>
      <c r="C159" s="1862">
        <v>0.13</v>
      </c>
      <c r="D159" s="1862">
        <v>0.13</v>
      </c>
      <c r="E159" s="1862">
        <v>0.13</v>
      </c>
      <c r="F159" s="1863">
        <v>0.13</v>
      </c>
    </row>
    <row r="160" spans="1:6" ht="15" thickBot="1">
      <c r="A160" s="1857" t="s">
        <v>1410</v>
      </c>
      <c r="B160" s="1861" t="s">
        <v>1089</v>
      </c>
      <c r="C160" s="1862">
        <v>0.13</v>
      </c>
      <c r="D160" s="1862">
        <v>0.13</v>
      </c>
      <c r="E160" s="1862">
        <v>0.129</v>
      </c>
      <c r="F160" s="1863">
        <v>0.13</v>
      </c>
    </row>
    <row r="161" spans="1:6" ht="15" thickBot="1">
      <c r="A161" s="1857" t="s">
        <v>1410</v>
      </c>
      <c r="B161" s="1861" t="s">
        <v>1102</v>
      </c>
      <c r="C161" s="1862">
        <v>0.128</v>
      </c>
      <c r="D161" s="1862">
        <v>0.128</v>
      </c>
      <c r="E161" s="1862">
        <v>0.125</v>
      </c>
      <c r="F161" s="1863">
        <v>0.13</v>
      </c>
    </row>
    <row r="162" spans="1:6" ht="15" thickBot="1">
      <c r="A162" s="1857" t="s">
        <v>1410</v>
      </c>
      <c r="B162" s="1861" t="s">
        <v>1116</v>
      </c>
      <c r="C162" s="1862">
        <v>0.122</v>
      </c>
      <c r="D162" s="1862">
        <v>0.122</v>
      </c>
      <c r="E162" s="1862">
        <v>0.126</v>
      </c>
      <c r="F162" s="1863">
        <v>0.122</v>
      </c>
    </row>
    <row r="163" spans="1:6" ht="15" thickBot="1">
      <c r="A163" s="1857" t="s">
        <v>1410</v>
      </c>
      <c r="B163" s="1861" t="s">
        <v>1127</v>
      </c>
      <c r="C163" s="1862">
        <v>0.13</v>
      </c>
      <c r="D163" s="1862">
        <v>0.13</v>
      </c>
      <c r="E163" s="1862">
        <v>0.125</v>
      </c>
      <c r="F163" s="1863">
        <v>0.13</v>
      </c>
    </row>
    <row r="164" spans="1:6" ht="15" thickBot="1">
      <c r="A164" s="1857" t="s">
        <v>1410</v>
      </c>
      <c r="B164" s="1861" t="s">
        <v>1138</v>
      </c>
      <c r="C164" s="1862">
        <v>0.13</v>
      </c>
      <c r="D164" s="1862">
        <v>0.13</v>
      </c>
      <c r="E164" s="1862">
        <v>0.13</v>
      </c>
      <c r="F164" s="1863">
        <v>0.13</v>
      </c>
    </row>
    <row r="165" spans="1:6" ht="15" thickBot="1">
      <c r="A165" s="1857" t="s">
        <v>1410</v>
      </c>
      <c r="B165" s="1861" t="s">
        <v>1149</v>
      </c>
      <c r="C165" s="1862">
        <v>0.13</v>
      </c>
      <c r="D165" s="1862">
        <v>0.13</v>
      </c>
      <c r="E165" s="1862">
        <v>0.124</v>
      </c>
      <c r="F165" s="1863">
        <v>0.13</v>
      </c>
    </row>
    <row r="166" spans="1:6" ht="15" thickBot="1">
      <c r="A166" s="1857" t="s">
        <v>1410</v>
      </c>
      <c r="B166" s="1861" t="s">
        <v>1161</v>
      </c>
      <c r="C166" s="1862">
        <v>0.13</v>
      </c>
      <c r="D166" s="1862">
        <v>0.13</v>
      </c>
      <c r="E166" s="1862">
        <v>0.13</v>
      </c>
      <c r="F166" s="1863">
        <v>0.13</v>
      </c>
    </row>
    <row r="167" spans="1:6" ht="15" thickBot="1">
      <c r="A167" s="1857" t="s">
        <v>1410</v>
      </c>
      <c r="B167" s="1861" t="s">
        <v>1171</v>
      </c>
      <c r="C167" s="1862">
        <v>0.125</v>
      </c>
      <c r="D167" s="1862">
        <v>0.125</v>
      </c>
      <c r="E167" s="1862">
        <v>0.121</v>
      </c>
      <c r="F167" s="1870"/>
    </row>
    <row r="168" spans="1:6" ht="15" thickBot="1">
      <c r="A168" s="1857" t="s">
        <v>1410</v>
      </c>
      <c r="B168" s="1861" t="s">
        <v>1181</v>
      </c>
      <c r="C168" s="1862">
        <v>0.13</v>
      </c>
      <c r="D168" s="1862">
        <v>0.13</v>
      </c>
      <c r="E168" s="1862">
        <v>0.126</v>
      </c>
      <c r="F168" s="1870"/>
    </row>
    <row r="169" spans="1:6" ht="15" thickBot="1">
      <c r="A169" s="1857" t="s">
        <v>1410</v>
      </c>
      <c r="B169" s="1861" t="s">
        <v>1191</v>
      </c>
      <c r="C169" s="1862">
        <v>0.128</v>
      </c>
      <c r="D169" s="1862">
        <v>0.129</v>
      </c>
      <c r="E169" s="1862">
        <v>0.13</v>
      </c>
      <c r="F169" s="1870"/>
    </row>
    <row r="170" spans="1:6" ht="15" thickBot="1">
      <c r="A170" s="1857" t="s">
        <v>1410</v>
      </c>
      <c r="B170" s="1861" t="s">
        <v>1201</v>
      </c>
      <c r="C170" s="1862">
        <v>0.14099999999999999</v>
      </c>
      <c r="D170" s="1862">
        <v>0.13</v>
      </c>
      <c r="E170" s="1862">
        <v>0.125</v>
      </c>
      <c r="F170" s="1870"/>
    </row>
    <row r="171" spans="1:6" ht="15" thickBot="1">
      <c r="A171" s="1857" t="s">
        <v>1410</v>
      </c>
      <c r="B171" s="1861" t="s">
        <v>2126</v>
      </c>
      <c r="C171" s="1862">
        <v>0.127</v>
      </c>
      <c r="D171" s="1862">
        <v>0.126</v>
      </c>
      <c r="E171" s="1862">
        <v>0.126</v>
      </c>
      <c r="F171" s="1863">
        <v>0.11799999999999999</v>
      </c>
    </row>
    <row r="172" spans="1:6" ht="15" thickBot="1">
      <c r="A172" s="1857" t="s">
        <v>1410</v>
      </c>
      <c r="B172" s="1861" t="s">
        <v>2127</v>
      </c>
      <c r="C172" s="1862">
        <v>0.13</v>
      </c>
      <c r="D172" s="1862">
        <v>0.13</v>
      </c>
      <c r="E172" s="1862">
        <v>0.13</v>
      </c>
      <c r="F172" s="1870"/>
    </row>
    <row r="173" spans="1:6" ht="15" thickBot="1">
      <c r="A173" s="1857" t="s">
        <v>1410</v>
      </c>
      <c r="B173" s="1861" t="s">
        <v>1231</v>
      </c>
      <c r="C173" s="1862">
        <v>0.13</v>
      </c>
      <c r="D173" s="1862">
        <v>0.13</v>
      </c>
      <c r="E173" s="1862">
        <v>0.13</v>
      </c>
      <c r="F173" s="1870"/>
    </row>
    <row r="174" spans="1:6" ht="15" thickBot="1">
      <c r="A174" s="1857" t="s">
        <v>1410</v>
      </c>
      <c r="B174" s="1861" t="s">
        <v>2128</v>
      </c>
      <c r="C174" s="1862">
        <v>0.13</v>
      </c>
      <c r="D174" s="1862">
        <v>0.13</v>
      </c>
      <c r="E174" s="1862">
        <v>0.13</v>
      </c>
      <c r="F174" s="1863">
        <v>0.13</v>
      </c>
    </row>
    <row r="175" spans="1:6" ht="15" thickBot="1">
      <c r="A175" s="1857" t="s">
        <v>1410</v>
      </c>
      <c r="B175" s="1861" t="s">
        <v>2129</v>
      </c>
      <c r="C175" s="1862">
        <v>0.13</v>
      </c>
      <c r="D175" s="1862">
        <v>0.13</v>
      </c>
      <c r="E175" s="1862">
        <v>0.13</v>
      </c>
      <c r="F175" s="1863">
        <v>0.13</v>
      </c>
    </row>
    <row r="176" spans="1:6" ht="15" thickBot="1">
      <c r="A176" s="1857" t="s">
        <v>1410</v>
      </c>
      <c r="B176" s="1861" t="s">
        <v>1261</v>
      </c>
      <c r="C176" s="1862">
        <v>0.13</v>
      </c>
      <c r="D176" s="1862">
        <v>0.13</v>
      </c>
      <c r="E176" s="1862">
        <v>0.13</v>
      </c>
      <c r="F176" s="1863">
        <v>0.13</v>
      </c>
    </row>
    <row r="177" spans="1:6" ht="15" thickBot="1">
      <c r="A177" s="1857" t="s">
        <v>1410</v>
      </c>
      <c r="B177" s="1861" t="s">
        <v>2130</v>
      </c>
      <c r="C177" s="1862">
        <v>0.13</v>
      </c>
      <c r="D177" s="1862">
        <v>0.13</v>
      </c>
      <c r="E177" s="1862">
        <v>0.13</v>
      </c>
      <c r="F177" s="1863">
        <v>0.13</v>
      </c>
    </row>
    <row r="178" spans="1:6" ht="15" thickBot="1">
      <c r="A178" s="1857" t="s">
        <v>1410</v>
      </c>
      <c r="B178" s="1861" t="s">
        <v>1279</v>
      </c>
      <c r="C178" s="1862">
        <v>0.13</v>
      </c>
      <c r="D178" s="1862">
        <v>0.13</v>
      </c>
      <c r="E178" s="1862">
        <v>0.13</v>
      </c>
      <c r="F178" s="1863">
        <v>0.127</v>
      </c>
    </row>
    <row r="179" spans="1:6" ht="15" thickBot="1">
      <c r="A179" s="1857" t="s">
        <v>1410</v>
      </c>
      <c r="B179" s="1861" t="s">
        <v>1287</v>
      </c>
      <c r="C179" s="1862">
        <v>0.13</v>
      </c>
      <c r="D179" s="1862">
        <v>0.13</v>
      </c>
      <c r="E179" s="1862">
        <v>0.13</v>
      </c>
      <c r="F179" s="1870"/>
    </row>
    <row r="180" spans="1:6" ht="15" thickBot="1">
      <c r="A180" s="1857" t="s">
        <v>1410</v>
      </c>
      <c r="B180" s="1861" t="s">
        <v>2131</v>
      </c>
      <c r="C180" s="1862">
        <v>0.13</v>
      </c>
      <c r="D180" s="1862">
        <v>0.13</v>
      </c>
      <c r="E180" s="1862">
        <v>0.125</v>
      </c>
      <c r="F180" s="1863">
        <v>0.13</v>
      </c>
    </row>
    <row r="181" spans="1:6" ht="15" thickBot="1">
      <c r="A181" s="1857" t="s">
        <v>1410</v>
      </c>
      <c r="B181" s="1861" t="s">
        <v>1301</v>
      </c>
      <c r="C181" s="1862">
        <v>0.122</v>
      </c>
      <c r="D181" s="1862">
        <v>0.123</v>
      </c>
      <c r="E181" s="1862">
        <v>0.126</v>
      </c>
      <c r="F181" s="1863">
        <v>0.121</v>
      </c>
    </row>
    <row r="182" spans="1:6" ht="15" thickBot="1">
      <c r="A182" s="1857" t="s">
        <v>1410</v>
      </c>
      <c r="B182" s="1861" t="s">
        <v>1308</v>
      </c>
      <c r="C182" s="1862">
        <v>0.125</v>
      </c>
      <c r="D182" s="1862">
        <v>0.125</v>
      </c>
      <c r="E182" s="1862">
        <v>0.11700000000000001</v>
      </c>
      <c r="F182" s="1863">
        <v>0.13</v>
      </c>
    </row>
    <row r="183" spans="1:6" ht="15" thickBot="1">
      <c r="A183" s="1857" t="s">
        <v>1410</v>
      </c>
      <c r="B183" s="1861" t="s">
        <v>1315</v>
      </c>
      <c r="C183" s="1862">
        <v>0.127</v>
      </c>
      <c r="D183" s="1862">
        <v>0.127</v>
      </c>
      <c r="E183" s="1862">
        <v>0.128</v>
      </c>
      <c r="F183" s="1870"/>
    </row>
    <row r="184" spans="1:6" ht="15" thickBot="1">
      <c r="A184" s="1857" t="s">
        <v>1410</v>
      </c>
      <c r="B184" s="1861" t="s">
        <v>1322</v>
      </c>
      <c r="C184" s="1862">
        <v>0.125</v>
      </c>
      <c r="D184" s="1862">
        <v>0.125</v>
      </c>
      <c r="E184" s="1862">
        <v>0.127</v>
      </c>
      <c r="F184" s="1870"/>
    </row>
    <row r="185" spans="1:6" ht="15" thickBot="1">
      <c r="A185" s="1857" t="s">
        <v>1410</v>
      </c>
      <c r="B185" s="1861" t="s">
        <v>2132</v>
      </c>
      <c r="C185" s="1862">
        <v>0.127</v>
      </c>
      <c r="D185" s="1862">
        <v>0.127</v>
      </c>
      <c r="E185" s="1862">
        <v>0.128</v>
      </c>
      <c r="F185" s="1863">
        <v>0.13</v>
      </c>
    </row>
    <row r="186" spans="1:6" ht="24.6" thickBot="1">
      <c r="A186" s="1857" t="s">
        <v>1410</v>
      </c>
      <c r="B186" s="1861" t="s">
        <v>2133</v>
      </c>
      <c r="C186" s="1871"/>
      <c r="D186" s="1871"/>
      <c r="E186" s="1871"/>
      <c r="F186" s="1863">
        <v>0.05</v>
      </c>
    </row>
    <row r="187" spans="1:6" ht="15" thickBot="1">
      <c r="A187" s="1857" t="s">
        <v>1410</v>
      </c>
      <c r="B187" s="1861" t="s">
        <v>2134</v>
      </c>
      <c r="C187" s="1871"/>
      <c r="D187" s="1871"/>
      <c r="E187" s="1871"/>
      <c r="F187" s="1863">
        <v>0.05</v>
      </c>
    </row>
    <row r="188" spans="1:6" ht="24.6" thickBot="1">
      <c r="A188" s="1857" t="s">
        <v>1410</v>
      </c>
      <c r="B188" s="1861" t="s">
        <v>2135</v>
      </c>
      <c r="C188" s="1871"/>
      <c r="D188" s="1871"/>
      <c r="E188" s="1871"/>
      <c r="F188" s="1863">
        <v>0.05</v>
      </c>
    </row>
    <row r="189" spans="1:6" ht="24.6" thickBot="1">
      <c r="A189" s="1857" t="s">
        <v>1410</v>
      </c>
      <c r="B189" s="1861" t="s">
        <v>2136</v>
      </c>
      <c r="C189" s="1871"/>
      <c r="D189" s="1871"/>
      <c r="E189" s="1871"/>
      <c r="F189" s="1863">
        <v>0.05</v>
      </c>
    </row>
    <row r="190" spans="1:6" ht="24.6" thickBot="1">
      <c r="A190" s="1857" t="s">
        <v>1410</v>
      </c>
      <c r="B190" s="1861" t="s">
        <v>2137</v>
      </c>
      <c r="C190" s="1871"/>
      <c r="D190" s="1871"/>
      <c r="E190" s="1871"/>
      <c r="F190" s="1863">
        <v>0.05</v>
      </c>
    </row>
    <row r="191" spans="1:6" ht="24.6" thickBot="1">
      <c r="A191" s="1857" t="s">
        <v>1410</v>
      </c>
      <c r="B191" s="1861" t="s">
        <v>2138</v>
      </c>
      <c r="C191" s="1871"/>
      <c r="D191" s="1871"/>
      <c r="E191" s="1871"/>
      <c r="F191" s="1863">
        <v>0.05</v>
      </c>
    </row>
    <row r="192" spans="1:6" ht="24.6" thickBot="1">
      <c r="A192" s="1857" t="s">
        <v>1410</v>
      </c>
      <c r="B192" s="1861" t="s">
        <v>2139</v>
      </c>
      <c r="C192" s="1871"/>
      <c r="D192" s="1871"/>
      <c r="E192" s="1871"/>
      <c r="F192" s="1863">
        <v>0.05</v>
      </c>
    </row>
    <row r="193" spans="1:6" ht="24.6" thickBot="1">
      <c r="A193" s="1857" t="s">
        <v>1410</v>
      </c>
      <c r="B193" s="1861" t="s">
        <v>2140</v>
      </c>
      <c r="C193" s="1871"/>
      <c r="D193" s="1871"/>
      <c r="E193" s="1871"/>
      <c r="F193" s="1863">
        <v>0.05</v>
      </c>
    </row>
    <row r="194" spans="1:6" ht="24.6" thickBot="1">
      <c r="A194" s="1857" t="s">
        <v>1410</v>
      </c>
      <c r="B194" s="1861" t="s">
        <v>2141</v>
      </c>
      <c r="C194" s="1871"/>
      <c r="D194" s="1871"/>
      <c r="E194" s="1871"/>
      <c r="F194" s="1863">
        <v>0.05</v>
      </c>
    </row>
    <row r="195" spans="1:6" ht="15" thickBot="1">
      <c r="A195" s="1857" t="s">
        <v>1410</v>
      </c>
      <c r="B195" s="1861" t="s">
        <v>2142</v>
      </c>
      <c r="C195" s="1871"/>
      <c r="D195" s="1871"/>
      <c r="E195" s="1871"/>
      <c r="F195" s="1863">
        <v>0.05</v>
      </c>
    </row>
    <row r="196" spans="1:6" ht="24.6" thickBot="1">
      <c r="A196" s="1857" t="s">
        <v>1410</v>
      </c>
      <c r="B196" s="1861" t="s">
        <v>2143</v>
      </c>
      <c r="C196" s="1871"/>
      <c r="D196" s="1871"/>
      <c r="E196" s="1871"/>
      <c r="F196" s="1863">
        <v>0.05</v>
      </c>
    </row>
    <row r="197" spans="1:6" ht="24.6" thickBot="1">
      <c r="A197" s="1857" t="s">
        <v>1410</v>
      </c>
      <c r="B197" s="1861" t="s">
        <v>2144</v>
      </c>
      <c r="C197" s="1871"/>
      <c r="D197" s="1871"/>
      <c r="E197" s="1871"/>
      <c r="F197" s="1863">
        <v>0.05</v>
      </c>
    </row>
    <row r="198" spans="1:6" ht="24.6" thickBot="1">
      <c r="A198" s="1857" t="s">
        <v>1410</v>
      </c>
      <c r="B198" s="1861" t="s">
        <v>2145</v>
      </c>
      <c r="C198" s="1871"/>
      <c r="D198" s="1871"/>
      <c r="E198" s="1871"/>
      <c r="F198" s="1863">
        <v>0.05</v>
      </c>
    </row>
    <row r="199" spans="1:6" ht="24.6" thickBot="1">
      <c r="A199" s="1857" t="s">
        <v>1410</v>
      </c>
      <c r="B199" s="1861" t="s">
        <v>2146</v>
      </c>
      <c r="C199" s="1871"/>
      <c r="D199" s="1871"/>
      <c r="E199" s="1871"/>
      <c r="F199" s="1863">
        <v>0.05</v>
      </c>
    </row>
    <row r="200" spans="1:6" ht="24.6" thickBot="1">
      <c r="A200" s="1857" t="s">
        <v>1410</v>
      </c>
      <c r="B200" s="1861" t="s">
        <v>2147</v>
      </c>
      <c r="C200" s="1871"/>
      <c r="D200" s="1871"/>
      <c r="E200" s="1871"/>
      <c r="F200" s="1863">
        <v>0.05</v>
      </c>
    </row>
    <row r="201" spans="1:6" ht="24.6" thickBot="1">
      <c r="A201" s="1857" t="s">
        <v>1410</v>
      </c>
      <c r="B201" s="1861" t="s">
        <v>2148</v>
      </c>
      <c r="C201" s="1871"/>
      <c r="D201" s="1871"/>
      <c r="E201" s="1871"/>
      <c r="F201" s="1863">
        <v>0.05</v>
      </c>
    </row>
    <row r="202" spans="1:6" ht="24.6" thickBot="1">
      <c r="A202" s="1857" t="s">
        <v>1410</v>
      </c>
      <c r="B202" s="1861" t="s">
        <v>2149</v>
      </c>
      <c r="C202" s="1871"/>
      <c r="D202" s="1871"/>
      <c r="E202" s="1871"/>
      <c r="F202" s="1863">
        <v>0.05</v>
      </c>
    </row>
    <row r="203" spans="1:6" ht="24.6" thickBot="1">
      <c r="A203" s="1857" t="s">
        <v>1410</v>
      </c>
      <c r="B203" s="1861" t="s">
        <v>2150</v>
      </c>
      <c r="C203" s="1871"/>
      <c r="D203" s="1871"/>
      <c r="E203" s="1871"/>
      <c r="F203" s="1863">
        <v>0.05</v>
      </c>
    </row>
    <row r="204" spans="1:6" ht="15" thickBot="1">
      <c r="A204" s="1857" t="s">
        <v>1410</v>
      </c>
      <c r="B204" s="1861" t="s">
        <v>2151</v>
      </c>
      <c r="C204" s="1871"/>
      <c r="D204" s="1871"/>
      <c r="E204" s="1871"/>
      <c r="F204" s="1863">
        <v>0.05</v>
      </c>
    </row>
    <row r="205" spans="1:6" ht="15" thickBot="1">
      <c r="A205" s="1865" t="s">
        <v>1410</v>
      </c>
      <c r="B205" s="1872" t="s">
        <v>2152</v>
      </c>
      <c r="C205" s="1868"/>
      <c r="D205" s="1868"/>
      <c r="E205" s="1868"/>
      <c r="F205" s="1873">
        <v>0.05</v>
      </c>
    </row>
    <row r="206" spans="1:6" ht="15" thickBot="1">
      <c r="A206" s="1857" t="s">
        <v>1412</v>
      </c>
      <c r="B206" s="1858" t="s">
        <v>2153</v>
      </c>
      <c r="C206" s="1859">
        <v>0.15</v>
      </c>
      <c r="D206" s="1859">
        <v>0.15</v>
      </c>
      <c r="E206" s="1859">
        <v>0.15</v>
      </c>
      <c r="F206" s="1860">
        <v>0.15</v>
      </c>
    </row>
    <row r="207" spans="1:6" ht="15" thickBot="1">
      <c r="A207" s="1857" t="s">
        <v>1412</v>
      </c>
      <c r="B207" s="1861" t="s">
        <v>1076</v>
      </c>
      <c r="C207" s="1862">
        <v>0.15</v>
      </c>
      <c r="D207" s="1862">
        <v>0.15</v>
      </c>
      <c r="E207" s="1862">
        <v>0.15</v>
      </c>
      <c r="F207" s="1863">
        <v>0.14399999999999999</v>
      </c>
    </row>
    <row r="208" spans="1:6" ht="15" thickBot="1">
      <c r="A208" s="1857" t="s">
        <v>1412</v>
      </c>
      <c r="B208" s="1861" t="s">
        <v>1090</v>
      </c>
      <c r="C208" s="1862">
        <v>0.15</v>
      </c>
      <c r="D208" s="1862">
        <v>0.15</v>
      </c>
      <c r="E208" s="1862">
        <v>0.15</v>
      </c>
      <c r="F208" s="1863">
        <v>0.15</v>
      </c>
    </row>
    <row r="209" spans="1:6" ht="15" thickBot="1">
      <c r="A209" s="1857" t="s">
        <v>1412</v>
      </c>
      <c r="B209" s="1861" t="s">
        <v>1103</v>
      </c>
      <c r="C209" s="1862">
        <v>0.13700000000000001</v>
      </c>
      <c r="D209" s="1862">
        <v>0.13700000000000001</v>
      </c>
      <c r="E209" s="1862">
        <v>0.14000000000000001</v>
      </c>
      <c r="F209" s="1863">
        <v>0.11700000000000001</v>
      </c>
    </row>
    <row r="210" spans="1:6" ht="15" thickBot="1">
      <c r="A210" s="1857" t="s">
        <v>1412</v>
      </c>
      <c r="B210" s="1861" t="s">
        <v>2154</v>
      </c>
      <c r="C210" s="1862">
        <v>0.15</v>
      </c>
      <c r="D210" s="1862">
        <v>0.15</v>
      </c>
      <c r="E210" s="1862">
        <v>0.15</v>
      </c>
      <c r="F210" s="1863">
        <v>0.13800000000000001</v>
      </c>
    </row>
    <row r="211" spans="1:6" ht="15" thickBot="1">
      <c r="A211" s="1857" t="s">
        <v>1412</v>
      </c>
      <c r="B211" s="1861" t="s">
        <v>2155</v>
      </c>
      <c r="C211" s="1862">
        <v>0.13700000000000001</v>
      </c>
      <c r="D211" s="1862">
        <v>0.13500000000000001</v>
      </c>
      <c r="E211" s="1862">
        <v>0.13600000000000001</v>
      </c>
      <c r="F211" s="1863">
        <v>0.1</v>
      </c>
    </row>
    <row r="212" spans="1:6" ht="15" thickBot="1">
      <c r="A212" s="1857" t="s">
        <v>1412</v>
      </c>
      <c r="B212" s="1861" t="s">
        <v>2156</v>
      </c>
      <c r="C212" s="1862">
        <v>0.15</v>
      </c>
      <c r="D212" s="1862">
        <v>0.15</v>
      </c>
      <c r="E212" s="1862">
        <v>0.14799999999999999</v>
      </c>
      <c r="F212" s="1863">
        <v>0.13600000000000001</v>
      </c>
    </row>
    <row r="213" spans="1:6" ht="15" thickBot="1">
      <c r="A213" s="1857" t="s">
        <v>1412</v>
      </c>
      <c r="B213" s="1861" t="s">
        <v>1150</v>
      </c>
      <c r="C213" s="1862">
        <v>0.15</v>
      </c>
      <c r="D213" s="1862">
        <v>0.15</v>
      </c>
      <c r="E213" s="1862">
        <v>0.15</v>
      </c>
      <c r="F213" s="1863">
        <v>0.13800000000000001</v>
      </c>
    </row>
    <row r="214" spans="1:6" ht="15" thickBot="1">
      <c r="A214" s="1857" t="s">
        <v>1412</v>
      </c>
      <c r="B214" s="1861" t="s">
        <v>1162</v>
      </c>
      <c r="C214" s="1862">
        <v>9.0999999999999998E-2</v>
      </c>
      <c r="D214" s="1862">
        <v>0.09</v>
      </c>
      <c r="E214" s="1862">
        <v>9.1999999999999998E-2</v>
      </c>
      <c r="F214" s="1870"/>
    </row>
    <row r="215" spans="1:6" ht="15" thickBot="1">
      <c r="A215" s="1857" t="s">
        <v>1412</v>
      </c>
      <c r="B215" s="1861" t="s">
        <v>2157</v>
      </c>
      <c r="C215" s="1862">
        <v>0.15</v>
      </c>
      <c r="D215" s="1862">
        <v>0.15</v>
      </c>
      <c r="E215" s="1862">
        <v>0.15</v>
      </c>
      <c r="F215" s="1863">
        <v>0.15</v>
      </c>
    </row>
    <row r="216" spans="1:6" ht="15" thickBot="1">
      <c r="A216" s="1857" t="s">
        <v>1412</v>
      </c>
      <c r="B216" s="1861" t="s">
        <v>1182</v>
      </c>
      <c r="C216" s="1862">
        <v>0.14699999999999999</v>
      </c>
      <c r="D216" s="1862">
        <v>0.14699999999999999</v>
      </c>
      <c r="E216" s="1862">
        <v>0.15</v>
      </c>
      <c r="F216" s="1863">
        <v>0.14000000000000001</v>
      </c>
    </row>
    <row r="217" spans="1:6" ht="15" thickBot="1">
      <c r="A217" s="1857" t="s">
        <v>1412</v>
      </c>
      <c r="B217" s="1861" t="s">
        <v>1192</v>
      </c>
      <c r="C217" s="1862">
        <v>0.15</v>
      </c>
      <c r="D217" s="1862">
        <v>0.15</v>
      </c>
      <c r="E217" s="1862">
        <v>0.15</v>
      </c>
      <c r="F217" s="1863">
        <v>0.15</v>
      </c>
    </row>
    <row r="218" spans="1:6" ht="15" thickBot="1">
      <c r="A218" s="1857" t="s">
        <v>1412</v>
      </c>
      <c r="B218" s="1861" t="s">
        <v>2158</v>
      </c>
      <c r="C218" s="1862">
        <v>0.15</v>
      </c>
      <c r="D218" s="1862">
        <v>0.15</v>
      </c>
      <c r="E218" s="1862">
        <v>0.15</v>
      </c>
      <c r="F218" s="1863">
        <v>0.15</v>
      </c>
    </row>
    <row r="219" spans="1:6" ht="15" thickBot="1">
      <c r="A219" s="1857" t="s">
        <v>1412</v>
      </c>
      <c r="B219" s="1861" t="s">
        <v>1212</v>
      </c>
      <c r="C219" s="1862">
        <v>0.15</v>
      </c>
      <c r="D219" s="1862">
        <v>0.15</v>
      </c>
      <c r="E219" s="1862">
        <v>0.15</v>
      </c>
      <c r="F219" s="1863">
        <v>0.14799999999999999</v>
      </c>
    </row>
    <row r="220" spans="1:6" ht="15" thickBot="1">
      <c r="A220" s="1857" t="s">
        <v>1412</v>
      </c>
      <c r="B220" s="1861" t="s">
        <v>2159</v>
      </c>
      <c r="C220" s="1862">
        <v>0.15</v>
      </c>
      <c r="D220" s="1862">
        <v>0.15</v>
      </c>
      <c r="E220" s="1862">
        <v>0.15</v>
      </c>
      <c r="F220" s="1863">
        <v>0.15</v>
      </c>
    </row>
    <row r="221" spans="1:6" ht="15" thickBot="1">
      <c r="A221" s="1857" t="s">
        <v>1412</v>
      </c>
      <c r="B221" s="1861" t="s">
        <v>1232</v>
      </c>
      <c r="C221" s="1862"/>
      <c r="D221" s="1871"/>
      <c r="E221" s="1871"/>
      <c r="F221" s="1863">
        <v>0.14799999999999999</v>
      </c>
    </row>
    <row r="222" spans="1:6" ht="15" thickBot="1">
      <c r="A222" s="1857" t="s">
        <v>1412</v>
      </c>
      <c r="B222" s="1861" t="s">
        <v>1242</v>
      </c>
      <c r="C222" s="1862"/>
      <c r="D222" s="1871"/>
      <c r="E222" s="1871"/>
      <c r="F222" s="1863">
        <v>0.1</v>
      </c>
    </row>
    <row r="223" spans="1:6" ht="15" thickBot="1">
      <c r="A223" s="1857" t="s">
        <v>1412</v>
      </c>
      <c r="B223" s="1861" t="s">
        <v>1252</v>
      </c>
      <c r="C223" s="1862"/>
      <c r="D223" s="1871"/>
      <c r="E223" s="1871"/>
      <c r="F223" s="1863">
        <v>0.15</v>
      </c>
    </row>
    <row r="224" spans="1:6" ht="15" thickBot="1">
      <c r="A224" s="1857" t="s">
        <v>1412</v>
      </c>
      <c r="B224" s="1861" t="s">
        <v>1262</v>
      </c>
      <c r="C224" s="1862"/>
      <c r="D224" s="1871"/>
      <c r="E224" s="1871"/>
      <c r="F224" s="1863">
        <v>0.15</v>
      </c>
    </row>
    <row r="225" spans="1:6" ht="15" thickBot="1">
      <c r="A225" s="1857" t="s">
        <v>1412</v>
      </c>
      <c r="B225" s="1861" t="s">
        <v>2160</v>
      </c>
      <c r="C225" s="1862">
        <v>0.15</v>
      </c>
      <c r="D225" s="1862">
        <v>0.15</v>
      </c>
      <c r="E225" s="1862">
        <v>0.15</v>
      </c>
      <c r="F225" s="1863">
        <v>0.15</v>
      </c>
    </row>
    <row r="226" spans="1:6" ht="15" thickBot="1">
      <c r="A226" s="1857" t="s">
        <v>1412</v>
      </c>
      <c r="B226" s="1861" t="s">
        <v>1280</v>
      </c>
      <c r="C226" s="1862">
        <v>0.15</v>
      </c>
      <c r="D226" s="1862">
        <v>0.15</v>
      </c>
      <c r="E226" s="1862">
        <v>0.15</v>
      </c>
      <c r="F226" s="1863">
        <v>0.14799999999999999</v>
      </c>
    </row>
    <row r="227" spans="1:6" ht="15" thickBot="1">
      <c r="A227" s="1857" t="s">
        <v>1412</v>
      </c>
      <c r="B227" s="1861" t="s">
        <v>2161</v>
      </c>
      <c r="C227" s="1862">
        <v>0.15</v>
      </c>
      <c r="D227" s="1862">
        <v>0.15</v>
      </c>
      <c r="E227" s="1862">
        <v>0.15</v>
      </c>
      <c r="F227" s="1863">
        <v>0.15</v>
      </c>
    </row>
    <row r="228" spans="1:6" ht="15" thickBot="1">
      <c r="A228" s="1857" t="s">
        <v>1412</v>
      </c>
      <c r="B228" s="1861" t="s">
        <v>1295</v>
      </c>
      <c r="C228" s="1862">
        <v>0.15</v>
      </c>
      <c r="D228" s="1862">
        <v>0.15</v>
      </c>
      <c r="E228" s="1862">
        <v>0.15</v>
      </c>
      <c r="F228" s="1863">
        <v>0.15</v>
      </c>
    </row>
    <row r="229" spans="1:6" ht="15" thickBot="1">
      <c r="A229" s="1857" t="s">
        <v>1412</v>
      </c>
      <c r="B229" s="1861" t="s">
        <v>1302</v>
      </c>
      <c r="C229" s="1862">
        <v>0.15</v>
      </c>
      <c r="D229" s="1862">
        <v>0.15</v>
      </c>
      <c r="E229" s="1862">
        <v>0.15</v>
      </c>
      <c r="F229" s="1870"/>
    </row>
    <row r="230" spans="1:6" ht="15" thickBot="1">
      <c r="A230" s="1857" t="s">
        <v>1412</v>
      </c>
      <c r="B230" s="1861" t="s">
        <v>1309</v>
      </c>
      <c r="C230" s="1862">
        <v>0.14499999999999999</v>
      </c>
      <c r="D230" s="1862">
        <v>0.14499999999999999</v>
      </c>
      <c r="E230" s="1862">
        <v>0.14399999999999999</v>
      </c>
      <c r="F230" s="1870"/>
    </row>
    <row r="231" spans="1:6" ht="15" thickBot="1">
      <c r="A231" s="1857" t="s">
        <v>1412</v>
      </c>
      <c r="B231" s="1861" t="s">
        <v>2162</v>
      </c>
      <c r="C231" s="1862">
        <v>0.128</v>
      </c>
      <c r="D231" s="1862">
        <v>0.125</v>
      </c>
      <c r="E231" s="1862">
        <v>0.13200000000000001</v>
      </c>
      <c r="F231" s="1870"/>
    </row>
    <row r="232" spans="1:6" ht="15" thickBot="1">
      <c r="A232" s="1857" t="s">
        <v>1412</v>
      </c>
      <c r="B232" s="1861" t="s">
        <v>2163</v>
      </c>
      <c r="C232" s="1862">
        <v>0.14499999999999999</v>
      </c>
      <c r="D232" s="1862">
        <v>0.14399999999999999</v>
      </c>
      <c r="E232" s="1862">
        <v>0.14599999999999999</v>
      </c>
      <c r="F232" s="1863">
        <v>0.13800000000000001</v>
      </c>
    </row>
    <row r="233" spans="1:6" ht="15" thickBot="1">
      <c r="A233" s="1857" t="s">
        <v>1412</v>
      </c>
      <c r="B233" s="1861" t="s">
        <v>2164</v>
      </c>
      <c r="C233" s="1862">
        <v>0.14499999999999999</v>
      </c>
      <c r="D233" s="1862">
        <v>0.14299999999999999</v>
      </c>
      <c r="E233" s="1862">
        <v>0.14199999999999999</v>
      </c>
      <c r="F233" s="1870"/>
    </row>
    <row r="234" spans="1:6" ht="15" thickBot="1">
      <c r="A234" s="1857" t="s">
        <v>1412</v>
      </c>
      <c r="B234" s="1861" t="s">
        <v>2165</v>
      </c>
      <c r="C234" s="1862">
        <v>0.14000000000000001</v>
      </c>
      <c r="D234" s="1862">
        <v>0.14000000000000001</v>
      </c>
      <c r="E234" s="1862">
        <v>0.14399999999999999</v>
      </c>
      <c r="F234" s="1870"/>
    </row>
    <row r="235" spans="1:6" ht="15" thickBot="1">
      <c r="A235" s="1857" t="s">
        <v>1412</v>
      </c>
      <c r="B235" s="1861" t="s">
        <v>2166</v>
      </c>
      <c r="C235" s="1862">
        <v>0.14099999999999999</v>
      </c>
      <c r="D235" s="1862">
        <v>0.14199999999999999</v>
      </c>
      <c r="E235" s="1862">
        <v>0.14499999999999999</v>
      </c>
      <c r="F235" s="1863">
        <v>0.15</v>
      </c>
    </row>
    <row r="236" spans="1:6" ht="15" thickBot="1">
      <c r="A236" s="1857" t="s">
        <v>1412</v>
      </c>
      <c r="B236" s="1861" t="s">
        <v>1344</v>
      </c>
      <c r="C236" s="1871"/>
      <c r="D236" s="1871"/>
      <c r="E236" s="1871"/>
      <c r="F236" s="1863">
        <v>0.14299999999999999</v>
      </c>
    </row>
    <row r="237" spans="1:6" ht="24.6" thickBot="1">
      <c r="A237" s="1857" t="s">
        <v>1412</v>
      </c>
      <c r="B237" s="1861" t="s">
        <v>2167</v>
      </c>
      <c r="C237" s="1871"/>
      <c r="D237" s="1871"/>
      <c r="E237" s="1871"/>
      <c r="F237" s="1863">
        <v>0.05</v>
      </c>
    </row>
    <row r="238" spans="1:6" ht="24.6" thickBot="1">
      <c r="A238" s="1857" t="s">
        <v>1412</v>
      </c>
      <c r="B238" s="1861" t="s">
        <v>2168</v>
      </c>
      <c r="C238" s="1871"/>
      <c r="D238" s="1871"/>
      <c r="E238" s="1871"/>
      <c r="F238" s="1863">
        <v>0.05</v>
      </c>
    </row>
    <row r="239" spans="1:6" ht="24.6" thickBot="1">
      <c r="A239" s="1857" t="s">
        <v>1412</v>
      </c>
      <c r="B239" s="1861" t="s">
        <v>2169</v>
      </c>
      <c r="C239" s="1871"/>
      <c r="D239" s="1871"/>
      <c r="E239" s="1871"/>
      <c r="F239" s="1863">
        <v>0.05</v>
      </c>
    </row>
    <row r="240" spans="1:6" ht="24.6" thickBot="1">
      <c r="A240" s="1857" t="s">
        <v>1412</v>
      </c>
      <c r="B240" s="1861" t="s">
        <v>2170</v>
      </c>
      <c r="C240" s="1871"/>
      <c r="D240" s="1871"/>
      <c r="E240" s="1871"/>
      <c r="F240" s="1863">
        <v>0.05</v>
      </c>
    </row>
    <row r="241" spans="1:6" ht="24.6" thickBot="1">
      <c r="A241" s="1857" t="s">
        <v>1412</v>
      </c>
      <c r="B241" s="1861" t="s">
        <v>2171</v>
      </c>
      <c r="C241" s="1871"/>
      <c r="D241" s="1871"/>
      <c r="E241" s="1871"/>
      <c r="F241" s="1863">
        <v>0.05</v>
      </c>
    </row>
    <row r="242" spans="1:6" ht="24.6" thickBot="1">
      <c r="A242" s="1857" t="s">
        <v>1412</v>
      </c>
      <c r="B242" s="1861" t="s">
        <v>2172</v>
      </c>
      <c r="C242" s="1871"/>
      <c r="D242" s="1871"/>
      <c r="E242" s="1871"/>
      <c r="F242" s="1863">
        <v>0.05</v>
      </c>
    </row>
    <row r="243" spans="1:6" ht="24.6" thickBot="1">
      <c r="A243" s="1857" t="s">
        <v>1412</v>
      </c>
      <c r="B243" s="1861" t="s">
        <v>2173</v>
      </c>
      <c r="C243" s="1871"/>
      <c r="D243" s="1871"/>
      <c r="E243" s="1871"/>
      <c r="F243" s="1863">
        <v>0.05</v>
      </c>
    </row>
    <row r="244" spans="1:6" ht="24.6" thickBot="1">
      <c r="A244" s="1865" t="s">
        <v>1412</v>
      </c>
      <c r="B244" s="1872" t="s">
        <v>2174</v>
      </c>
      <c r="C244" s="1868"/>
      <c r="D244" s="1868"/>
      <c r="E244" s="1868"/>
      <c r="F244" s="1873">
        <v>0.05</v>
      </c>
    </row>
    <row r="245" spans="1:6" ht="15" thickBot="1">
      <c r="A245" s="1857" t="s">
        <v>1414</v>
      </c>
      <c r="B245" s="1858" t="s">
        <v>2175</v>
      </c>
      <c r="C245" s="1859">
        <v>0.15</v>
      </c>
      <c r="D245" s="1859">
        <v>0.15</v>
      </c>
      <c r="E245" s="1859">
        <v>0.15</v>
      </c>
      <c r="F245" s="1860">
        <v>0.14299999999999999</v>
      </c>
    </row>
    <row r="246" spans="1:6" ht="15" thickBot="1">
      <c r="A246" s="1857" t="s">
        <v>1414</v>
      </c>
      <c r="B246" s="1861" t="s">
        <v>1077</v>
      </c>
      <c r="C246" s="1862">
        <v>0.15</v>
      </c>
      <c r="D246" s="1862">
        <v>0.15</v>
      </c>
      <c r="E246" s="1862">
        <v>0.15</v>
      </c>
      <c r="F246" s="1863">
        <v>0.114</v>
      </c>
    </row>
    <row r="247" spans="1:6" ht="15" thickBot="1">
      <c r="A247" s="1857" t="s">
        <v>1414</v>
      </c>
      <c r="B247" s="1861" t="s">
        <v>2176</v>
      </c>
      <c r="C247" s="1862">
        <v>0.15</v>
      </c>
      <c r="D247" s="1862">
        <v>0.15</v>
      </c>
      <c r="E247" s="1862">
        <v>0.15</v>
      </c>
      <c r="F247" s="1863">
        <v>0.15</v>
      </c>
    </row>
    <row r="248" spans="1:6" ht="15" thickBot="1">
      <c r="A248" s="1857" t="s">
        <v>1414</v>
      </c>
      <c r="B248" s="1861" t="s">
        <v>2177</v>
      </c>
      <c r="C248" s="1862">
        <v>0.15</v>
      </c>
      <c r="D248" s="1862">
        <v>0.15</v>
      </c>
      <c r="E248" s="1862">
        <v>0.15</v>
      </c>
      <c r="F248" s="1863">
        <v>0.14000000000000001</v>
      </c>
    </row>
    <row r="249" spans="1:6" ht="15" thickBot="1">
      <c r="A249" s="1857" t="s">
        <v>1414</v>
      </c>
      <c r="B249" s="1861" t="s">
        <v>2178</v>
      </c>
      <c r="C249" s="1862">
        <v>0.15</v>
      </c>
      <c r="D249" s="1862">
        <v>0.14899999999999999</v>
      </c>
      <c r="E249" s="1862">
        <v>0.15</v>
      </c>
      <c r="F249" s="1863">
        <v>0.1</v>
      </c>
    </row>
    <row r="250" spans="1:6" ht="15" thickBot="1">
      <c r="A250" s="1857" t="s">
        <v>1414</v>
      </c>
      <c r="B250" s="1861" t="s">
        <v>2179</v>
      </c>
      <c r="C250" s="1862">
        <v>0.15</v>
      </c>
      <c r="D250" s="1862">
        <v>0.15</v>
      </c>
      <c r="E250" s="1862">
        <v>0.15</v>
      </c>
      <c r="F250" s="1863">
        <v>0.14399999999999999</v>
      </c>
    </row>
    <row r="251" spans="1:6" ht="15" thickBot="1">
      <c r="A251" s="1857" t="s">
        <v>1414</v>
      </c>
      <c r="B251" s="1861" t="s">
        <v>1140</v>
      </c>
      <c r="C251" s="1862">
        <v>0.15</v>
      </c>
      <c r="D251" s="1862">
        <v>0.15</v>
      </c>
      <c r="E251" s="1862">
        <v>0.15</v>
      </c>
      <c r="F251" s="1863">
        <v>0.14299999999999999</v>
      </c>
    </row>
    <row r="252" spans="1:6" ht="15" thickBot="1">
      <c r="A252" s="1857" t="s">
        <v>1414</v>
      </c>
      <c r="B252" s="1861" t="s">
        <v>1151</v>
      </c>
      <c r="C252" s="1862">
        <v>0.15</v>
      </c>
      <c r="D252" s="1862">
        <v>0.15</v>
      </c>
      <c r="E252" s="1862">
        <v>0.15</v>
      </c>
      <c r="F252" s="1863">
        <v>0.1</v>
      </c>
    </row>
    <row r="253" spans="1:6" ht="15" thickBot="1">
      <c r="A253" s="1857" t="s">
        <v>1414</v>
      </c>
      <c r="B253" s="1861" t="s">
        <v>1163</v>
      </c>
      <c r="C253" s="1862">
        <v>0.15</v>
      </c>
      <c r="D253" s="1862">
        <v>0.15</v>
      </c>
      <c r="E253" s="1862">
        <v>0.15</v>
      </c>
      <c r="F253" s="1863">
        <v>0.1</v>
      </c>
    </row>
    <row r="254" spans="1:6" ht="15" thickBot="1">
      <c r="A254" s="1857" t="s">
        <v>1414</v>
      </c>
      <c r="B254" s="1861" t="s">
        <v>1173</v>
      </c>
      <c r="C254" s="1871"/>
      <c r="D254" s="1871"/>
      <c r="E254" s="1871"/>
      <c r="F254" s="1863">
        <v>0.15</v>
      </c>
    </row>
    <row r="255" spans="1:6" ht="15" thickBot="1">
      <c r="A255" s="1857" t="s">
        <v>1414</v>
      </c>
      <c r="B255" s="1861" t="s">
        <v>1183</v>
      </c>
      <c r="C255" s="1871"/>
      <c r="D255" s="1871"/>
      <c r="E255" s="1871"/>
      <c r="F255" s="1863">
        <v>0.14299999999999999</v>
      </c>
    </row>
    <row r="256" spans="1:6" ht="15" thickBot="1">
      <c r="A256" s="1857" t="s">
        <v>1414</v>
      </c>
      <c r="B256" s="1861" t="s">
        <v>2180</v>
      </c>
      <c r="C256" s="1862">
        <v>0.14599999999999999</v>
      </c>
      <c r="D256" s="1862">
        <v>0.14699999999999999</v>
      </c>
      <c r="E256" s="1862">
        <v>0.15</v>
      </c>
      <c r="F256" s="1863">
        <v>0.13200000000000001</v>
      </c>
    </row>
    <row r="257" spans="1:6" ht="15" thickBot="1">
      <c r="A257" s="1857" t="s">
        <v>1414</v>
      </c>
      <c r="B257" s="1861" t="s">
        <v>1203</v>
      </c>
      <c r="C257" s="1862">
        <v>0.15</v>
      </c>
      <c r="D257" s="1862">
        <v>0.15</v>
      </c>
      <c r="E257" s="1862">
        <v>0.15</v>
      </c>
      <c r="F257" s="1863">
        <v>0.13900000000000001</v>
      </c>
    </row>
    <row r="258" spans="1:6" ht="15" thickBot="1">
      <c r="A258" s="1857" t="s">
        <v>1414</v>
      </c>
      <c r="B258" s="1861" t="s">
        <v>1213</v>
      </c>
      <c r="C258" s="1862">
        <v>0.15</v>
      </c>
      <c r="D258" s="1862">
        <v>0.15</v>
      </c>
      <c r="E258" s="1862">
        <v>0.15</v>
      </c>
      <c r="F258" s="1863">
        <v>0.13</v>
      </c>
    </row>
    <row r="259" spans="1:6" ht="15" thickBot="1">
      <c r="A259" s="1857" t="s">
        <v>1414</v>
      </c>
      <c r="B259" s="1861" t="s">
        <v>2181</v>
      </c>
      <c r="C259" s="1862">
        <v>0.14799999999999999</v>
      </c>
      <c r="D259" s="1862">
        <v>0.14899999999999999</v>
      </c>
      <c r="E259" s="1862">
        <v>0.15</v>
      </c>
      <c r="F259" s="1863">
        <v>0.13700000000000001</v>
      </c>
    </row>
    <row r="260" spans="1:6" ht="15" thickBot="1">
      <c r="A260" s="1857" t="s">
        <v>1414</v>
      </c>
      <c r="B260" s="1861" t="s">
        <v>1233</v>
      </c>
      <c r="C260" s="1862">
        <v>0.15</v>
      </c>
      <c r="D260" s="1862">
        <v>0.15</v>
      </c>
      <c r="E260" s="1862">
        <v>0.15</v>
      </c>
      <c r="F260" s="1863">
        <v>0.14199999999999999</v>
      </c>
    </row>
    <row r="261" spans="1:6" ht="15" thickBot="1">
      <c r="A261" s="1857" t="s">
        <v>1414</v>
      </c>
      <c r="B261" s="1861" t="s">
        <v>1243</v>
      </c>
      <c r="C261" s="1862">
        <v>0.15</v>
      </c>
      <c r="D261" s="1862">
        <v>0.15</v>
      </c>
      <c r="E261" s="1862">
        <v>0.14899999999999999</v>
      </c>
      <c r="F261" s="1863">
        <v>0.14799999999999999</v>
      </c>
    </row>
    <row r="262" spans="1:6" ht="15" thickBot="1">
      <c r="A262" s="1857" t="s">
        <v>1414</v>
      </c>
      <c r="B262" s="1861" t="s">
        <v>1253</v>
      </c>
      <c r="C262" s="1862">
        <v>0.15</v>
      </c>
      <c r="D262" s="1862">
        <v>0.15</v>
      </c>
      <c r="E262" s="1862">
        <v>0.15</v>
      </c>
      <c r="F262" s="1870"/>
    </row>
    <row r="263" spans="1:6" ht="15" thickBot="1">
      <c r="A263" s="1857" t="s">
        <v>1414</v>
      </c>
      <c r="B263" s="1861" t="s">
        <v>2182</v>
      </c>
      <c r="C263" s="1862">
        <v>0.14899999999999999</v>
      </c>
      <c r="D263" s="1862">
        <v>0.14899999999999999</v>
      </c>
      <c r="E263" s="1862">
        <v>0.15</v>
      </c>
      <c r="F263" s="1863">
        <v>0.13</v>
      </c>
    </row>
    <row r="264" spans="1:6" ht="15" thickBot="1">
      <c r="A264" s="1857" t="s">
        <v>1414</v>
      </c>
      <c r="B264" s="1861" t="s">
        <v>1272</v>
      </c>
      <c r="C264" s="1862">
        <v>0.14799999999999999</v>
      </c>
      <c r="D264" s="1862">
        <v>0.14699999999999999</v>
      </c>
      <c r="E264" s="1862">
        <v>0.15</v>
      </c>
      <c r="F264" s="1863">
        <v>7.8E-2</v>
      </c>
    </row>
    <row r="265" spans="1:6" ht="15" thickBot="1">
      <c r="A265" s="1857" t="s">
        <v>1414</v>
      </c>
      <c r="B265" s="1861" t="s">
        <v>1281</v>
      </c>
      <c r="C265" s="1862">
        <v>0.15</v>
      </c>
      <c r="D265" s="1862">
        <v>0.15</v>
      </c>
      <c r="E265" s="1862">
        <v>0.15</v>
      </c>
      <c r="F265" s="1863">
        <v>7.3999999999999996E-2</v>
      </c>
    </row>
    <row r="266" spans="1:6" ht="15" thickBot="1">
      <c r="A266" s="1857" t="s">
        <v>1414</v>
      </c>
      <c r="B266" s="1861" t="s">
        <v>1289</v>
      </c>
      <c r="C266" s="1862">
        <v>0.14699999999999999</v>
      </c>
      <c r="D266" s="1862">
        <v>0.14699999999999999</v>
      </c>
      <c r="E266" s="1862">
        <v>0.15</v>
      </c>
      <c r="F266" s="1863">
        <v>0.14299999999999999</v>
      </c>
    </row>
    <row r="267" spans="1:6" ht="15" thickBot="1">
      <c r="A267" s="1857" t="s">
        <v>1414</v>
      </c>
      <c r="B267" s="1861" t="s">
        <v>1296</v>
      </c>
      <c r="C267" s="1862">
        <v>0.14199999999999999</v>
      </c>
      <c r="D267" s="1862">
        <v>0.14299999999999999</v>
      </c>
      <c r="E267" s="1862">
        <v>0.15</v>
      </c>
      <c r="F267" s="1870"/>
    </row>
    <row r="268" spans="1:6" ht="15" thickBot="1">
      <c r="A268" s="1857" t="s">
        <v>1414</v>
      </c>
      <c r="B268" s="1861" t="s">
        <v>2183</v>
      </c>
      <c r="C268" s="1862">
        <v>0.15</v>
      </c>
      <c r="D268" s="1862">
        <v>0.15</v>
      </c>
      <c r="E268" s="1862">
        <v>0.15</v>
      </c>
      <c r="F268" s="1863">
        <v>0.13</v>
      </c>
    </row>
    <row r="269" spans="1:6" ht="15" thickBot="1">
      <c r="A269" s="1857" t="s">
        <v>1414</v>
      </c>
      <c r="B269" s="1861" t="s">
        <v>1310</v>
      </c>
      <c r="C269" s="1862">
        <v>0.15</v>
      </c>
      <c r="D269" s="1862">
        <v>0.15</v>
      </c>
      <c r="E269" s="1862">
        <v>0.15</v>
      </c>
      <c r="F269" s="1863">
        <v>0.14299999999999999</v>
      </c>
    </row>
    <row r="270" spans="1:6" ht="15" thickBot="1">
      <c r="A270" s="1857" t="s">
        <v>1414</v>
      </c>
      <c r="B270" s="1861" t="s">
        <v>1317</v>
      </c>
      <c r="C270" s="1862">
        <v>0.14499999999999999</v>
      </c>
      <c r="D270" s="1862">
        <v>0.14499999999999999</v>
      </c>
      <c r="E270" s="1862">
        <v>0.15</v>
      </c>
      <c r="F270" s="1863">
        <v>0.14699999999999999</v>
      </c>
    </row>
    <row r="271" spans="1:6" ht="15" thickBot="1">
      <c r="A271" s="1857" t="s">
        <v>1414</v>
      </c>
      <c r="B271" s="1861" t="s">
        <v>1324</v>
      </c>
      <c r="C271" s="1862">
        <v>0.15</v>
      </c>
      <c r="D271" s="1862">
        <v>0.15</v>
      </c>
      <c r="E271" s="1862">
        <v>0.15</v>
      </c>
      <c r="F271" s="1863">
        <v>0.13800000000000001</v>
      </c>
    </row>
    <row r="272" spans="1:6" ht="15" thickBot="1">
      <c r="A272" s="1857" t="s">
        <v>1414</v>
      </c>
      <c r="B272" s="1861" t="s">
        <v>1331</v>
      </c>
      <c r="C272" s="1871"/>
      <c r="D272" s="1871"/>
      <c r="E272" s="1871"/>
      <c r="F272" s="1863">
        <v>0.14000000000000001</v>
      </c>
    </row>
    <row r="273" spans="1:6" ht="15" thickBot="1">
      <c r="A273" s="1857" t="s">
        <v>1414</v>
      </c>
      <c r="B273" s="1861" t="s">
        <v>2184</v>
      </c>
      <c r="C273" s="1862">
        <v>0.14199999999999999</v>
      </c>
      <c r="D273" s="1862">
        <v>0.14299999999999999</v>
      </c>
      <c r="E273" s="1862">
        <v>0.15</v>
      </c>
      <c r="F273" s="1863">
        <v>0.1</v>
      </c>
    </row>
    <row r="274" spans="1:6" ht="15" thickBot="1">
      <c r="A274" s="1857" t="s">
        <v>1414</v>
      </c>
      <c r="B274" s="1861" t="s">
        <v>2185</v>
      </c>
      <c r="C274" s="1862">
        <v>0.14799999999999999</v>
      </c>
      <c r="D274" s="1862">
        <v>0.14799999999999999</v>
      </c>
      <c r="E274" s="1862">
        <v>0.15</v>
      </c>
      <c r="F274" s="1863">
        <v>6.7000000000000004E-2</v>
      </c>
    </row>
    <row r="275" spans="1:6" ht="15" thickBot="1">
      <c r="A275" s="1857" t="s">
        <v>1414</v>
      </c>
      <c r="B275" s="1861" t="s">
        <v>2186</v>
      </c>
      <c r="C275" s="1862">
        <v>0.15</v>
      </c>
      <c r="D275" s="1862">
        <v>0.15</v>
      </c>
      <c r="E275" s="1862">
        <v>0.15</v>
      </c>
      <c r="F275" s="1863">
        <v>0.15</v>
      </c>
    </row>
    <row r="276" spans="1:6" ht="15" thickBot="1">
      <c r="A276" s="1857" t="s">
        <v>1414</v>
      </c>
      <c r="B276" s="1861" t="s">
        <v>2187</v>
      </c>
      <c r="C276" s="1862">
        <v>0.14499999999999999</v>
      </c>
      <c r="D276" s="1862">
        <v>0.14299999999999999</v>
      </c>
      <c r="E276" s="1862">
        <v>0.15</v>
      </c>
      <c r="F276" s="1863">
        <v>5.8999999999999997E-2</v>
      </c>
    </row>
    <row r="277" spans="1:6" ht="15" thickBot="1">
      <c r="A277" s="1857" t="s">
        <v>1414</v>
      </c>
      <c r="B277" s="1861" t="s">
        <v>2188</v>
      </c>
      <c r="C277" s="1862">
        <v>0.15</v>
      </c>
      <c r="D277" s="1862">
        <v>0.15</v>
      </c>
      <c r="E277" s="1862">
        <v>0.15</v>
      </c>
      <c r="F277" s="1863">
        <v>0.121</v>
      </c>
    </row>
    <row r="278" spans="1:6" ht="15" thickBot="1">
      <c r="A278" s="1857" t="s">
        <v>1414</v>
      </c>
      <c r="B278" s="1861" t="s">
        <v>2189</v>
      </c>
      <c r="C278" s="1862">
        <v>0.15</v>
      </c>
      <c r="D278" s="1862">
        <v>0.15</v>
      </c>
      <c r="E278" s="1862">
        <v>0.15</v>
      </c>
      <c r="F278" s="1863">
        <v>0.13800000000000001</v>
      </c>
    </row>
    <row r="279" spans="1:6" ht="24.6" thickBot="1">
      <c r="A279" s="1857" t="s">
        <v>1414</v>
      </c>
      <c r="B279" s="1861" t="s">
        <v>2190</v>
      </c>
      <c r="C279" s="1871"/>
      <c r="D279" s="1871"/>
      <c r="E279" s="1871"/>
      <c r="F279" s="1863">
        <v>0.05</v>
      </c>
    </row>
    <row r="280" spans="1:6" ht="24.6" thickBot="1">
      <c r="A280" s="1857" t="s">
        <v>1414</v>
      </c>
      <c r="B280" s="1861" t="s">
        <v>2191</v>
      </c>
      <c r="C280" s="1871"/>
      <c r="D280" s="1871"/>
      <c r="E280" s="1871"/>
      <c r="F280" s="1863">
        <v>0.05</v>
      </c>
    </row>
    <row r="281" spans="1:6" ht="24.6" thickBot="1">
      <c r="A281" s="1857" t="s">
        <v>1414</v>
      </c>
      <c r="B281" s="1861" t="s">
        <v>2192</v>
      </c>
      <c r="C281" s="1871"/>
      <c r="D281" s="1871"/>
      <c r="E281" s="1871"/>
      <c r="F281" s="1863">
        <v>0.05</v>
      </c>
    </row>
    <row r="282" spans="1:6" ht="24.6" thickBot="1">
      <c r="A282" s="1857" t="s">
        <v>1414</v>
      </c>
      <c r="B282" s="1861" t="s">
        <v>2193</v>
      </c>
      <c r="C282" s="1871"/>
      <c r="D282" s="1871"/>
      <c r="E282" s="1871"/>
      <c r="F282" s="1863">
        <v>0.05</v>
      </c>
    </row>
    <row r="283" spans="1:6" ht="24.6" thickBot="1">
      <c r="A283" s="1857" t="s">
        <v>1414</v>
      </c>
      <c r="B283" s="1861" t="s">
        <v>2194</v>
      </c>
      <c r="C283" s="1871"/>
      <c r="D283" s="1871"/>
      <c r="E283" s="1871"/>
      <c r="F283" s="1863">
        <v>0.05</v>
      </c>
    </row>
    <row r="284" spans="1:6" ht="24.6" thickBot="1">
      <c r="A284" s="1857" t="s">
        <v>1414</v>
      </c>
      <c r="B284" s="1861" t="s">
        <v>2195</v>
      </c>
      <c r="C284" s="1871"/>
      <c r="D284" s="1871"/>
      <c r="E284" s="1871"/>
      <c r="F284" s="1863">
        <v>0.05</v>
      </c>
    </row>
    <row r="285" spans="1:6" ht="24.6" thickBot="1">
      <c r="A285" s="1857" t="s">
        <v>1414</v>
      </c>
      <c r="B285" s="1861" t="s">
        <v>2196</v>
      </c>
      <c r="C285" s="1871"/>
      <c r="D285" s="1871"/>
      <c r="E285" s="1871"/>
      <c r="F285" s="1863">
        <v>0.05</v>
      </c>
    </row>
    <row r="286" spans="1:6" ht="24.6" thickBot="1">
      <c r="A286" s="1857" t="s">
        <v>1414</v>
      </c>
      <c r="B286" s="1861" t="s">
        <v>2197</v>
      </c>
      <c r="C286" s="1871"/>
      <c r="D286" s="1871"/>
      <c r="E286" s="1871"/>
      <c r="F286" s="1863">
        <v>0.05</v>
      </c>
    </row>
    <row r="287" spans="1:6" ht="24.6" thickBot="1">
      <c r="A287" s="1857" t="s">
        <v>1414</v>
      </c>
      <c r="B287" s="1861" t="s">
        <v>2198</v>
      </c>
      <c r="C287" s="1871"/>
      <c r="D287" s="1871"/>
      <c r="E287" s="1871"/>
      <c r="F287" s="1863">
        <v>0.05</v>
      </c>
    </row>
    <row r="288" spans="1:6" ht="24.6" thickBot="1">
      <c r="A288" s="1857" t="s">
        <v>1414</v>
      </c>
      <c r="B288" s="1861" t="s">
        <v>2199</v>
      </c>
      <c r="C288" s="1871"/>
      <c r="D288" s="1871"/>
      <c r="E288" s="1871"/>
      <c r="F288" s="1863">
        <v>0.05</v>
      </c>
    </row>
    <row r="289" spans="1:6" ht="24.6" thickBot="1">
      <c r="A289" s="1865" t="s">
        <v>1414</v>
      </c>
      <c r="B289" s="1872" t="s">
        <v>2200</v>
      </c>
      <c r="C289" s="1868"/>
      <c r="D289" s="1868"/>
      <c r="E289" s="1868"/>
      <c r="F289" s="1873">
        <v>0.05</v>
      </c>
    </row>
    <row r="290" spans="1:6" ht="15" thickBot="1">
      <c r="A290" s="1857" t="s">
        <v>1418</v>
      </c>
      <c r="B290" s="1858" t="s">
        <v>2201</v>
      </c>
      <c r="C290" s="1859">
        <v>0.15</v>
      </c>
      <c r="D290" s="1859">
        <v>0.15</v>
      </c>
      <c r="E290" s="1859">
        <v>0.15</v>
      </c>
      <c r="F290" s="1881"/>
    </row>
    <row r="291" spans="1:6" ht="15" thickBot="1">
      <c r="A291" s="1857" t="s">
        <v>1418</v>
      </c>
      <c r="B291" s="1861" t="s">
        <v>1078</v>
      </c>
      <c r="C291" s="1862">
        <v>0.15</v>
      </c>
      <c r="D291" s="1862">
        <v>0.15</v>
      </c>
      <c r="E291" s="1862">
        <v>0.15</v>
      </c>
      <c r="F291" s="1870"/>
    </row>
    <row r="292" spans="1:6" ht="15" thickBot="1">
      <c r="A292" s="1857" t="s">
        <v>1418</v>
      </c>
      <c r="B292" s="1861" t="s">
        <v>2202</v>
      </c>
      <c r="C292" s="1862">
        <v>0.15</v>
      </c>
      <c r="D292" s="1862">
        <v>0.15</v>
      </c>
      <c r="E292" s="1862">
        <v>0.15</v>
      </c>
      <c r="F292" s="1863">
        <v>0.14699999999999999</v>
      </c>
    </row>
    <row r="293" spans="1:6" ht="15" thickBot="1">
      <c r="A293" s="1857" t="s">
        <v>1418</v>
      </c>
      <c r="B293" s="1861" t="s">
        <v>2203</v>
      </c>
      <c r="C293" s="1871"/>
      <c r="D293" s="1871"/>
      <c r="E293" s="1871"/>
      <c r="F293" s="1863">
        <v>0.1</v>
      </c>
    </row>
    <row r="294" spans="1:6" ht="15" thickBot="1">
      <c r="A294" s="1857" t="s">
        <v>1418</v>
      </c>
      <c r="B294" s="1861" t="s">
        <v>2204</v>
      </c>
      <c r="C294" s="1862">
        <v>0.15</v>
      </c>
      <c r="D294" s="1862">
        <v>0.15</v>
      </c>
      <c r="E294" s="1862">
        <v>0.15</v>
      </c>
      <c r="F294" s="1863">
        <v>0.15</v>
      </c>
    </row>
    <row r="295" spans="1:6" ht="15" thickBot="1">
      <c r="A295" s="1857" t="s">
        <v>1418</v>
      </c>
      <c r="B295" s="1861" t="s">
        <v>1119</v>
      </c>
      <c r="C295" s="1862">
        <v>0.15</v>
      </c>
      <c r="D295" s="1862">
        <v>0.15</v>
      </c>
      <c r="E295" s="1862">
        <v>0.15</v>
      </c>
      <c r="F295" s="1863">
        <v>0.15</v>
      </c>
    </row>
    <row r="296" spans="1:6" ht="15" thickBot="1">
      <c r="A296" s="1857" t="s">
        <v>1418</v>
      </c>
      <c r="B296" s="1861" t="s">
        <v>2205</v>
      </c>
      <c r="C296" s="1862">
        <v>0.15</v>
      </c>
      <c r="D296" s="1862">
        <v>0.15</v>
      </c>
      <c r="E296" s="1862">
        <v>0.15</v>
      </c>
      <c r="F296" s="1863">
        <v>0.15</v>
      </c>
    </row>
    <row r="297" spans="1:6" ht="15" thickBot="1">
      <c r="A297" s="1857" t="s">
        <v>1418</v>
      </c>
      <c r="B297" s="1861" t="s">
        <v>2206</v>
      </c>
      <c r="C297" s="1862">
        <v>0.14799999999999999</v>
      </c>
      <c r="D297" s="1862">
        <v>0.14899999999999999</v>
      </c>
      <c r="E297" s="1862">
        <v>0.15</v>
      </c>
      <c r="F297" s="1863">
        <v>0.13700000000000001</v>
      </c>
    </row>
    <row r="298" spans="1:6" ht="15" thickBot="1">
      <c r="A298" s="1857" t="s">
        <v>1418</v>
      </c>
      <c r="B298" s="1861" t="s">
        <v>1152</v>
      </c>
      <c r="C298" s="1862">
        <v>0.13400000000000001</v>
      </c>
      <c r="D298" s="1862">
        <v>0.13400000000000001</v>
      </c>
      <c r="E298" s="1862">
        <v>0.14499999999999999</v>
      </c>
      <c r="F298" s="1863">
        <v>0.14799999999999999</v>
      </c>
    </row>
    <row r="299" spans="1:6" ht="15" thickBot="1">
      <c r="A299" s="1857" t="s">
        <v>1418</v>
      </c>
      <c r="B299" s="1861" t="s">
        <v>1164</v>
      </c>
      <c r="C299" s="1862">
        <v>0.15</v>
      </c>
      <c r="D299" s="1862">
        <v>0.15</v>
      </c>
      <c r="E299" s="1862">
        <v>0.15</v>
      </c>
      <c r="F299" s="1870"/>
    </row>
    <row r="300" spans="1:6" ht="15" thickBot="1">
      <c r="A300" s="1857" t="s">
        <v>1418</v>
      </c>
      <c r="B300" s="1861" t="s">
        <v>2207</v>
      </c>
      <c r="C300" s="1862">
        <v>0.15</v>
      </c>
      <c r="D300" s="1862">
        <v>0.15</v>
      </c>
      <c r="E300" s="1862">
        <v>0.15</v>
      </c>
      <c r="F300" s="1863">
        <v>0.15</v>
      </c>
    </row>
    <row r="301" spans="1:6" ht="15" thickBot="1">
      <c r="A301" s="1857" t="s">
        <v>1418</v>
      </c>
      <c r="B301" s="1861" t="s">
        <v>1184</v>
      </c>
      <c r="C301" s="1862">
        <v>0.15</v>
      </c>
      <c r="D301" s="1862">
        <v>0.15</v>
      </c>
      <c r="E301" s="1862">
        <v>0.15</v>
      </c>
      <c r="F301" s="1870"/>
    </row>
    <row r="302" spans="1:6" ht="15" thickBot="1">
      <c r="A302" s="1857" t="s">
        <v>1418</v>
      </c>
      <c r="B302" s="1861" t="s">
        <v>2208</v>
      </c>
      <c r="C302" s="1862">
        <v>0.15</v>
      </c>
      <c r="D302" s="1862">
        <v>0.15</v>
      </c>
      <c r="E302" s="1862">
        <v>0.15</v>
      </c>
      <c r="F302" s="1863">
        <v>0.15</v>
      </c>
    </row>
    <row r="303" spans="1:6" ht="15" thickBot="1">
      <c r="A303" s="1857" t="s">
        <v>1418</v>
      </c>
      <c r="B303" s="1861" t="s">
        <v>1204</v>
      </c>
      <c r="C303" s="1862">
        <v>0.15</v>
      </c>
      <c r="D303" s="1862">
        <v>0.15</v>
      </c>
      <c r="E303" s="1862">
        <v>0.15</v>
      </c>
      <c r="F303" s="1863">
        <v>0.15</v>
      </c>
    </row>
    <row r="304" spans="1:6" ht="15" thickBot="1">
      <c r="A304" s="1857" t="s">
        <v>1418</v>
      </c>
      <c r="B304" s="1861" t="s">
        <v>1214</v>
      </c>
      <c r="C304" s="1862">
        <v>0.15</v>
      </c>
      <c r="D304" s="1862">
        <v>0.15</v>
      </c>
      <c r="E304" s="1862">
        <v>0.15</v>
      </c>
      <c r="F304" s="1870"/>
    </row>
    <row r="305" spans="1:6" ht="15" thickBot="1">
      <c r="A305" s="1857" t="s">
        <v>1418</v>
      </c>
      <c r="B305" s="1861" t="s">
        <v>2209</v>
      </c>
      <c r="C305" s="1862">
        <v>0.15</v>
      </c>
      <c r="D305" s="1862">
        <v>0.15</v>
      </c>
      <c r="E305" s="1862">
        <v>0.15</v>
      </c>
      <c r="F305" s="1863">
        <v>0.14000000000000001</v>
      </c>
    </row>
    <row r="306" spans="1:6" ht="15" thickBot="1">
      <c r="A306" s="1857" t="s">
        <v>1418</v>
      </c>
      <c r="B306" s="1861" t="s">
        <v>1234</v>
      </c>
      <c r="C306" s="1862">
        <v>0.15</v>
      </c>
      <c r="D306" s="1862">
        <v>0.15</v>
      </c>
      <c r="E306" s="1862">
        <v>0.15</v>
      </c>
      <c r="F306" s="1870"/>
    </row>
    <row r="307" spans="1:6" ht="15" thickBot="1">
      <c r="A307" s="1857" t="s">
        <v>1418</v>
      </c>
      <c r="B307" s="1861" t="s">
        <v>2210</v>
      </c>
      <c r="C307" s="1862">
        <v>0.15</v>
      </c>
      <c r="D307" s="1862">
        <v>0.15</v>
      </c>
      <c r="E307" s="1862">
        <v>0.15</v>
      </c>
      <c r="F307" s="1863">
        <v>0.14299999999999999</v>
      </c>
    </row>
    <row r="308" spans="1:6" ht="15" thickBot="1">
      <c r="A308" s="1857" t="s">
        <v>1418</v>
      </c>
      <c r="B308" s="1861" t="s">
        <v>1254</v>
      </c>
      <c r="C308" s="1862">
        <v>0.15</v>
      </c>
      <c r="D308" s="1862">
        <v>0.15</v>
      </c>
      <c r="E308" s="1862">
        <v>0.15</v>
      </c>
      <c r="F308" s="1863">
        <v>0.15</v>
      </c>
    </row>
    <row r="309" spans="1:6" ht="15" thickBot="1">
      <c r="A309" s="1857" t="s">
        <v>1418</v>
      </c>
      <c r="B309" s="1861" t="s">
        <v>1264</v>
      </c>
      <c r="C309" s="1862">
        <v>0.15</v>
      </c>
      <c r="D309" s="1862">
        <v>0.15</v>
      </c>
      <c r="E309" s="1862">
        <v>0.15</v>
      </c>
      <c r="F309" s="1870"/>
    </row>
    <row r="310" spans="1:6" ht="15" thickBot="1">
      <c r="A310" s="1857" t="s">
        <v>1418</v>
      </c>
      <c r="B310" s="1861" t="s">
        <v>2211</v>
      </c>
      <c r="C310" s="1862">
        <v>0.15</v>
      </c>
      <c r="D310" s="1862">
        <v>0.15</v>
      </c>
      <c r="E310" s="1862">
        <v>0.15</v>
      </c>
      <c r="F310" s="1863">
        <v>0.13700000000000001</v>
      </c>
    </row>
    <row r="311" spans="1:6" ht="15" thickBot="1">
      <c r="A311" s="1857" t="s">
        <v>1418</v>
      </c>
      <c r="B311" s="1861" t="s">
        <v>2212</v>
      </c>
      <c r="C311" s="1862">
        <v>0.15</v>
      </c>
      <c r="D311" s="1862">
        <v>0.15</v>
      </c>
      <c r="E311" s="1862">
        <v>0.15</v>
      </c>
      <c r="F311" s="1863">
        <v>0.15</v>
      </c>
    </row>
    <row r="312" spans="1:6" ht="15" thickBot="1">
      <c r="A312" s="1857" t="s">
        <v>1418</v>
      </c>
      <c r="B312" s="1861" t="s">
        <v>1290</v>
      </c>
      <c r="C312" s="1862">
        <v>0.15</v>
      </c>
      <c r="D312" s="1862">
        <v>0.15</v>
      </c>
      <c r="E312" s="1862">
        <v>0.15</v>
      </c>
      <c r="F312" s="1863">
        <v>0.1</v>
      </c>
    </row>
    <row r="313" spans="1:6" ht="15" thickBot="1">
      <c r="A313" s="1857" t="s">
        <v>1418</v>
      </c>
      <c r="B313" s="1861" t="s">
        <v>2213</v>
      </c>
      <c r="C313" s="1862">
        <v>0.15</v>
      </c>
      <c r="D313" s="1862">
        <v>0.15</v>
      </c>
      <c r="E313" s="1862">
        <v>0.15</v>
      </c>
      <c r="F313" s="1863">
        <v>0.15</v>
      </c>
    </row>
    <row r="314" spans="1:6" ht="24.6" thickBot="1">
      <c r="A314" s="1857" t="s">
        <v>1418</v>
      </c>
      <c r="B314" s="1861" t="s">
        <v>2214</v>
      </c>
      <c r="C314" s="1871"/>
      <c r="D314" s="1871"/>
      <c r="E314" s="1871"/>
      <c r="F314" s="1863">
        <v>0.05</v>
      </c>
    </row>
    <row r="315" spans="1:6" ht="24.6" thickBot="1">
      <c r="A315" s="1857" t="s">
        <v>1418</v>
      </c>
      <c r="B315" s="1861" t="s">
        <v>2215</v>
      </c>
      <c r="C315" s="1871"/>
      <c r="D315" s="1871"/>
      <c r="E315" s="1871"/>
      <c r="F315" s="1863">
        <v>0.05</v>
      </c>
    </row>
    <row r="316" spans="1:6" ht="24.6" thickBot="1">
      <c r="A316" s="1865" t="s">
        <v>1418</v>
      </c>
      <c r="B316" s="1872" t="s">
        <v>2216</v>
      </c>
      <c r="C316" s="1868"/>
      <c r="D316" s="1868"/>
      <c r="E316" s="1868"/>
      <c r="F316" s="1873">
        <v>0.05</v>
      </c>
    </row>
    <row r="317" spans="1:6" ht="15" thickBot="1">
      <c r="A317" s="1857" t="s">
        <v>2217</v>
      </c>
      <c r="B317" s="1858" t="s">
        <v>2218</v>
      </c>
      <c r="C317" s="1859">
        <v>0.15</v>
      </c>
      <c r="D317" s="1859">
        <v>0.15</v>
      </c>
      <c r="E317" s="1859">
        <v>0.15</v>
      </c>
      <c r="F317" s="1860">
        <v>0.15</v>
      </c>
    </row>
    <row r="318" spans="1:6" ht="15" thickBot="1">
      <c r="A318" s="1857" t="s">
        <v>2217</v>
      </c>
      <c r="B318" s="1861" t="s">
        <v>2219</v>
      </c>
      <c r="C318" s="1862">
        <v>0.107</v>
      </c>
      <c r="D318" s="1862">
        <v>0.11</v>
      </c>
      <c r="E318" s="1862">
        <v>0.112</v>
      </c>
      <c r="F318" s="1870"/>
    </row>
    <row r="319" spans="1:6" ht="15" thickBot="1">
      <c r="A319" s="1857" t="s">
        <v>2217</v>
      </c>
      <c r="B319" s="1861" t="s">
        <v>2220</v>
      </c>
      <c r="C319" s="1862">
        <v>0.15</v>
      </c>
      <c r="D319" s="1862">
        <v>0.15</v>
      </c>
      <c r="E319" s="1862">
        <v>0.15</v>
      </c>
      <c r="F319" s="1863">
        <v>0.15</v>
      </c>
    </row>
    <row r="320" spans="1:6" ht="15" thickBot="1">
      <c r="A320" s="1857" t="s">
        <v>2217</v>
      </c>
      <c r="B320" s="1861" t="s">
        <v>1106</v>
      </c>
      <c r="C320" s="1862">
        <v>0.15</v>
      </c>
      <c r="D320" s="1862">
        <v>0.15</v>
      </c>
      <c r="E320" s="1862">
        <v>0.15</v>
      </c>
      <c r="F320" s="1870"/>
    </row>
    <row r="321" spans="1:6" ht="15" thickBot="1">
      <c r="A321" s="1857" t="s">
        <v>2217</v>
      </c>
      <c r="B321" s="1861" t="s">
        <v>2221</v>
      </c>
      <c r="C321" s="1862">
        <v>0.15</v>
      </c>
      <c r="D321" s="1862">
        <v>0.15</v>
      </c>
      <c r="E321" s="1862">
        <v>0.15</v>
      </c>
      <c r="F321" s="1870"/>
    </row>
    <row r="322" spans="1:6" ht="15" thickBot="1">
      <c r="A322" s="1857" t="s">
        <v>2217</v>
      </c>
      <c r="B322" s="1861" t="s">
        <v>2222</v>
      </c>
      <c r="C322" s="1862">
        <v>0.15</v>
      </c>
      <c r="D322" s="1862">
        <v>0.15</v>
      </c>
      <c r="E322" s="1862">
        <v>0.15</v>
      </c>
      <c r="F322" s="1863">
        <v>0.15</v>
      </c>
    </row>
    <row r="323" spans="1:6" ht="15" thickBot="1">
      <c r="A323" s="1857" t="s">
        <v>2217</v>
      </c>
      <c r="B323" s="1861" t="s">
        <v>2223</v>
      </c>
      <c r="C323" s="1862">
        <v>0.15</v>
      </c>
      <c r="D323" s="1862">
        <v>0.15</v>
      </c>
      <c r="E323" s="1862">
        <v>0.15</v>
      </c>
      <c r="F323" s="1870"/>
    </row>
    <row r="324" spans="1:6" ht="15" thickBot="1">
      <c r="A324" s="1857" t="s">
        <v>2217</v>
      </c>
      <c r="B324" s="1861" t="s">
        <v>2224</v>
      </c>
      <c r="C324" s="1862">
        <v>0.15</v>
      </c>
      <c r="D324" s="1862">
        <v>0.15</v>
      </c>
      <c r="E324" s="1862">
        <v>0.15</v>
      </c>
      <c r="F324" s="1870"/>
    </row>
    <row r="325" spans="1:6" ht="15" thickBot="1">
      <c r="A325" s="1857" t="s">
        <v>2217</v>
      </c>
      <c r="B325" s="1861" t="s">
        <v>2225</v>
      </c>
      <c r="C325" s="1862">
        <v>0.15</v>
      </c>
      <c r="D325" s="1862">
        <v>0.15</v>
      </c>
      <c r="E325" s="1862">
        <v>0.15</v>
      </c>
      <c r="F325" s="1863">
        <v>0.14699999999999999</v>
      </c>
    </row>
    <row r="326" spans="1:6" ht="15" thickBot="1">
      <c r="A326" s="1857" t="s">
        <v>2217</v>
      </c>
      <c r="B326" s="1861" t="s">
        <v>1175</v>
      </c>
      <c r="C326" s="1862">
        <v>0.15</v>
      </c>
      <c r="D326" s="1862">
        <v>0.15</v>
      </c>
      <c r="E326" s="1862">
        <v>0.15</v>
      </c>
      <c r="F326" s="1870"/>
    </row>
    <row r="327" spans="1:6" ht="15" thickBot="1">
      <c r="A327" s="1857" t="s">
        <v>2217</v>
      </c>
      <c r="B327" s="1861" t="s">
        <v>2226</v>
      </c>
      <c r="C327" s="1862">
        <v>0.15</v>
      </c>
      <c r="D327" s="1862">
        <v>0.15</v>
      </c>
      <c r="E327" s="1862">
        <v>0.15</v>
      </c>
      <c r="F327" s="1863">
        <v>0.15</v>
      </c>
    </row>
    <row r="328" spans="1:6" ht="15" thickBot="1">
      <c r="A328" s="1857" t="s">
        <v>2217</v>
      </c>
      <c r="B328" s="1861" t="s">
        <v>1195</v>
      </c>
      <c r="C328" s="1862">
        <v>0.15</v>
      </c>
      <c r="D328" s="1862">
        <v>0.15</v>
      </c>
      <c r="E328" s="1862">
        <v>0.15</v>
      </c>
      <c r="F328" s="1863">
        <v>0.14099999999999999</v>
      </c>
    </row>
    <row r="329" spans="1:6" ht="15" thickBot="1">
      <c r="A329" s="1857" t="s">
        <v>2217</v>
      </c>
      <c r="B329" s="1861" t="s">
        <v>1205</v>
      </c>
      <c r="C329" s="1862">
        <v>0.15</v>
      </c>
      <c r="D329" s="1862">
        <v>0.15</v>
      </c>
      <c r="E329" s="1862">
        <v>0.15</v>
      </c>
      <c r="F329" s="1863">
        <v>0.15</v>
      </c>
    </row>
    <row r="330" spans="1:6" ht="15" thickBot="1">
      <c r="A330" s="1857" t="s">
        <v>2217</v>
      </c>
      <c r="B330" s="1861" t="s">
        <v>1215</v>
      </c>
      <c r="C330" s="1862">
        <v>0.15</v>
      </c>
      <c r="D330" s="1862">
        <v>0.15</v>
      </c>
      <c r="E330" s="1862">
        <v>0.15</v>
      </c>
      <c r="F330" s="1870"/>
    </row>
    <row r="331" spans="1:6" ht="15" thickBot="1">
      <c r="A331" s="1857" t="s">
        <v>2217</v>
      </c>
      <c r="B331" s="1861" t="s">
        <v>2227</v>
      </c>
      <c r="C331" s="1862">
        <v>0.15</v>
      </c>
      <c r="D331" s="1862">
        <v>0.15</v>
      </c>
      <c r="E331" s="1862">
        <v>0.15</v>
      </c>
      <c r="F331" s="1863">
        <v>0.15</v>
      </c>
    </row>
    <row r="332" spans="1:6" ht="15" thickBot="1">
      <c r="A332" s="1857" t="s">
        <v>2217</v>
      </c>
      <c r="B332" s="1861" t="s">
        <v>1235</v>
      </c>
      <c r="C332" s="1862">
        <v>0.15</v>
      </c>
      <c r="D332" s="1862">
        <v>0.15</v>
      </c>
      <c r="E332" s="1862">
        <v>0.15</v>
      </c>
      <c r="F332" s="1863">
        <v>0.15</v>
      </c>
    </row>
    <row r="333" spans="1:6" ht="15" thickBot="1">
      <c r="A333" s="1857" t="s">
        <v>2217</v>
      </c>
      <c r="B333" s="1861" t="s">
        <v>2228</v>
      </c>
      <c r="C333" s="1862">
        <v>0.15</v>
      </c>
      <c r="D333" s="1862">
        <v>0.15</v>
      </c>
      <c r="E333" s="1862">
        <v>0.15</v>
      </c>
      <c r="F333" s="1863">
        <v>0.14099999999999999</v>
      </c>
    </row>
    <row r="334" spans="1:6" ht="15" thickBot="1">
      <c r="A334" s="1857" t="s">
        <v>2217</v>
      </c>
      <c r="B334" s="1861" t="s">
        <v>1255</v>
      </c>
      <c r="C334" s="1862">
        <v>0.15</v>
      </c>
      <c r="D334" s="1862">
        <v>0.15</v>
      </c>
      <c r="E334" s="1862">
        <v>0.15</v>
      </c>
      <c r="F334" s="1863">
        <v>0.15</v>
      </c>
    </row>
    <row r="335" spans="1:6" ht="15" thickBot="1">
      <c r="A335" s="1857" t="s">
        <v>2217</v>
      </c>
      <c r="B335" s="1861" t="s">
        <v>1265</v>
      </c>
      <c r="C335" s="1862">
        <v>0.15</v>
      </c>
      <c r="D335" s="1862">
        <v>0.15</v>
      </c>
      <c r="E335" s="1862">
        <v>0.15</v>
      </c>
      <c r="F335" s="1870"/>
    </row>
    <row r="336" spans="1:6" ht="15" thickBot="1">
      <c r="A336" s="1857" t="s">
        <v>2217</v>
      </c>
      <c r="B336" s="1861" t="s">
        <v>2229</v>
      </c>
      <c r="C336" s="1862">
        <v>0.15</v>
      </c>
      <c r="D336" s="1862">
        <v>0.15</v>
      </c>
      <c r="E336" s="1862">
        <v>0.15</v>
      </c>
      <c r="F336" s="1863">
        <v>0.11799999999999999</v>
      </c>
    </row>
    <row r="337" spans="1:6" ht="15" thickBot="1">
      <c r="A337" s="1865" t="s">
        <v>2217</v>
      </c>
      <c r="B337" s="1872" t="s">
        <v>1283</v>
      </c>
      <c r="C337" s="1868"/>
      <c r="D337" s="1868"/>
      <c r="E337" s="1868"/>
      <c r="F337" s="1873">
        <v>0.14299999999999999</v>
      </c>
    </row>
    <row r="338" spans="1:6" ht="15" thickBot="1">
      <c r="A338" s="1857" t="s">
        <v>2230</v>
      </c>
      <c r="B338" s="1858" t="s">
        <v>2231</v>
      </c>
      <c r="C338" s="1859">
        <v>0.15</v>
      </c>
      <c r="D338" s="1859">
        <v>0.15</v>
      </c>
      <c r="E338" s="1859">
        <v>0.15</v>
      </c>
      <c r="F338" s="1881"/>
    </row>
    <row r="339" spans="1:6" ht="15" thickBot="1">
      <c r="A339" s="1857" t="s">
        <v>2230</v>
      </c>
      <c r="B339" s="1861" t="s">
        <v>2232</v>
      </c>
      <c r="C339" s="1862">
        <v>0.15</v>
      </c>
      <c r="D339" s="1862">
        <v>0.15</v>
      </c>
      <c r="E339" s="1862">
        <v>0.15</v>
      </c>
      <c r="F339" s="1870"/>
    </row>
    <row r="340" spans="1:6" ht="15" thickBot="1">
      <c r="A340" s="1857" t="s">
        <v>2230</v>
      </c>
      <c r="B340" s="1861" t="s">
        <v>2233</v>
      </c>
      <c r="C340" s="1862">
        <v>0.15</v>
      </c>
      <c r="D340" s="1862">
        <v>0.15</v>
      </c>
      <c r="E340" s="1862">
        <v>0.15</v>
      </c>
      <c r="F340" s="1870"/>
    </row>
    <row r="341" spans="1:6" ht="15" thickBot="1">
      <c r="A341" s="1857" t="s">
        <v>2234</v>
      </c>
      <c r="B341" s="1861" t="s">
        <v>2235</v>
      </c>
      <c r="C341" s="1862">
        <v>0.15</v>
      </c>
      <c r="D341" s="1862">
        <v>0.15</v>
      </c>
      <c r="E341" s="1862">
        <v>0.15</v>
      </c>
      <c r="F341" s="1863">
        <v>0.15</v>
      </c>
    </row>
    <row r="342" spans="1:6" ht="15" thickBot="1">
      <c r="A342" s="1857" t="s">
        <v>2230</v>
      </c>
      <c r="B342" s="1861" t="s">
        <v>2236</v>
      </c>
      <c r="C342" s="1862">
        <v>0.15</v>
      </c>
      <c r="D342" s="1862">
        <v>0.15</v>
      </c>
      <c r="E342" s="1862">
        <v>0.15</v>
      </c>
      <c r="F342" s="1863">
        <v>0.15</v>
      </c>
    </row>
    <row r="343" spans="1:6" ht="15" thickBot="1">
      <c r="A343" s="1857" t="s">
        <v>2230</v>
      </c>
      <c r="B343" s="1861" t="s">
        <v>2237</v>
      </c>
      <c r="C343" s="1862">
        <v>0.15</v>
      </c>
      <c r="D343" s="1862">
        <v>0.15</v>
      </c>
      <c r="E343" s="1862">
        <v>0.15</v>
      </c>
      <c r="F343" s="1863">
        <v>0.15</v>
      </c>
    </row>
    <row r="344" spans="1:6" ht="15" thickBot="1">
      <c r="A344" s="1865" t="s">
        <v>2230</v>
      </c>
      <c r="B344" s="1872" t="s">
        <v>2238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2948</v>
      </c>
      <c r="B1" s="3103"/>
      <c r="C1" s="3103"/>
      <c r="D1" s="3103"/>
      <c r="E1" s="3103"/>
      <c r="F1" s="3103"/>
    </row>
    <row r="2" spans="1:6" ht="15.6">
      <c r="A2" s="3104" t="s">
        <v>2943</v>
      </c>
      <c r="B2" s="3105" t="e">
        <f ca="1">SUMIF(B7:B14,"&lt;&gt;#ref!",B7:B14)</f>
        <v>#DIV/0!</v>
      </c>
      <c r="C2" s="3104" t="s">
        <v>2944</v>
      </c>
      <c r="D2" s="3103"/>
      <c r="E2" s="3103"/>
      <c r="F2" s="3103"/>
    </row>
    <row r="3" spans="1:6" ht="15.6">
      <c r="A3" s="3104" t="s">
        <v>2977</v>
      </c>
      <c r="B3" s="3105" t="e">
        <f ca="1">ROUND(B2*10000/E3,0)</f>
        <v>#DIV/0!</v>
      </c>
      <c r="C3" s="3104" t="s">
        <v>2079</v>
      </c>
      <c r="D3" s="3104" t="s">
        <v>2945</v>
      </c>
      <c r="E3" s="3105">
        <f ca="1">SUMIF(E7:E14,"&lt;&gt;#ref!",E7:E14)</f>
        <v>0</v>
      </c>
      <c r="F3" s="3103"/>
    </row>
    <row r="4" spans="1:6" ht="15.6">
      <c r="A4" s="3104" t="s">
        <v>2952</v>
      </c>
      <c r="B4" s="3105" t="e">
        <f ca="1">ROUND(B2*10000/E4,0)</f>
        <v>#DIV/0!</v>
      </c>
      <c r="C4" s="3104" t="s">
        <v>2079</v>
      </c>
      <c r="D4" s="3104" t="s">
        <v>2953</v>
      </c>
      <c r="E4" s="3105">
        <f ca="1">SUMIF(F7:F14,"&lt;&gt;#ref!",F7:F14)</f>
        <v>0</v>
      </c>
      <c r="F4" s="3103"/>
    </row>
    <row r="5" spans="1:6" ht="15.6">
      <c r="A5" s="3106"/>
      <c r="B5" s="1883"/>
      <c r="C5" s="1883"/>
      <c r="D5" s="1883"/>
      <c r="E5" s="1883"/>
      <c r="F5" s="3103"/>
    </row>
    <row r="6" spans="1:6" ht="31.2">
      <c r="A6" s="3107" t="s">
        <v>2949</v>
      </c>
      <c r="B6" s="3104" t="s">
        <v>2946</v>
      </c>
      <c r="C6" s="3105"/>
      <c r="D6" s="1883"/>
      <c r="E6" s="3104" t="s">
        <v>2947</v>
      </c>
      <c r="F6" s="3104" t="s">
        <v>2951</v>
      </c>
    </row>
    <row r="7" spans="1:6" ht="15.6">
      <c r="A7" s="260" t="s">
        <v>2950</v>
      </c>
      <c r="B7" s="3108" t="e">
        <f ca="1">SUMIF(INDIRECT("'"&amp;A7&amp;"'"&amp;"!A:A"),"总价",INDIRECT("'"&amp;A7&amp;"'"&amp;"!B:B"))</f>
        <v>#DIV/0!</v>
      </c>
      <c r="C7" s="3104" t="s">
        <v>2944</v>
      </c>
      <c r="D7" s="1883"/>
      <c r="E7" s="3109">
        <f ca="1">SUMIF(INDIRECT("'"&amp;A7&amp;"'"&amp;"!C:C"),"建筑面积",INDIRECT("'"&amp;A7&amp;"'"&amp;"!D:D"))</f>
        <v>0</v>
      </c>
      <c r="F7" s="3109">
        <f ca="1">SUMIF(INDIRECT("'"&amp;A7&amp;"'"&amp;"!E:E"),"土地面积",INDIRECT("'"&amp;A7&amp;"'"&amp;"!F:F"))</f>
        <v>0</v>
      </c>
    </row>
    <row r="8" spans="1:6" ht="15.6">
      <c r="A8" s="260"/>
      <c r="B8" s="3108" t="e">
        <f t="shared" ref="B8:B14" ca="1" si="0">SUMIF(INDIRECT("'"&amp;A8&amp;"'"&amp;"!A:A"),"总价",INDIRECT("'"&amp;A8&amp;"'"&amp;"!B:B"))</f>
        <v>#REF!</v>
      </c>
      <c r="C8" s="3104" t="s">
        <v>2944</v>
      </c>
      <c r="D8" s="1883"/>
      <c r="E8" s="3109" t="e">
        <f t="shared" ref="E8:E14" ca="1" si="1">SUMIF(INDIRECT("'"&amp;A8&amp;"'"&amp;"!C:C"),"建筑面积",INDIRECT("'"&amp;A8&amp;"'"&amp;"!D:D"))</f>
        <v>#REF!</v>
      </c>
      <c r="F8" s="3109" t="e">
        <f t="shared" ref="F8:F14" ca="1" si="2">SUMIF(INDIRECT("'"&amp;A8&amp;"'"&amp;"!E:E"),"土地面积",INDIRECT("'"&amp;A8&amp;"'"&amp;"!F:F"))</f>
        <v>#REF!</v>
      </c>
    </row>
    <row r="9" spans="1:6" ht="15.6">
      <c r="A9" s="260"/>
      <c r="B9" s="3108" t="e">
        <f t="shared" ca="1" si="0"/>
        <v>#REF!</v>
      </c>
      <c r="C9" s="3104" t="s">
        <v>2944</v>
      </c>
      <c r="D9" s="1883"/>
      <c r="E9" s="3109" t="e">
        <f t="shared" ca="1" si="1"/>
        <v>#REF!</v>
      </c>
      <c r="F9" s="3109" t="e">
        <f t="shared" ca="1" si="2"/>
        <v>#REF!</v>
      </c>
    </row>
    <row r="10" spans="1:6" ht="15.6">
      <c r="A10" s="260"/>
      <c r="B10" s="3108" t="e">
        <f t="shared" ca="1" si="0"/>
        <v>#REF!</v>
      </c>
      <c r="C10" s="3104" t="s">
        <v>2944</v>
      </c>
      <c r="D10" s="1883"/>
      <c r="E10" s="3109" t="e">
        <f t="shared" ca="1" si="1"/>
        <v>#REF!</v>
      </c>
      <c r="F10" s="3109" t="e">
        <f t="shared" ca="1" si="2"/>
        <v>#REF!</v>
      </c>
    </row>
    <row r="11" spans="1:6" ht="15.6">
      <c r="A11" s="260"/>
      <c r="B11" s="3108" t="e">
        <f t="shared" ca="1" si="0"/>
        <v>#REF!</v>
      </c>
      <c r="C11" s="3104" t="s">
        <v>2944</v>
      </c>
      <c r="D11" s="1883"/>
      <c r="E11" s="3109" t="e">
        <f t="shared" ca="1" si="1"/>
        <v>#REF!</v>
      </c>
      <c r="F11" s="3109" t="e">
        <f t="shared" ca="1" si="2"/>
        <v>#REF!</v>
      </c>
    </row>
    <row r="12" spans="1:6" ht="15.6">
      <c r="A12" s="260"/>
      <c r="B12" s="3108" t="e">
        <f t="shared" ca="1" si="0"/>
        <v>#REF!</v>
      </c>
      <c r="C12" s="3104" t="s">
        <v>2944</v>
      </c>
      <c r="D12" s="1883"/>
      <c r="E12" s="3109" t="e">
        <f t="shared" ca="1" si="1"/>
        <v>#REF!</v>
      </c>
      <c r="F12" s="3109" t="e">
        <f t="shared" ca="1" si="2"/>
        <v>#REF!</v>
      </c>
    </row>
    <row r="13" spans="1:6" ht="15.6">
      <c r="A13" s="260"/>
      <c r="B13" s="3108" t="e">
        <f t="shared" ca="1" si="0"/>
        <v>#REF!</v>
      </c>
      <c r="C13" s="3104" t="s">
        <v>2944</v>
      </c>
      <c r="D13" s="1883"/>
      <c r="E13" s="3109" t="e">
        <f t="shared" ca="1" si="1"/>
        <v>#REF!</v>
      </c>
      <c r="F13" s="3109" t="e">
        <f t="shared" ca="1" si="2"/>
        <v>#REF!</v>
      </c>
    </row>
    <row r="14" spans="1:6" ht="15.6">
      <c r="A14" s="3102"/>
      <c r="B14" s="3108" t="e">
        <f t="shared" ca="1" si="0"/>
        <v>#REF!</v>
      </c>
      <c r="C14" s="3104" t="s">
        <v>2944</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c r="D1" s="2050"/>
      <c r="E1" s="2387" t="s">
        <v>2375</v>
      </c>
      <c r="F1" s="2388">
        <f ca="1">J54</f>
        <v>-1.5</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628</v>
      </c>
      <c r="B2" s="775">
        <f ca="1">IF(ISERROR(C45+J31),0,C45+J31)</f>
        <v>0</v>
      </c>
      <c r="C2" s="1351"/>
      <c r="D2" s="2055"/>
      <c r="E2" s="2056"/>
      <c r="F2" s="2056"/>
      <c r="G2" s="1591"/>
      <c r="H2" s="1363"/>
      <c r="I2" s="2057"/>
      <c r="J2" s="2057"/>
      <c r="K2" s="2058"/>
      <c r="L2" s="2057"/>
      <c r="M2" s="2057"/>
    </row>
    <row r="3" spans="1:25" ht="18" customHeight="1">
      <c r="A3" s="1646" t="s">
        <v>1685</v>
      </c>
      <c r="B3" s="1392">
        <f ca="1">ROUND(B2*10000/'数据-汇总表'!E3,0)</f>
        <v>0</v>
      </c>
      <c r="C3" s="1351"/>
      <c r="D3" s="2055"/>
      <c r="E3" s="2056"/>
      <c r="F3" s="2056"/>
      <c r="G3" s="1591"/>
      <c r="H3" s="776" t="s">
        <v>694</v>
      </c>
      <c r="I3" s="2057"/>
      <c r="J3" s="2057"/>
      <c r="K3" s="2058"/>
      <c r="L3" s="2057"/>
      <c r="M3" s="2057"/>
    </row>
    <row r="4" spans="1:25" ht="18" customHeight="1">
      <c r="A4" s="1647" t="s">
        <v>695</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696</v>
      </c>
      <c r="D5" s="2055"/>
      <c r="E5" s="2056"/>
      <c r="F5" s="2056"/>
      <c r="G5" s="1591"/>
      <c r="H5" s="776"/>
      <c r="I5" s="2057"/>
      <c r="J5" s="2057"/>
      <c r="K5" s="2058"/>
      <c r="L5" s="2057"/>
      <c r="M5" s="2057"/>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2459</v>
      </c>
      <c r="C7" s="53">
        <f ca="1">C8+C12+C14</f>
        <v>0</v>
      </c>
      <c r="D7" s="2496" t="s">
        <v>2462</v>
      </c>
      <c r="E7" s="2490"/>
      <c r="F7" s="2491"/>
      <c r="G7" s="1593"/>
      <c r="H7" s="781">
        <v>1</v>
      </c>
      <c r="I7" s="782" t="s">
        <v>2459</v>
      </c>
      <c r="J7" s="53">
        <f ca="1">J8+J12+J14</f>
        <v>0</v>
      </c>
      <c r="K7" s="2496" t="s">
        <v>2462</v>
      </c>
      <c r="L7" s="2490"/>
      <c r="M7" s="2491"/>
    </row>
    <row r="8" spans="1:25" ht="18" customHeight="1">
      <c r="A8" s="1832" t="s">
        <v>1823</v>
      </c>
      <c r="B8" s="3455" t="s">
        <v>2464</v>
      </c>
      <c r="C8" s="1827">
        <f ca="1">ROUND(F8*F10*F9*(1-F11)/10000,0)</f>
        <v>0</v>
      </c>
      <c r="D8" s="1824" t="s">
        <v>2535</v>
      </c>
      <c r="E8" s="61" t="s">
        <v>636</v>
      </c>
      <c r="F8" s="785">
        <f ca="1">INDIRECT("'数据-取费表'!u"&amp;$G$1)</f>
        <v>0</v>
      </c>
      <c r="G8" s="1593"/>
      <c r="H8" s="2504" t="s">
        <v>1823</v>
      </c>
      <c r="I8" s="3455" t="s">
        <v>2464</v>
      </c>
      <c r="J8" s="783">
        <f ca="1">ROUND(M8*M10*M9*(1-M11)/10000,0)</f>
        <v>0</v>
      </c>
      <c r="K8" s="341" t="s">
        <v>2535</v>
      </c>
      <c r="L8" s="784" t="s">
        <v>1737</v>
      </c>
      <c r="M8" s="785">
        <f ca="1">INDIRECT("'数据-取费表'!z"&amp;$G$1)</f>
        <v>0</v>
      </c>
    </row>
    <row r="9" spans="1:25" ht="18" customHeight="1">
      <c r="A9" s="2500"/>
      <c r="B9" s="3456"/>
      <c r="C9" s="1828"/>
      <c r="D9" s="1825"/>
      <c r="E9" s="61" t="s">
        <v>637</v>
      </c>
      <c r="F9" s="785">
        <f ca="1">IF(INDIRECT("'数据-取费表'!ah"&amp;$G$1)="",INDIRECT("'数据-取费表'!k"&amp;$G$1),INDIRECT("'数据-取费表'!ah"&amp;$G$1))</f>
        <v>0</v>
      </c>
      <c r="G9" s="1593"/>
      <c r="H9" s="2489"/>
      <c r="I9" s="3456"/>
      <c r="J9" s="788"/>
      <c r="K9" s="789"/>
      <c r="L9" s="784" t="s">
        <v>1738</v>
      </c>
      <c r="M9" s="785">
        <f ca="1">F9</f>
        <v>0</v>
      </c>
    </row>
    <row r="10" spans="1:25" ht="18" customHeight="1">
      <c r="A10" s="2493"/>
      <c r="B10" s="3457"/>
      <c r="C10" s="1828"/>
      <c r="D10" s="1825"/>
      <c r="E10" s="61" t="s">
        <v>638</v>
      </c>
      <c r="F10" s="785">
        <f ca="1">INDIRECT("'数据-取费表'!ai"&amp;$G$1)</f>
        <v>0</v>
      </c>
      <c r="G10" s="1593"/>
      <c r="H10" s="2489"/>
      <c r="I10" s="3457"/>
      <c r="J10" s="788"/>
      <c r="K10" s="789"/>
      <c r="L10" s="784" t="s">
        <v>1739</v>
      </c>
      <c r="M10" s="785">
        <f ca="1">INDIRECT("'数据-取费表'!ai"&amp;$G$1)</f>
        <v>0</v>
      </c>
    </row>
    <row r="11" spans="1:25" ht="18" customHeight="1">
      <c r="A11" s="786"/>
      <c r="B11" s="3458"/>
      <c r="C11" s="1828"/>
      <c r="D11" s="1825"/>
      <c r="E11" s="61" t="s">
        <v>639</v>
      </c>
      <c r="F11" s="794">
        <f ca="1">INDIRECT("'数据-取费表'!w"&amp;$G$1)</f>
        <v>0</v>
      </c>
      <c r="G11" s="1593"/>
      <c r="H11" s="2505"/>
      <c r="I11" s="3457"/>
      <c r="J11" s="788"/>
      <c r="K11" s="789"/>
      <c r="L11" s="795" t="s">
        <v>1740</v>
      </c>
      <c r="M11" s="796">
        <f ca="1">INDIRECT("'数据-取费表'!ab"&amp;$G$1)</f>
        <v>0</v>
      </c>
    </row>
    <row r="12" spans="1:25" ht="18" customHeight="1">
      <c r="A12" s="1832" t="s">
        <v>1824</v>
      </c>
      <c r="B12" s="2494" t="s">
        <v>2460</v>
      </c>
      <c r="C12" s="799">
        <f ca="1">ROUND(IF(F12="押一",C8/12*F13,IF(F12="押二",C8/12*2*F13,IF(F12="押三",C8/12*3*F13,C13*F13))),0)</f>
        <v>0</v>
      </c>
      <c r="D12" s="2501" t="s">
        <v>2973</v>
      </c>
      <c r="E12" s="2498" t="s">
        <v>2465</v>
      </c>
      <c r="F12" s="2621"/>
      <c r="G12" s="1593"/>
      <c r="H12" s="2561" t="s">
        <v>1824</v>
      </c>
      <c r="I12" s="2566" t="s">
        <v>2460</v>
      </c>
      <c r="J12" s="783">
        <f ca="1">ROUND(IF(M12="押一",J8/12*M13,IF(M12="押二",J8/12*2*M13,IF(M12="押三",J8/12*3*M13,J13*M13))),0)</f>
        <v>0</v>
      </c>
      <c r="K12" s="2501" t="s">
        <v>2973</v>
      </c>
      <c r="L12" s="2498" t="s">
        <v>2465</v>
      </c>
      <c r="M12" s="2621"/>
    </row>
    <row r="13" spans="1:25" ht="18" customHeight="1">
      <c r="A13" s="790"/>
      <c r="B13" s="2495" t="s">
        <v>2574</v>
      </c>
      <c r="C13" s="2499"/>
      <c r="D13" s="789"/>
      <c r="E13" s="2498" t="s">
        <v>2457</v>
      </c>
      <c r="F13" s="796">
        <f ca="1">'数据-取费表'!B39</f>
        <v>1.4999999999999999E-2</v>
      </c>
      <c r="G13" s="1593"/>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3"/>
      <c r="H14" s="2551" t="s">
        <v>2468</v>
      </c>
      <c r="I14" s="2564" t="s">
        <v>2461</v>
      </c>
      <c r="J14" s="2565"/>
      <c r="K14" s="2540"/>
      <c r="L14" s="2541"/>
      <c r="M14" s="2554"/>
    </row>
    <row r="15" spans="1:25" ht="18" customHeight="1" thickTop="1">
      <c r="A15" s="1831" t="s">
        <v>1873</v>
      </c>
      <c r="B15" s="1829" t="s">
        <v>640</v>
      </c>
      <c r="C15" s="792">
        <f ca="1">ROUND(C31*F15,0)</f>
        <v>0</v>
      </c>
      <c r="D15" s="1836" t="s">
        <v>641</v>
      </c>
      <c r="E15" s="795" t="s">
        <v>642</v>
      </c>
      <c r="F15" s="800">
        <f ca="1">INDIRECT("'数据-取费表'!y"&amp;$G$1)</f>
        <v>0</v>
      </c>
      <c r="G15" s="1593"/>
      <c r="H15" s="1831" t="s">
        <v>1825</v>
      </c>
      <c r="I15" s="1829" t="s">
        <v>643</v>
      </c>
      <c r="J15" s="1821">
        <f ca="1">ROUND(J16*J17,0)</f>
        <v>0</v>
      </c>
      <c r="K15" s="1823" t="s">
        <v>641</v>
      </c>
      <c r="L15" s="801"/>
      <c r="M15" s="802"/>
    </row>
    <row r="16" spans="1:25" ht="18" customHeight="1">
      <c r="A16" s="803" t="s">
        <v>1874</v>
      </c>
      <c r="B16" s="784" t="s">
        <v>644</v>
      </c>
      <c r="C16" s="804">
        <f ca="1">INDIRECT("'数据-取费表'!m"&amp;$G$1)+INDIRECT("'数据-取费表'!t"&amp;$G$1)</f>
        <v>0</v>
      </c>
      <c r="D16" s="1979" t="s">
        <v>645</v>
      </c>
      <c r="E16" s="1980"/>
      <c r="F16" s="805"/>
      <c r="G16" s="1593"/>
      <c r="H16" s="803" t="s">
        <v>2070</v>
      </c>
      <c r="I16" s="2231" t="s">
        <v>2826</v>
      </c>
      <c r="J16" s="53">
        <f ca="1">C31</f>
        <v>0</v>
      </c>
      <c r="K16" s="26"/>
      <c r="L16" s="801"/>
      <c r="M16" s="802"/>
    </row>
    <row r="17" spans="1:25" s="2064" customFormat="1" ht="18" customHeight="1">
      <c r="A17" s="803" t="s">
        <v>1848</v>
      </c>
      <c r="B17" s="784" t="s">
        <v>646</v>
      </c>
      <c r="C17" s="53">
        <f ca="1">ROUND(C16*F17,0)</f>
        <v>0</v>
      </c>
      <c r="D17" s="806" t="s">
        <v>647</v>
      </c>
      <c r="E17" s="806" t="s">
        <v>648</v>
      </c>
      <c r="F17" s="807">
        <f>'数据-取费表'!B33</f>
        <v>0.03</v>
      </c>
      <c r="G17" s="1594"/>
      <c r="H17" s="803" t="s">
        <v>2071</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93"/>
      <c r="H18" s="797" t="s">
        <v>1826</v>
      </c>
      <c r="I18" s="798" t="s">
        <v>650</v>
      </c>
      <c r="J18" s="799">
        <f ca="1">ROUND(J19+J24+J25+J26,0)</f>
        <v>0</v>
      </c>
      <c r="K18" s="26" t="s">
        <v>651</v>
      </c>
      <c r="L18" s="1982"/>
      <c r="M18" s="56"/>
    </row>
    <row r="19" spans="1:25" s="2064" customFormat="1" ht="18" customHeight="1">
      <c r="A19" s="803" t="s">
        <v>1850</v>
      </c>
      <c r="B19" s="784" t="s">
        <v>652</v>
      </c>
      <c r="C19" s="53">
        <f ca="1">ROUND(F19*(INDIRECT("'数据-取费表'!k"&amp;$G$1)+INDIRECT("'数据-取费表'!S"&amp;$G$1))/10000,0)</f>
        <v>0</v>
      </c>
      <c r="D19" s="784" t="s">
        <v>653</v>
      </c>
      <c r="E19" s="784" t="s">
        <v>654</v>
      </c>
      <c r="F19" s="56">
        <f>'数据-取费表'!B35</f>
        <v>200</v>
      </c>
      <c r="G19" s="1594"/>
      <c r="H19" s="803" t="s">
        <v>2070</v>
      </c>
      <c r="I19" s="784" t="s">
        <v>655</v>
      </c>
      <c r="J19" s="53">
        <f ca="1">ROUND(IF(项目基本情况!B11="自然人",J7*M19,J20+J21+J22),0)</f>
        <v>0</v>
      </c>
      <c r="K19" s="1979" t="s">
        <v>656</v>
      </c>
      <c r="L19" s="1977" t="s">
        <v>657</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1851</v>
      </c>
      <c r="B20" s="784" t="s">
        <v>658</v>
      </c>
      <c r="C20" s="53">
        <f ca="1">ROUND(C16*F20,0)</f>
        <v>0</v>
      </c>
      <c r="D20" s="784" t="s">
        <v>647</v>
      </c>
      <c r="E20" s="784" t="s">
        <v>648</v>
      </c>
      <c r="F20" s="809">
        <f>'数据-取费表'!B36</f>
        <v>1.4999999999999999E-2</v>
      </c>
      <c r="G20" s="1594"/>
      <c r="H20" s="803" t="s">
        <v>1830</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1875</v>
      </c>
      <c r="B21" s="784" t="s">
        <v>661</v>
      </c>
      <c r="C21" s="53">
        <f ca="1">SUM(C16:C20)</f>
        <v>0</v>
      </c>
      <c r="D21" s="261" t="s">
        <v>662</v>
      </c>
      <c r="E21" s="1982"/>
      <c r="F21" s="56"/>
      <c r="G21" s="1593"/>
      <c r="H21" s="1832" t="s">
        <v>1848</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1876</v>
      </c>
      <c r="B22" s="784" t="s">
        <v>665</v>
      </c>
      <c r="C22" s="53">
        <f ca="1">ROUND(C21*F22,0)</f>
        <v>0</v>
      </c>
      <c r="D22" s="812" t="s">
        <v>666</v>
      </c>
      <c r="E22" s="784" t="s">
        <v>648</v>
      </c>
      <c r="F22" s="809">
        <f>'数据-取费表'!B37</f>
        <v>0.02</v>
      </c>
      <c r="G22" s="1594"/>
      <c r="H22" s="1834" t="s">
        <v>1849</v>
      </c>
      <c r="I22" s="1824" t="s">
        <v>667</v>
      </c>
      <c r="J22" s="54">
        <f ca="1">ROUND(M22*M23/10000,0)</f>
        <v>0</v>
      </c>
      <c r="K22" s="814" t="s">
        <v>668</v>
      </c>
      <c r="L22" s="784" t="s">
        <v>669</v>
      </c>
      <c r="M22" s="640">
        <f>'数据-取费表'!B52</f>
        <v>5</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3"/>
      <c r="H24" s="1833" t="s">
        <v>2071</v>
      </c>
      <c r="I24" s="784" t="s">
        <v>675</v>
      </c>
      <c r="J24" s="53">
        <f ca="1">ROUND(J16*M24,0)</f>
        <v>0</v>
      </c>
      <c r="K24" s="1977" t="s">
        <v>676</v>
      </c>
      <c r="L24" s="784" t="s">
        <v>648</v>
      </c>
      <c r="M24" s="817">
        <f ca="1">INDIRECT("'数据-取费表'!Ak"&amp;$G$1)</f>
        <v>0</v>
      </c>
    </row>
    <row r="25" spans="1:25" s="2064" customFormat="1" ht="18" customHeight="1">
      <c r="A25" s="803" t="s">
        <v>1874</v>
      </c>
      <c r="B25" s="784" t="s">
        <v>2438</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1.5</v>
      </c>
      <c r="G25" s="1594"/>
      <c r="H25" s="803" t="s">
        <v>1877</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6.9999999999999999E-4</v>
      </c>
      <c r="D26" s="2571" t="str">
        <f>IF(F25&lt;=1,"销售费用×利率×(建设周期÷2)","销售费用×((1+利率)^(建设周期÷2)-1)")</f>
        <v>销售费用×((1+利率)^(建设周期÷2)-1)</v>
      </c>
      <c r="E26" s="784" t="s">
        <v>681</v>
      </c>
      <c r="F26" s="819">
        <f ca="1">'数据-取费表'!B40</f>
        <v>4.7500000000000001E-2</v>
      </c>
      <c r="G26" s="1594"/>
      <c r="H26" s="803" t="s">
        <v>1878</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3"/>
      <c r="H27" s="797" t="s">
        <v>1827</v>
      </c>
      <c r="I27" s="3011" t="s">
        <v>2823</v>
      </c>
      <c r="J27" s="799">
        <f ca="1">J7-J18</f>
        <v>0</v>
      </c>
      <c r="K27" s="1979" t="s">
        <v>699</v>
      </c>
      <c r="L27" s="1981"/>
      <c r="M27" s="820"/>
    </row>
    <row r="28" spans="1:25" ht="18" customHeight="1">
      <c r="A28" s="803" t="s">
        <v>1874</v>
      </c>
      <c r="B28" s="784" t="s">
        <v>2439</v>
      </c>
      <c r="C28" s="53">
        <f ca="1">ROUND((C21+C22)*F28,0)</f>
        <v>0</v>
      </c>
      <c r="D28" s="812" t="s">
        <v>700</v>
      </c>
      <c r="E28" s="795" t="s">
        <v>701</v>
      </c>
      <c r="F28" s="794">
        <f ca="1">INDIRECT("'数据-取费表'!q"&amp;$G$1)</f>
        <v>0</v>
      </c>
      <c r="G28" s="1593"/>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4" customFormat="1" ht="18" customHeight="1">
      <c r="A30" s="803" t="s">
        <v>1881</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1882</v>
      </c>
      <c r="B31" s="2541" t="s">
        <v>2824</v>
      </c>
      <c r="C31" s="2544">
        <f ca="1">ROUND((C21+C22+C25+C28)/(1-F23-C26-C29-C30),0)</f>
        <v>0</v>
      </c>
      <c r="D31" s="2545"/>
      <c r="E31" s="2546"/>
      <c r="F31" s="2547"/>
      <c r="G31" s="1594"/>
      <c r="H31" s="823" t="s">
        <v>1871</v>
      </c>
      <c r="I31" s="3012" t="s">
        <v>2825</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688</v>
      </c>
      <c r="C32" s="792">
        <f ca="1">ROUND(C33+C38+C39+C40,0)</f>
        <v>0</v>
      </c>
      <c r="D32" s="1823" t="s">
        <v>651</v>
      </c>
      <c r="E32" s="2487"/>
      <c r="F32" s="2491"/>
      <c r="G32" s="2062"/>
      <c r="H32" s="2065"/>
      <c r="I32" s="2066"/>
      <c r="J32" s="2067"/>
      <c r="K32" s="2068"/>
      <c r="L32" s="2069"/>
      <c r="M32" s="2070"/>
    </row>
    <row r="33" spans="1:18" ht="18" customHeight="1">
      <c r="A33" s="803" t="s">
        <v>1875</v>
      </c>
      <c r="B33" s="784" t="s">
        <v>655</v>
      </c>
      <c r="C33" s="53">
        <f ca="1">ROUND(IF(项目基本情况!B11="自然人",C7*F33,C34+C35+C36),1)</f>
        <v>0</v>
      </c>
      <c r="D33" s="1979" t="s">
        <v>656</v>
      </c>
      <c r="E33" s="1977" t="s">
        <v>689</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1874</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62"/>
      <c r="H35" s="2077"/>
      <c r="I35" s="2077"/>
      <c r="J35" s="2077"/>
      <c r="K35" s="2078"/>
      <c r="L35" s="2077"/>
      <c r="M35" s="2077"/>
    </row>
    <row r="36" spans="1:18" ht="18" customHeight="1">
      <c r="A36" s="813" t="s">
        <v>1879</v>
      </c>
      <c r="B36" s="341" t="s">
        <v>667</v>
      </c>
      <c r="C36" s="54">
        <f ca="1">ROUND(F36*F37/10000,1)</f>
        <v>0</v>
      </c>
      <c r="D36" s="814" t="s">
        <v>668</v>
      </c>
      <c r="E36" s="784" t="s">
        <v>669</v>
      </c>
      <c r="F36" s="640">
        <f>'数据-取费表'!B52</f>
        <v>5</v>
      </c>
      <c r="G36" s="2062"/>
      <c r="H36" s="2065"/>
      <c r="I36" s="3454"/>
      <c r="J36" s="2079"/>
      <c r="K36" s="2080"/>
      <c r="L36" s="2079"/>
      <c r="M36" s="2079"/>
    </row>
    <row r="37" spans="1:18" ht="18" customHeight="1">
      <c r="A37" s="815"/>
      <c r="B37" s="793"/>
      <c r="C37" s="69"/>
      <c r="D37" s="816"/>
      <c r="E37" s="784" t="s">
        <v>673</v>
      </c>
      <c r="F37" s="785">
        <f ca="1">INDIRECT("'数据-取费表'!r"&amp;$G$1)</f>
        <v>0</v>
      </c>
      <c r="G37" s="2062"/>
      <c r="H37" s="2065"/>
      <c r="I37" s="3454"/>
      <c r="J37" s="2077"/>
      <c r="K37" s="2078"/>
      <c r="L37" s="2077"/>
      <c r="M37" s="2077"/>
    </row>
    <row r="38" spans="1:18" ht="18" customHeight="1">
      <c r="A38" s="803" t="s">
        <v>1876</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1877</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1878</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31">
        <v>4</v>
      </c>
      <c r="B41" s="1829" t="s">
        <v>691</v>
      </c>
      <c r="C41" s="1353"/>
      <c r="D41" s="1354"/>
      <c r="E41" s="1354"/>
      <c r="F41" s="1355"/>
      <c r="G41" s="2062"/>
      <c r="H41" s="2062"/>
      <c r="I41" s="2062"/>
      <c r="J41" s="2062"/>
      <c r="K41" s="2083"/>
      <c r="L41" s="2062"/>
      <c r="M41" s="2062"/>
    </row>
    <row r="42" spans="1:18" ht="18" customHeight="1">
      <c r="A42" s="803" t="s">
        <v>1875</v>
      </c>
      <c r="B42" s="835" t="s">
        <v>692</v>
      </c>
      <c r="C42" s="829">
        <f ca="1">C7-C32</f>
        <v>0</v>
      </c>
      <c r="D42" s="1979" t="s">
        <v>693</v>
      </c>
      <c r="E42" s="1981"/>
      <c r="F42" s="820"/>
      <c r="G42" s="2062"/>
      <c r="H42" s="2062"/>
      <c r="I42" s="2062"/>
      <c r="J42" s="2062"/>
      <c r="K42" s="2083"/>
      <c r="L42" s="2062"/>
      <c r="M42" s="2062"/>
    </row>
    <row r="43" spans="1:18" ht="18" customHeight="1">
      <c r="A43" s="803" t="s">
        <v>1876</v>
      </c>
      <c r="B43" s="835" t="s">
        <v>710</v>
      </c>
      <c r="C43" s="836">
        <f ca="1">ROUND(C15*F43,0)</f>
        <v>0</v>
      </c>
      <c r="D43" s="1356" t="s">
        <v>711</v>
      </c>
      <c r="E43" s="3120" t="s">
        <v>2961</v>
      </c>
      <c r="F43" s="3121">
        <f ca="1">INDIRECT("'数据-取费表'!j"&amp;$G$1)</f>
        <v>0</v>
      </c>
      <c r="G43" s="2062"/>
      <c r="H43" s="2062"/>
      <c r="I43" s="2062"/>
      <c r="J43" s="2062"/>
      <c r="K43" s="2083"/>
      <c r="L43" s="2062"/>
      <c r="M43" s="2062"/>
    </row>
    <row r="44" spans="1:18" ht="18" customHeight="1">
      <c r="A44" s="803" t="s">
        <v>1877</v>
      </c>
      <c r="B44" s="835" t="s">
        <v>712</v>
      </c>
      <c r="C44" s="1357">
        <f ca="1">C42-C43</f>
        <v>0</v>
      </c>
      <c r="D44" s="463" t="s">
        <v>713</v>
      </c>
      <c r="E44" s="464"/>
      <c r="F44" s="465"/>
      <c r="G44" s="2062"/>
      <c r="H44" s="2062"/>
      <c r="I44" s="2062"/>
      <c r="J44" s="2062"/>
      <c r="K44" s="2083"/>
      <c r="L44" s="2062"/>
      <c r="M44" s="2062"/>
    </row>
    <row r="45" spans="1:18" ht="18" customHeight="1">
      <c r="A45" s="803" t="s">
        <v>1878</v>
      </c>
      <c r="B45" s="1356" t="s">
        <v>714</v>
      </c>
      <c r="C45" s="3037">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22" t="s">
        <v>2964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58" t="str">
        <f ca="1">IF(M48="住宅",0,IF(L49&gt;J52,L61,J61))</f>
        <v>0</v>
      </c>
      <c r="O47" s="2394" t="s">
        <v>2411</v>
      </c>
      <c r="P47" s="1593"/>
      <c r="Q47" s="1605"/>
      <c r="R47" s="1593"/>
    </row>
    <row r="48" spans="1:18" s="2059" customFormat="1" ht="18" customHeight="1" thickBot="1">
      <c r="A48" s="2084"/>
      <c r="C48" s="2087"/>
      <c r="D48" s="2088"/>
      <c r="E48" s="2088"/>
      <c r="F48" s="2089"/>
      <c r="G48" s="2090"/>
      <c r="I48" s="3148" t="s">
        <v>2345</v>
      </c>
      <c r="J48" s="2381"/>
      <c r="K48" s="3155" t="s">
        <v>2350</v>
      </c>
      <c r="L48" s="3159">
        <f ca="1">INDIRECT("'数据-取费表'!d"&amp;$G$1)</f>
        <v>0</v>
      </c>
      <c r="M48" s="3119"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4" t="s">
        <v>2346</v>
      </c>
      <c r="J49" s="2382"/>
      <c r="K49" s="3156" t="s">
        <v>2352</v>
      </c>
      <c r="L49" s="1910">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4" t="s">
        <v>2347</v>
      </c>
      <c r="J50" s="2383"/>
      <c r="K50" s="3157"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4" t="s">
        <v>2348</v>
      </c>
      <c r="J51" s="3152">
        <f>SUMPRODUCT((I64:I66=J48)*(J63:L63=J49)*(J64:L66))</f>
        <v>0</v>
      </c>
      <c r="K51" s="3157" t="s">
        <v>2354</v>
      </c>
      <c r="L51" s="2384"/>
      <c r="O51" s="2401" t="s">
        <v>2384</v>
      </c>
      <c r="P51" s="2399" t="s">
        <v>2408</v>
      </c>
      <c r="Q51" s="2400">
        <f ca="1">C31</f>
        <v>0</v>
      </c>
      <c r="R51" s="2399" t="s">
        <v>2381</v>
      </c>
    </row>
    <row r="52" spans="1:18" s="2059" customFormat="1" ht="18" customHeight="1" thickBot="1">
      <c r="A52" s="2096"/>
      <c r="F52" s="2085"/>
      <c r="I52" s="3149" t="s">
        <v>2349</v>
      </c>
      <c r="J52" s="3153">
        <f>IF(J50="",J51,J50+J51-YEAR('数据-取费表'!B3))</f>
        <v>0</v>
      </c>
      <c r="K52" s="3124" t="s">
        <v>2355</v>
      </c>
      <c r="L52" s="3160">
        <f ca="1">ROUND(-PV(INDIRECT("'数据-取费表'!h"&amp;$G$1),L49,(C40-C14*J36),0),0)</f>
        <v>0</v>
      </c>
      <c r="O52" s="2401" t="s">
        <v>2385</v>
      </c>
      <c r="P52" s="2399" t="s">
        <v>2386</v>
      </c>
      <c r="Q52" s="2402" t="e">
        <f ca="1">J59</f>
        <v>#VALUE!</v>
      </c>
      <c r="R52" s="2403"/>
    </row>
    <row r="53" spans="1:18" s="2059" customFormat="1" ht="18" customHeight="1" thickBot="1">
      <c r="A53" s="2096"/>
      <c r="F53" s="2085"/>
      <c r="I53" s="3150" t="s">
        <v>2422</v>
      </c>
      <c r="J53" s="2385"/>
      <c r="K53" s="3150" t="s">
        <v>2421</v>
      </c>
      <c r="L53" s="2385"/>
      <c r="O53" s="2401" t="s">
        <v>2387</v>
      </c>
      <c r="P53" s="2399" t="s">
        <v>2388</v>
      </c>
      <c r="Q53" s="2402">
        <f>J53</f>
        <v>0</v>
      </c>
      <c r="R53" s="2403"/>
    </row>
    <row r="54" spans="1:18" s="2059" customFormat="1" ht="31.8" thickBot="1">
      <c r="A54" s="2096"/>
      <c r="I54" s="3151" t="s">
        <v>2978</v>
      </c>
      <c r="J54" s="3154">
        <f ca="1">IF(M48="住宅",MAX(J52,L49-'数据-取费表'!B20),MIN(J52,L49-'数据-取费表'!B20))</f>
        <v>-1.5</v>
      </c>
      <c r="K54" s="3459"/>
      <c r="L54" s="3460"/>
      <c r="O54" s="2401" t="s">
        <v>2389</v>
      </c>
      <c r="P54" s="2399" t="s">
        <v>2390</v>
      </c>
      <c r="Q54" s="2400">
        <f ca="1">J54</f>
        <v>-1.5</v>
      </c>
      <c r="R54" s="2399" t="s">
        <v>2391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2392</v>
      </c>
      <c r="P55" s="2399" t="s">
        <v>2409</v>
      </c>
      <c r="Q55" s="2400">
        <f ca="1">Q49+Q50</f>
        <v>0</v>
      </c>
      <c r="R55" s="2403" t="s">
        <v>2393</v>
      </c>
    </row>
    <row r="56" spans="1:18" s="2059" customFormat="1" ht="16.2" thickBot="1">
      <c r="A56" s="2096"/>
      <c r="B56" s="2097"/>
      <c r="C56" s="2097"/>
      <c r="I56" s="3163" t="s">
        <v>2356</v>
      </c>
      <c r="J56" s="3099" t="e">
        <f ca="1">ROUND(IF(J48="钢混",J58/J51,1-(1-2%)*(J51-J58)/J51),3)</f>
        <v>#VALUE!</v>
      </c>
      <c r="K56" s="3164" t="s">
        <v>2357</v>
      </c>
      <c r="L56" s="2386"/>
      <c r="O56" s="2404" t="s">
        <v>2412</v>
      </c>
      <c r="P56" s="1593"/>
      <c r="Q56" s="1605"/>
      <c r="R56" s="1593"/>
    </row>
    <row r="57" spans="1:18" s="2059" customFormat="1" ht="47.4" thickBot="1">
      <c r="A57" s="2096"/>
      <c r="B57" s="2097"/>
      <c r="C57" s="2097"/>
      <c r="I57" s="3165" t="s">
        <v>2358</v>
      </c>
      <c r="J57" s="3175" t="s">
        <v>1677</v>
      </c>
      <c r="K57" s="3124" t="s">
        <v>2363</v>
      </c>
      <c r="L57" s="1910">
        <f ca="1">IF(L49&lt;J52,"——",L49-J52)</f>
        <v>0</v>
      </c>
      <c r="O57" s="2395" t="s">
        <v>2376</v>
      </c>
      <c r="P57" s="2396" t="s">
        <v>2377</v>
      </c>
      <c r="Q57" s="2397" t="s">
        <v>2378</v>
      </c>
      <c r="R57" s="2396" t="s">
        <v>2379</v>
      </c>
    </row>
    <row r="58" spans="1:18" s="2059" customFormat="1" ht="31.8" thickBot="1">
      <c r="A58" s="2096"/>
      <c r="B58" s="2097"/>
      <c r="C58" s="2097"/>
      <c r="I58" s="3166" t="s">
        <v>2359</v>
      </c>
      <c r="J58" s="3167" t="str">
        <f ca="1">IF(OR(M48="住宅",J52&lt;L49,J57="是"),"——",J52-L49)</f>
        <v>——</v>
      </c>
      <c r="K58" s="3124" t="s">
        <v>2364</v>
      </c>
      <c r="L58" s="1910">
        <f ca="1">IF(L49&lt;J52,"——",IF(L56="比较法",L50,IF(L56="基准地价",L51,L52)))</f>
        <v>0</v>
      </c>
      <c r="O58" s="2398" t="s">
        <v>2380</v>
      </c>
      <c r="P58" s="2399" t="s">
        <v>2406</v>
      </c>
      <c r="Q58" s="2400">
        <f ca="1">C41+J31</f>
        <v>0</v>
      </c>
      <c r="R58" s="2399" t="s">
        <v>2381</v>
      </c>
    </row>
    <row r="59" spans="1:18" s="2059" customFormat="1" ht="31.8" thickBot="1">
      <c r="A59" s="2096"/>
      <c r="B59" s="2097"/>
      <c r="C59" s="2097"/>
      <c r="I59" s="3166" t="s">
        <v>2360</v>
      </c>
      <c r="J59" s="3100" t="e">
        <f ca="1">IF(J56&lt;0.4,0.4,J56)</f>
        <v>#VALUE!</v>
      </c>
      <c r="K59" s="3124" t="s">
        <v>2365</v>
      </c>
      <c r="L59" s="1910">
        <f ca="1">IF(ISERROR(POWER(1+L53,L48-L49)*(POWER(1+L53,L49)-1)/(POWER(1+L53,L48)-1)),0,POWER(1+L53,L48-L49)*(POWER(1+L53,L49)-1)/(POWER(1+L53,L48)-1))</f>
        <v>0</v>
      </c>
      <c r="O59" s="2398" t="s">
        <v>2382</v>
      </c>
      <c r="P59" s="2399" t="s">
        <v>2413</v>
      </c>
      <c r="Q59" s="2400" t="e">
        <f ca="1">L61</f>
        <v>#DIV/0!</v>
      </c>
      <c r="R59" s="2403" t="s">
        <v>2415</v>
      </c>
    </row>
    <row r="60" spans="1:18" s="2059" customFormat="1" ht="31.8" thickBot="1">
      <c r="A60" s="2096"/>
      <c r="B60" s="2097"/>
      <c r="C60" s="2097"/>
      <c r="I60" s="3166" t="s">
        <v>2361</v>
      </c>
      <c r="J60" s="3167" t="str">
        <f ca="1">IF(OR(M48="住宅",J52&lt;L49,J57="是"),"——",ROUND(C30*J59,0))</f>
        <v>——</v>
      </c>
      <c r="K60" s="3124" t="s">
        <v>2366</v>
      </c>
      <c r="L60" s="1910">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6.2" thickBot="1">
      <c r="A61" s="2096"/>
      <c r="B61" s="2097"/>
      <c r="C61" s="2097"/>
      <c r="I61" s="3168" t="s">
        <v>2362</v>
      </c>
      <c r="J61" s="3169" t="str">
        <f ca="1">IF(OR(M48="住宅",J52&lt;L49,J57="是"),"0",ROUND(J60/(1+J53)^J54,0))</f>
        <v>0</v>
      </c>
      <c r="K61" s="3170" t="s">
        <v>2367</v>
      </c>
      <c r="L61" s="3169" t="e">
        <f ca="1">IF(OR(M48="住宅",L49&lt;J52),0,ROUND(L58*(L59/L60-1),0))</f>
        <v>#DIV/0!</v>
      </c>
      <c r="O61" s="2401" t="s">
        <v>2385</v>
      </c>
      <c r="P61" s="2399" t="s">
        <v>2394</v>
      </c>
      <c r="Q61" s="2402">
        <f>L53</f>
        <v>0</v>
      </c>
      <c r="R61" s="2403"/>
    </row>
    <row r="62" spans="1:18" s="2059" customFormat="1" ht="19.2" thickBot="1">
      <c r="A62" s="2096"/>
      <c r="B62" s="2097"/>
      <c r="C62" s="2097"/>
      <c r="K62" s="2086"/>
      <c r="O62" s="2401" t="s">
        <v>2387</v>
      </c>
      <c r="P62" s="2399" t="s">
        <v>2395</v>
      </c>
      <c r="Q62" s="2400">
        <f ca="1">L59</f>
        <v>0</v>
      </c>
      <c r="R62" s="2403" t="s">
        <v>2396</v>
      </c>
    </row>
    <row r="63" spans="1:18" s="2059" customFormat="1" ht="19.2" thickBot="1">
      <c r="A63" s="2096"/>
      <c r="B63" s="2097"/>
      <c r="C63" s="2097"/>
      <c r="I63" s="3171" t="s">
        <v>2368</v>
      </c>
      <c r="J63" s="3172" t="s">
        <v>2369</v>
      </c>
      <c r="K63" s="3172" t="s">
        <v>2370</v>
      </c>
      <c r="L63" s="3172" t="s">
        <v>2351</v>
      </c>
      <c r="M63" s="3173" t="s">
        <v>2941</v>
      </c>
      <c r="O63" s="2401" t="s">
        <v>2389</v>
      </c>
      <c r="P63" s="2399" t="s">
        <v>2397</v>
      </c>
      <c r="Q63" s="2400">
        <f ca="1">L60</f>
        <v>0</v>
      </c>
      <c r="R63" s="2403" t="s">
        <v>2398</v>
      </c>
    </row>
    <row r="64" spans="1:18" s="2059" customFormat="1" ht="16.2" thickBot="1">
      <c r="A64" s="2096"/>
      <c r="B64" s="2097"/>
      <c r="C64" s="2097"/>
      <c r="I64" s="3171" t="s">
        <v>2371</v>
      </c>
      <c r="J64" s="3172">
        <v>70</v>
      </c>
      <c r="K64" s="3172">
        <v>50</v>
      </c>
      <c r="L64" s="3172">
        <v>80</v>
      </c>
      <c r="M64" s="3174">
        <v>0.02</v>
      </c>
      <c r="O64" s="2398" t="s">
        <v>2392</v>
      </c>
      <c r="P64" s="2399" t="s">
        <v>2409</v>
      </c>
      <c r="Q64" s="2400" t="e">
        <f ca="1">Q58+Q59</f>
        <v>#DIV/0!</v>
      </c>
      <c r="R64" s="2403" t="s">
        <v>2393</v>
      </c>
    </row>
    <row r="65" spans="1:18" s="2059" customFormat="1" ht="16.2" thickBot="1">
      <c r="A65" s="2096"/>
      <c r="B65" s="2097"/>
      <c r="C65" s="2097"/>
      <c r="I65" s="3171" t="s">
        <v>2372</v>
      </c>
      <c r="J65" s="3172">
        <v>50</v>
      </c>
      <c r="K65" s="3172">
        <v>35</v>
      </c>
      <c r="L65" s="3172">
        <v>60</v>
      </c>
      <c r="M65" s="846">
        <v>0</v>
      </c>
      <c r="O65" s="2404" t="s">
        <v>2416</v>
      </c>
      <c r="P65" s="1593"/>
      <c r="Q65" s="1605"/>
      <c r="R65" s="1593"/>
    </row>
    <row r="66" spans="1:18" s="2059" customFormat="1" ht="16.2" thickBot="1">
      <c r="A66" s="2096"/>
      <c r="B66" s="2097"/>
      <c r="C66" s="2097"/>
      <c r="I66" s="3171" t="s">
        <v>2373</v>
      </c>
      <c r="J66" s="3172">
        <v>40</v>
      </c>
      <c r="K66" s="3172">
        <v>30</v>
      </c>
      <c r="L66" s="3172">
        <v>50</v>
      </c>
      <c r="M66" s="3174">
        <v>0.02</v>
      </c>
      <c r="O66" s="2395" t="s">
        <v>2376</v>
      </c>
      <c r="P66" s="2396" t="s">
        <v>2377</v>
      </c>
      <c r="Q66" s="2397" t="s">
        <v>2378</v>
      </c>
      <c r="R66" s="2396" t="s">
        <v>2379</v>
      </c>
    </row>
    <row r="67" spans="1:18" s="2059" customFormat="1" ht="16.2" thickBot="1">
      <c r="A67" s="2096"/>
      <c r="B67" s="2097"/>
      <c r="C67" s="2097"/>
      <c r="K67" s="2086"/>
      <c r="O67" s="2398" t="s">
        <v>2380</v>
      </c>
      <c r="P67" s="2399" t="s">
        <v>2406</v>
      </c>
      <c r="Q67" s="2400">
        <f ca="1">C41+J31</f>
        <v>0</v>
      </c>
      <c r="R67" s="2399" t="s">
        <v>2381</v>
      </c>
    </row>
    <row r="68" spans="1:18" s="2059" customFormat="1" ht="19.2" thickBot="1">
      <c r="A68" s="2096"/>
      <c r="B68" s="2097"/>
      <c r="C68" s="2097"/>
      <c r="K68" s="2086"/>
      <c r="O68" s="2398" t="s">
        <v>2382</v>
      </c>
      <c r="P68" s="2399" t="s">
        <v>2413</v>
      </c>
      <c r="Q68" s="2400" t="e">
        <f ca="1">L61</f>
        <v>#DIV/0!</v>
      </c>
      <c r="R68" s="2403" t="s">
        <v>2415</v>
      </c>
    </row>
    <row r="69" spans="1:18" s="2059" customFormat="1" ht="20.399999999999999" thickBot="1">
      <c r="A69" s="2096"/>
      <c r="B69" s="2097"/>
      <c r="C69" s="2097"/>
      <c r="K69" s="2086"/>
      <c r="O69" s="2401" t="s">
        <v>2384</v>
      </c>
      <c r="P69" s="2399" t="s">
        <v>2414</v>
      </c>
      <c r="Q69" s="2405">
        <f ca="1">L52</f>
        <v>0</v>
      </c>
      <c r="R69" s="2406" t="s">
        <v>2417</v>
      </c>
    </row>
    <row r="70" spans="1:18" s="2059" customFormat="1" ht="19.2" thickBot="1">
      <c r="A70" s="2096"/>
      <c r="B70" s="2097"/>
      <c r="C70" s="2097"/>
      <c r="K70" s="2086"/>
      <c r="O70" s="2401" t="s">
        <v>2385</v>
      </c>
      <c r="P70" s="2407" t="s">
        <v>2399</v>
      </c>
      <c r="Q70" s="2400">
        <f ca="1">ROUND(Q71-Q72*Q73,0)</f>
        <v>0</v>
      </c>
      <c r="R70" s="2403"/>
    </row>
    <row r="71" spans="1:18" s="2059" customFormat="1" ht="16.2" thickBot="1">
      <c r="A71" s="2096"/>
      <c r="B71" s="2097"/>
      <c r="C71" s="2097"/>
      <c r="K71" s="2086"/>
      <c r="O71" s="2401" t="s">
        <v>2400</v>
      </c>
      <c r="P71" s="2407" t="s">
        <v>2401</v>
      </c>
      <c r="Q71" s="2400">
        <f ca="1">C42</f>
        <v>0</v>
      </c>
      <c r="R71" s="2399" t="s">
        <v>2381</v>
      </c>
    </row>
    <row r="72" spans="1:18" s="2059" customFormat="1" ht="16.2" thickBot="1">
      <c r="A72" s="2096"/>
      <c r="B72" s="2097"/>
      <c r="C72" s="2097"/>
      <c r="K72" s="2086"/>
      <c r="O72" s="2401" t="s">
        <v>2402</v>
      </c>
      <c r="P72" s="2407" t="s">
        <v>2403</v>
      </c>
      <c r="Q72" s="2400">
        <f ca="1">C15</f>
        <v>0</v>
      </c>
      <c r="R72" s="2399" t="s">
        <v>2381</v>
      </c>
    </row>
    <row r="73" spans="1:18" s="2059" customFormat="1" ht="16.2" thickBot="1">
      <c r="A73" s="2096"/>
      <c r="B73" s="2097"/>
      <c r="C73" s="2097"/>
      <c r="K73" s="2086"/>
      <c r="O73" s="2401" t="s">
        <v>2404</v>
      </c>
      <c r="P73" s="2407" t="s">
        <v>2405</v>
      </c>
      <c r="Q73" s="2402">
        <f ca="1">F43</f>
        <v>0</v>
      </c>
      <c r="R73" s="2403"/>
    </row>
    <row r="74" spans="1:18" s="2059" customFormat="1" ht="16.2" thickBot="1">
      <c r="A74" s="2096"/>
      <c r="B74" s="2097"/>
      <c r="C74" s="2097"/>
      <c r="K74" s="2086"/>
      <c r="O74" s="2401" t="s">
        <v>2387</v>
      </c>
      <c r="P74" s="2399" t="s">
        <v>2394</v>
      </c>
      <c r="Q74" s="2402">
        <f>L53</f>
        <v>0</v>
      </c>
      <c r="R74" s="2403"/>
    </row>
    <row r="75" spans="1:18" s="2059" customFormat="1" ht="19.2" thickBot="1">
      <c r="A75" s="2096"/>
      <c r="B75" s="2097"/>
      <c r="C75" s="2097"/>
      <c r="K75" s="2086"/>
      <c r="O75" s="2401" t="s">
        <v>2389</v>
      </c>
      <c r="P75" s="2399" t="s">
        <v>2395</v>
      </c>
      <c r="Q75" s="2400">
        <f ca="1">L59</f>
        <v>0</v>
      </c>
      <c r="R75" s="2403" t="s">
        <v>2396</v>
      </c>
    </row>
    <row r="76" spans="1:18" s="2059" customFormat="1" ht="19.2" thickBot="1">
      <c r="A76" s="2096"/>
      <c r="B76" s="2097"/>
      <c r="C76" s="2097"/>
      <c r="K76" s="2086"/>
      <c r="O76" s="2401" t="s">
        <v>2418</v>
      </c>
      <c r="P76" s="2399" t="s">
        <v>2397</v>
      </c>
      <c r="Q76" s="2400">
        <f ca="1">L60</f>
        <v>0</v>
      </c>
      <c r="R76" s="2403" t="s">
        <v>2398</v>
      </c>
    </row>
    <row r="77" spans="1:18" s="2059" customFormat="1" ht="16.2"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63" t="s">
        <v>2577</v>
      </c>
      <c r="C1" s="3463"/>
      <c r="D1" s="3463"/>
      <c r="E1" s="3463"/>
      <c r="F1" s="3463"/>
      <c r="G1" s="3462" t="s">
        <v>2578</v>
      </c>
      <c r="H1" s="3462"/>
      <c r="I1" s="3462"/>
      <c r="J1" s="3462"/>
      <c r="K1" s="3462"/>
      <c r="L1" s="3462"/>
      <c r="N1" s="3462" t="s">
        <v>2579</v>
      </c>
      <c r="O1" s="3462"/>
      <c r="P1" s="3462"/>
      <c r="Q1" s="3462"/>
      <c r="R1" s="2654"/>
      <c r="S1" s="3462" t="s">
        <v>2580</v>
      </c>
      <c r="T1" s="3462"/>
      <c r="U1" s="3462"/>
      <c r="V1" s="3462"/>
      <c r="X1" s="3461" t="s">
        <v>2640</v>
      </c>
      <c r="Y1" s="3462"/>
      <c r="Z1" s="3462"/>
      <c r="AA1" s="3462"/>
      <c r="AB1" s="3462"/>
      <c r="AD1" s="3461" t="s">
        <v>2644</v>
      </c>
      <c r="AE1" s="3462"/>
      <c r="AF1" s="3462"/>
      <c r="AG1" s="3462"/>
      <c r="AH1" s="3462"/>
    </row>
    <row r="2" spans="1:34" s="2756" customFormat="1" ht="15" thickBot="1">
      <c r="B2" s="2764" t="s">
        <v>2581</v>
      </c>
      <c r="C2" s="2764" t="s">
        <v>2642</v>
      </c>
      <c r="D2" s="2757" t="s">
        <v>1643</v>
      </c>
      <c r="E2" s="2757" t="s">
        <v>1950</v>
      </c>
      <c r="F2" s="2764" t="s">
        <v>2643</v>
      </c>
      <c r="G2" s="2760"/>
      <c r="H2" s="2759"/>
      <c r="I2" s="2764" t="s">
        <v>2955</v>
      </c>
      <c r="J2" s="2757" t="s">
        <v>2957</v>
      </c>
      <c r="K2" s="2757" t="s">
        <v>2958</v>
      </c>
      <c r="L2" s="2764" t="s">
        <v>2959</v>
      </c>
      <c r="N2" s="2764" t="s">
        <v>2581</v>
      </c>
      <c r="O2" s="2757" t="s">
        <v>2956</v>
      </c>
      <c r="P2" s="2757" t="s">
        <v>1950</v>
      </c>
      <c r="Q2" s="2764" t="s">
        <v>2643</v>
      </c>
      <c r="R2" s="2758"/>
      <c r="S2" s="2764" t="s">
        <v>2581</v>
      </c>
      <c r="T2" s="2757" t="s">
        <v>2956</v>
      </c>
      <c r="U2" s="2757" t="s">
        <v>1950</v>
      </c>
      <c r="V2" s="2764" t="s">
        <v>2643</v>
      </c>
      <c r="X2" s="2764" t="s">
        <v>2581</v>
      </c>
      <c r="Y2" s="2764" t="s">
        <v>2642</v>
      </c>
      <c r="Z2" s="2757" t="s">
        <v>1643</v>
      </c>
      <c r="AA2" s="2757" t="s">
        <v>1950</v>
      </c>
      <c r="AB2" s="2764" t="s">
        <v>2643</v>
      </c>
      <c r="AD2" s="2764" t="s">
        <v>2581</v>
      </c>
      <c r="AE2" s="2764" t="s">
        <v>2642</v>
      </c>
      <c r="AF2" s="2757" t="s">
        <v>1643</v>
      </c>
      <c r="AG2" s="2757" t="s">
        <v>1950</v>
      </c>
      <c r="AH2" s="2764" t="s">
        <v>2643</v>
      </c>
    </row>
    <row r="3" spans="1:34" s="3132" customFormat="1" ht="14.4">
      <c r="A3" s="3144" t="s">
        <v>2968</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4">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2979</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2969</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8" thickBot="1">
      <c r="A6" s="2655" t="s">
        <v>2980</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8" thickBot="1">
      <c r="A7" s="2655" t="s">
        <v>2975</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2966</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8" thickBot="1">
      <c r="A9" s="2655" t="s">
        <v>2970</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8"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969</v>
      </c>
      <c r="B12" s="2661">
        <v>392</v>
      </c>
      <c r="C12" s="2661">
        <v>302</v>
      </c>
      <c r="D12" s="2661">
        <f t="shared" si="23"/>
        <v>302</v>
      </c>
      <c r="E12" s="2661">
        <v>553</v>
      </c>
      <c r="F12" s="2662">
        <v>266</v>
      </c>
      <c r="G12" s="3470">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968</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65"/>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958</v>
      </c>
      <c r="B14" s="2669">
        <f t="shared" si="44"/>
        <v>360.06949782209392</v>
      </c>
      <c r="C14" s="2669">
        <f t="shared" si="44"/>
        <v>289.84672674747821</v>
      </c>
      <c r="D14" s="2669">
        <f t="shared" si="45"/>
        <v>289.84672674747821</v>
      </c>
      <c r="E14" s="2669">
        <f t="shared" si="46"/>
        <v>501.06543001181495</v>
      </c>
      <c r="F14" s="2669">
        <f t="shared" si="46"/>
        <v>256.82882500744967</v>
      </c>
      <c r="G14" s="3465"/>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8" thickBot="1">
      <c r="A15" s="2655" t="s">
        <v>967</v>
      </c>
      <c r="B15" s="2669">
        <f t="shared" si="44"/>
        <v>346.720748986128</v>
      </c>
      <c r="C15" s="2669">
        <f t="shared" si="44"/>
        <v>284.30282172386285</v>
      </c>
      <c r="D15" s="2669">
        <f t="shared" si="45"/>
        <v>284.30282172386285</v>
      </c>
      <c r="E15" s="2669">
        <f t="shared" si="46"/>
        <v>479.58023546306947</v>
      </c>
      <c r="F15" s="2669">
        <f t="shared" si="46"/>
        <v>253.25788877571213</v>
      </c>
      <c r="G15" s="3466"/>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8" thickBot="1">
      <c r="A16" s="2655" t="s">
        <v>966</v>
      </c>
      <c r="B16" s="2661">
        <v>333</v>
      </c>
      <c r="C16" s="2661">
        <v>277</v>
      </c>
      <c r="D16" s="2661">
        <f t="shared" si="45"/>
        <v>277</v>
      </c>
      <c r="E16" s="2661">
        <v>459</v>
      </c>
      <c r="F16" s="2662">
        <v>249</v>
      </c>
      <c r="G16" s="3464">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965</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65"/>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964</v>
      </c>
      <c r="B18" s="2669">
        <f t="shared" si="48"/>
        <v>322.34053690220776</v>
      </c>
      <c r="C18" s="2669">
        <f t="shared" si="48"/>
        <v>271.46160770422546</v>
      </c>
      <c r="D18" s="2669">
        <f t="shared" si="45"/>
        <v>271.46160770422546</v>
      </c>
      <c r="E18" s="2669">
        <f t="shared" si="49"/>
        <v>442.69434542172456</v>
      </c>
      <c r="F18" s="2669">
        <f t="shared" si="49"/>
        <v>241.34030753190925</v>
      </c>
      <c r="G18" s="3465"/>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963</v>
      </c>
      <c r="B19" s="2669">
        <f t="shared" si="48"/>
        <v>319.87748030386797</v>
      </c>
      <c r="C19" s="2669">
        <f t="shared" si="48"/>
        <v>269.60135833173649</v>
      </c>
      <c r="D19" s="2669">
        <f t="shared" si="45"/>
        <v>269.60135833173649</v>
      </c>
      <c r="E19" s="2669">
        <f t="shared" si="49"/>
        <v>439.18089823583784</v>
      </c>
      <c r="F19" s="2669">
        <f t="shared" si="49"/>
        <v>239.23503918706311</v>
      </c>
      <c r="G19" s="3466"/>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8" thickBot="1">
      <c r="A20" s="2655" t="s">
        <v>962</v>
      </c>
      <c r="B20" s="2683">
        <v>318</v>
      </c>
      <c r="C20" s="2683">
        <v>268</v>
      </c>
      <c r="D20" s="2683">
        <f t="shared" si="45"/>
        <v>268</v>
      </c>
      <c r="E20" s="2683">
        <v>437</v>
      </c>
      <c r="F20" s="2684">
        <v>237</v>
      </c>
      <c r="G20" s="3464">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961</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65"/>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8" thickBot="1">
      <c r="A22" s="2655" t="s">
        <v>960</v>
      </c>
      <c r="B22" s="2669">
        <f t="shared" si="50"/>
        <v>314.72141172386546</v>
      </c>
      <c r="C22" s="2669">
        <f t="shared" si="50"/>
        <v>263.03901319069001</v>
      </c>
      <c r="D22" s="2669">
        <f t="shared" si="45"/>
        <v>263.03901319069001</v>
      </c>
      <c r="E22" s="2669">
        <f t="shared" si="51"/>
        <v>433.65745506782821</v>
      </c>
      <c r="F22" s="2669">
        <f t="shared" si="51"/>
        <v>233.23005080045735</v>
      </c>
      <c r="G22" s="3465"/>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8" thickBot="1">
      <c r="A23" s="2687" t="s">
        <v>959</v>
      </c>
      <c r="B23" s="2688">
        <f t="shared" si="50"/>
        <v>307.34512863658733</v>
      </c>
      <c r="C23" s="2688">
        <f t="shared" si="50"/>
        <v>257.80556031626975</v>
      </c>
      <c r="D23" s="2688">
        <f t="shared" si="45"/>
        <v>257.80556031626975</v>
      </c>
      <c r="E23" s="2688">
        <f t="shared" si="51"/>
        <v>422.70928459677179</v>
      </c>
      <c r="F23" s="2688">
        <f t="shared" si="51"/>
        <v>229.73803270336617</v>
      </c>
      <c r="G23" s="3466"/>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8" thickBot="1">
      <c r="A24" s="2655" t="s">
        <v>2584</v>
      </c>
      <c r="B24" s="2661">
        <v>299</v>
      </c>
      <c r="C24" s="2661">
        <v>252</v>
      </c>
      <c r="D24" s="2661">
        <f t="shared" si="45"/>
        <v>252</v>
      </c>
      <c r="E24" s="2661">
        <v>409</v>
      </c>
      <c r="F24" s="2662">
        <v>227</v>
      </c>
      <c r="G24" s="3467">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8"/>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68"/>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69"/>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8" thickBot="1">
      <c r="A28" s="2655" t="s">
        <v>2588</v>
      </c>
      <c r="B28" s="2699">
        <v>278</v>
      </c>
      <c r="C28" s="2699">
        <v>234</v>
      </c>
      <c r="D28" s="2699">
        <f t="shared" si="45"/>
        <v>234</v>
      </c>
      <c r="E28" s="2699">
        <v>379</v>
      </c>
      <c r="F28" s="2700">
        <v>220</v>
      </c>
      <c r="G28" s="3464">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65"/>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65"/>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8" thickBot="1">
      <c r="A31" s="2655" t="s">
        <v>2591</v>
      </c>
      <c r="B31" s="2669">
        <f>B30/(1+N30)</f>
        <v>275.19025476197027</v>
      </c>
      <c r="C31" s="2701">
        <v>232</v>
      </c>
      <c r="D31" s="2701">
        <f t="shared" si="45"/>
        <v>232</v>
      </c>
      <c r="E31" s="2669">
        <f t="shared" si="56"/>
        <v>375.65990977608692</v>
      </c>
      <c r="F31" s="2669">
        <f t="shared" si="56"/>
        <v>214.12518283971252</v>
      </c>
      <c r="G31" s="3466"/>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8" thickBot="1">
      <c r="A32" s="2655" t="s">
        <v>2592</v>
      </c>
      <c r="B32" s="2661">
        <v>275</v>
      </c>
      <c r="C32" s="2661">
        <v>232</v>
      </c>
      <c r="D32" s="2661">
        <f t="shared" si="45"/>
        <v>232</v>
      </c>
      <c r="E32" s="2661">
        <v>376</v>
      </c>
      <c r="F32" s="2662">
        <v>213</v>
      </c>
      <c r="G32" s="3464">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65">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65">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8"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66">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8" thickBot="1">
      <c r="A36" s="2655" t="s">
        <v>2596</v>
      </c>
      <c r="B36" s="2661">
        <v>269</v>
      </c>
      <c r="C36" s="2661">
        <v>221</v>
      </c>
      <c r="D36" s="2661">
        <f t="shared" si="45"/>
        <v>221</v>
      </c>
      <c r="E36" s="2661">
        <v>373</v>
      </c>
      <c r="F36" s="2662">
        <v>196</v>
      </c>
      <c r="G36" s="3464">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65">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65">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8"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66">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8" thickBot="1">
      <c r="A40" s="2655" t="s">
        <v>2600</v>
      </c>
      <c r="B40" s="2661">
        <v>220</v>
      </c>
      <c r="C40" s="2661">
        <v>187</v>
      </c>
      <c r="D40" s="2661">
        <f t="shared" si="45"/>
        <v>187</v>
      </c>
      <c r="E40" s="2661">
        <v>301</v>
      </c>
      <c r="F40" s="2662">
        <v>168</v>
      </c>
      <c r="G40" s="3464">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65">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65">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66">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8" thickBot="1">
      <c r="A44" s="2655" t="s">
        <v>2604</v>
      </c>
      <c r="B44" s="2699">
        <v>214</v>
      </c>
      <c r="C44" s="2699">
        <v>188</v>
      </c>
      <c r="D44" s="2699">
        <f t="shared" si="45"/>
        <v>188</v>
      </c>
      <c r="E44" s="2699">
        <v>289</v>
      </c>
      <c r="F44" s="2700">
        <v>166</v>
      </c>
      <c r="G44" s="3464">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65">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65">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8"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66">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8" thickBot="1">
      <c r="A48" s="2655" t="s">
        <v>2608</v>
      </c>
      <c r="B48" s="2661">
        <v>188</v>
      </c>
      <c r="C48" s="2661">
        <v>165</v>
      </c>
      <c r="D48" s="2661">
        <f t="shared" si="45"/>
        <v>165</v>
      </c>
      <c r="E48" s="2661">
        <v>254</v>
      </c>
      <c r="F48" s="2662">
        <v>148</v>
      </c>
      <c r="G48" s="3464">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65">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65">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66">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8" thickBot="1">
      <c r="A52" s="2655" t="s">
        <v>2612</v>
      </c>
      <c r="B52" s="2683">
        <v>159</v>
      </c>
      <c r="C52" s="2683">
        <v>141</v>
      </c>
      <c r="D52" s="2683">
        <f t="shared" si="45"/>
        <v>141</v>
      </c>
      <c r="E52" s="2683">
        <v>195</v>
      </c>
      <c r="F52" s="2684">
        <v>122</v>
      </c>
      <c r="G52" s="3464">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65">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65">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66">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8" thickBot="1">
      <c r="A56" s="2655" t="s">
        <v>2616</v>
      </c>
      <c r="B56" s="2683">
        <v>138</v>
      </c>
      <c r="C56" s="2683">
        <v>131</v>
      </c>
      <c r="D56" s="2683">
        <f t="shared" si="45"/>
        <v>131</v>
      </c>
      <c r="E56" s="2683">
        <v>155</v>
      </c>
      <c r="F56" s="2684">
        <v>114</v>
      </c>
      <c r="G56" s="3464">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65">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65">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66">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8" thickBot="1">
      <c r="A60" s="2655" t="s">
        <v>2620</v>
      </c>
      <c r="B60" s="2699">
        <v>121</v>
      </c>
      <c r="C60" s="2699">
        <v>122</v>
      </c>
      <c r="D60" s="2699">
        <f t="shared" si="45"/>
        <v>122</v>
      </c>
      <c r="E60" s="2699">
        <v>124</v>
      </c>
      <c r="F60" s="2700">
        <v>107</v>
      </c>
      <c r="G60" s="3464">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65">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65">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8"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66">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8" thickBot="1">
      <c r="A64" s="2655" t="s">
        <v>2624</v>
      </c>
      <c r="B64" s="2720">
        <v>111</v>
      </c>
      <c r="C64" s="2720">
        <v>114</v>
      </c>
      <c r="D64" s="2720">
        <f t="shared" si="45"/>
        <v>114</v>
      </c>
      <c r="E64" s="2720">
        <v>108</v>
      </c>
      <c r="F64" s="2721">
        <v>104</v>
      </c>
      <c r="G64" s="3464">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65">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65">
        <v>2003</v>
      </c>
      <c r="H66" s="2660">
        <v>2</v>
      </c>
      <c r="I66" s="2722"/>
      <c r="J66" s="2722"/>
      <c r="K66" s="2722"/>
      <c r="L66" s="2722"/>
      <c r="X66" s="2714"/>
      <c r="Y66" s="2714"/>
      <c r="Z66" s="2714"/>
    </row>
    <row r="67" spans="1:26" ht="13.8" thickBot="1">
      <c r="A67" s="2655" t="s">
        <v>2627</v>
      </c>
      <c r="B67" s="2724">
        <f t="shared" si="81"/>
        <v>107.25</v>
      </c>
      <c r="C67" s="2724">
        <f t="shared" si="81"/>
        <v>108.75</v>
      </c>
      <c r="D67" s="2724">
        <f t="shared" si="45"/>
        <v>108.75</v>
      </c>
      <c r="E67" s="2724">
        <f t="shared" si="82"/>
        <v>105.75</v>
      </c>
      <c r="F67" s="2724">
        <f t="shared" si="82"/>
        <v>102.5</v>
      </c>
      <c r="G67" s="3466">
        <v>2003</v>
      </c>
      <c r="H67" s="2725">
        <v>1</v>
      </c>
      <c r="I67" s="2722"/>
      <c r="J67" s="2722"/>
      <c r="K67" s="2722"/>
      <c r="L67" s="2722"/>
      <c r="S67" s="2664"/>
      <c r="T67" s="2665"/>
      <c r="U67" s="2665"/>
      <c r="X67" s="2714"/>
      <c r="Y67" s="2714"/>
      <c r="Z67" s="2714"/>
    </row>
    <row r="68" spans="1:26" ht="13.8" thickBot="1">
      <c r="A68" s="2655" t="s">
        <v>2628</v>
      </c>
      <c r="B68" s="2726">
        <v>106</v>
      </c>
      <c r="C68" s="2726">
        <v>107</v>
      </c>
      <c r="D68" s="2726">
        <f t="shared" si="45"/>
        <v>107</v>
      </c>
      <c r="E68" s="2726">
        <v>105</v>
      </c>
      <c r="F68" s="2727">
        <v>102</v>
      </c>
      <c r="G68" s="3464">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65">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65">
        <v>2002</v>
      </c>
      <c r="H70" s="2660">
        <v>2</v>
      </c>
      <c r="I70" s="2722"/>
      <c r="J70" s="2722"/>
      <c r="K70" s="2722"/>
      <c r="L70" s="2722"/>
      <c r="X70" s="2714"/>
      <c r="Y70" s="2714"/>
      <c r="Z70" s="2714"/>
    </row>
    <row r="71" spans="1:26" s="2691" customFormat="1" ht="13.8" thickBot="1">
      <c r="A71" s="2687" t="s">
        <v>2631</v>
      </c>
      <c r="B71" s="2728">
        <f t="shared" si="83"/>
        <v>103</v>
      </c>
      <c r="C71" s="2728">
        <f t="shared" si="83"/>
        <v>104</v>
      </c>
      <c r="D71" s="2728">
        <f t="shared" si="45"/>
        <v>104</v>
      </c>
      <c r="E71" s="2728">
        <f t="shared" si="84"/>
        <v>103.5</v>
      </c>
      <c r="F71" s="2728">
        <f t="shared" si="84"/>
        <v>100.5</v>
      </c>
      <c r="G71" s="3466">
        <v>2002</v>
      </c>
      <c r="H71" s="2729">
        <v>1</v>
      </c>
      <c r="I71" s="2730"/>
      <c r="J71" s="2730"/>
      <c r="K71" s="2730"/>
      <c r="L71" s="2730"/>
      <c r="N71" s="2731"/>
      <c r="S71" s="2731"/>
      <c r="X71" s="2732"/>
      <c r="Y71" s="2732"/>
      <c r="Z71" s="2732"/>
    </row>
    <row r="72" spans="1:26" ht="13.8"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8"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8"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80" customWidth="1"/>
    <col min="2" max="2" width="9" style="1780"/>
    <col min="3" max="4" width="9.6640625" style="1780" customWidth="1"/>
    <col min="5" max="16384" width="9" style="1780"/>
  </cols>
  <sheetData>
    <row r="1" spans="1:4" ht="22.2">
      <c r="A1" s="1779" t="s">
        <v>1903</v>
      </c>
    </row>
    <row r="2" spans="1:4">
      <c r="A2" s="1781"/>
    </row>
    <row r="3" spans="1:4" ht="17.399999999999999">
      <c r="A3" s="1799" t="str">
        <f>项目基本情况!B5&amp;"："</f>
        <v>：</v>
      </c>
    </row>
    <row r="4" spans="1:4" ht="34.799999999999997">
      <c r="A4" s="1793" t="str">
        <f>"受贵公司委托，我公司对"&amp;项目基本情况!K2&amp;项目基本情况!B9&amp;"进行了预评估。"</f>
        <v>受贵公司委托，我公司对贵州省普定县穿洞街道金马新村出让国有建设用地使用权抵押价格进行了预评估。</v>
      </c>
    </row>
    <row r="5" spans="1:4" ht="17.399999999999999">
      <c r="A5" s="1796" t="s">
        <v>1904</v>
      </c>
    </row>
    <row r="6" spans="1:4" ht="69.599999999999994">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13984.89平方米。根据《建设工程规划许可证》[]、《出让合同》[]，估价对象规划建筑面积为42003平方米。</v>
      </c>
    </row>
    <row r="7" spans="1:4" ht="52.2">
      <c r="A7" s="1797" t="s">
        <v>2748</v>
      </c>
    </row>
    <row r="8" spans="1:4" ht="17.399999999999999">
      <c r="A8" s="1796" t="s">
        <v>1905</v>
      </c>
    </row>
    <row r="9" spans="1:4" ht="34.799999999999997">
      <c r="A9" s="1798" t="str">
        <f>IF(项目基本情况!B8="抵押",IF(项目基本情况!B5=项目基本情况!B6,定义!C51,定义!B51),定义!D51)</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9" t="s">
        <v>2027</v>
      </c>
    </row>
    <row r="11" spans="1:4" ht="17.399999999999999">
      <c r="A11" s="1782" t="str">
        <f>TEXT(项目基本情况!D3,"yyyy年m月d日;;")&amp;IF(项目基本情况!B3=项目基本情况!D3,"（评估专业人员勘察现场之日）","")</f>
        <v>2019年11月11日（评估专业人员勘察现场之日）</v>
      </c>
    </row>
    <row r="12" spans="1:4" ht="17.399999999999999">
      <c r="A12" s="1799" t="s">
        <v>2026</v>
      </c>
    </row>
    <row r="13" spans="1:4" ht="17.399999999999999">
      <c r="A13" s="1793" t="s">
        <v>2940</v>
      </c>
    </row>
    <row r="14" spans="1:4" ht="17.399999999999999">
      <c r="A14" s="1793" t="str">
        <f>"根据"&amp;项目基本情况!F12&amp;"，本次评估估价对象证载（地类）用途为"&amp;项目基本情况!B12&amp;"。"</f>
        <v>根据《国有土地使用证》[]，本次评估估价对象证载（地类）用途为。</v>
      </c>
      <c r="C14" s="1783"/>
      <c r="D14" s="1784"/>
    </row>
    <row r="15" spans="1:4" ht="17.399999999999999">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7.399999999999999">
      <c r="A16" s="1793" t="s">
        <v>2073</v>
      </c>
    </row>
    <row r="17" spans="1:1" ht="69.599999999999994">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4.799999999999997">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3"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根据《国有土地使用证》[]，估价对象（分摊）出让国有建设用地使用权面积为13984.89平方米。根据《建设工程规划许可证》[]、《出让合同》[]，估价对象规划建筑面积为42003平方米。</v>
      </c>
    </row>
    <row r="21" spans="1:1" ht="17.399999999999999">
      <c r="A21" s="1793" t="s">
        <v>2075</v>
      </c>
    </row>
    <row r="22" spans="1:1" ht="52.2">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本次估价对象为出让国有建设用地使用权，《国有土地使用证》[]证载土地终止日期为住宅2085年7月5日、商业2055年7月5日。截至估价期日，出让国有建设用地使用权剩余土地使用年限为。</v>
      </c>
    </row>
    <row r="23" spans="1:1" ht="17.399999999999999">
      <c r="A23" s="1793" t="str">
        <f>IF(项目基本情况!B16="出让","本次评估设定估价对象剩余土地使用年限为"&amp;项目基本情况!D20&amp;"。","")</f>
        <v>本次评估设定估价对象剩余土地使用年限为。</v>
      </c>
    </row>
    <row r="24" spans="1:1" ht="17.399999999999999">
      <c r="A24" s="1793" t="s">
        <v>2076</v>
      </c>
    </row>
    <row r="25" spans="1:1" ht="87">
      <c r="A25" s="1793"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平整，设定用途为，剩余土地使用年限为的出让国有建设用地使用权价格。</v>
      </c>
    </row>
    <row r="26" spans="1:1" ht="87">
      <c r="A26" s="1793"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7.399999999999999">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9" t="s">
        <v>2028</v>
      </c>
    </row>
    <row r="30" spans="1:1" ht="69.599999999999994">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7.399999999999999">
      <c r="A32" s="1801"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3" sqref="C3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2982</v>
      </c>
      <c r="D1" s="3123" t="s">
        <v>3159</v>
      </c>
      <c r="E1" s="2387" t="s">
        <v>2375</v>
      </c>
      <c r="F1" s="2388">
        <f ca="1">J53</f>
        <v>34.17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1484</v>
      </c>
      <c r="C2" s="2057"/>
      <c r="D2" s="2055"/>
      <c r="E2" s="2056"/>
      <c r="F2" s="2056"/>
      <c r="G2" s="1591"/>
      <c r="H2" s="2057"/>
      <c r="I2" s="2057"/>
      <c r="J2" s="2057"/>
      <c r="K2" s="2058"/>
      <c r="L2" s="2057"/>
      <c r="M2" s="2057"/>
    </row>
    <row r="3" spans="1:33" ht="18" customHeight="1" thickBot="1">
      <c r="A3" s="833" t="s">
        <v>1726</v>
      </c>
      <c r="B3" s="834">
        <f ca="1">IF(ISERROR(B2*10000/F43),0,ROUND(B2*10000/F43,0))</f>
        <v>7066</v>
      </c>
      <c r="C3" s="2057"/>
      <c r="D3" s="2055"/>
      <c r="E3" s="2056"/>
      <c r="F3" s="2056"/>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1731</v>
      </c>
      <c r="I4" s="778" t="s">
        <v>1732</v>
      </c>
      <c r="J4" s="778" t="s">
        <v>1733</v>
      </c>
      <c r="K4" s="778" t="s">
        <v>1734</v>
      </c>
      <c r="L4" s="779" t="s">
        <v>1735</v>
      </c>
      <c r="M4" s="780"/>
    </row>
    <row r="5" spans="1:33" ht="18" customHeight="1">
      <c r="A5" s="781">
        <v>1</v>
      </c>
      <c r="B5" s="782" t="s">
        <v>2459</v>
      </c>
      <c r="C5" s="55">
        <f ca="1">C6+C10+C12</f>
        <v>103</v>
      </c>
      <c r="D5" s="2496" t="s">
        <v>2462</v>
      </c>
      <c r="E5" s="2490"/>
      <c r="F5" s="2491"/>
      <c r="G5" s="1593"/>
      <c r="H5" s="781">
        <v>1</v>
      </c>
      <c r="I5" s="782" t="s">
        <v>2459</v>
      </c>
      <c r="J5" s="55">
        <f ca="1">J6+J10+J12</f>
        <v>0</v>
      </c>
      <c r="K5" s="2496" t="s">
        <v>2462</v>
      </c>
      <c r="L5" s="2490"/>
      <c r="M5" s="2491"/>
    </row>
    <row r="6" spans="1:33" ht="18" customHeight="1">
      <c r="A6" s="1832" t="s">
        <v>1823</v>
      </c>
      <c r="B6" s="3455" t="s">
        <v>2464</v>
      </c>
      <c r="C6" s="783">
        <f ca="1">ROUND(F6*F8*F7*(1-F9)/10000,0)</f>
        <v>103</v>
      </c>
      <c r="D6" s="2497" t="s">
        <v>2463</v>
      </c>
      <c r="E6" s="784" t="s">
        <v>1737</v>
      </c>
      <c r="F6" s="785">
        <f ca="1">INDIRECT("'数据-取费表'!u"&amp;$G$1)</f>
        <v>1.5</v>
      </c>
      <c r="G6" s="1593"/>
      <c r="H6" s="2504" t="s">
        <v>2469</v>
      </c>
      <c r="I6" s="3455" t="s">
        <v>2464</v>
      </c>
      <c r="J6" s="783">
        <f ca="1">ROUND(M6*M8*M7*(1-M9)/10000,0)</f>
        <v>0</v>
      </c>
      <c r="K6" s="341" t="s">
        <v>1736</v>
      </c>
      <c r="L6" s="784" t="s">
        <v>1737</v>
      </c>
      <c r="M6" s="785">
        <f ca="1">INDIRECT("'数据-取费表'!z"&amp;$G$1)</f>
        <v>0</v>
      </c>
    </row>
    <row r="7" spans="1:33" ht="18" customHeight="1">
      <c r="A7" s="2500"/>
      <c r="B7" s="3456"/>
      <c r="C7" s="788"/>
      <c r="D7" s="789"/>
      <c r="E7" s="784" t="s">
        <v>1738</v>
      </c>
      <c r="F7" s="785">
        <f ca="1">IF(INDIRECT("'数据-取费表'!ah"&amp;$G$1)="",INDIRECT("'数据-取费表'!k"&amp;$G$1),INDIRECT("'数据-取费表'!ah"&amp;$G$1))</f>
        <v>2100.1499999999996</v>
      </c>
      <c r="G7" s="1593"/>
      <c r="H7" s="2489"/>
      <c r="I7" s="3456"/>
      <c r="J7" s="788"/>
      <c r="K7" s="789"/>
      <c r="L7" s="784" t="s">
        <v>1738</v>
      </c>
      <c r="M7" s="785">
        <f ca="1">F7</f>
        <v>2100.1499999999996</v>
      </c>
    </row>
    <row r="8" spans="1:33" ht="18" customHeight="1">
      <c r="A8" s="2493"/>
      <c r="B8" s="3457"/>
      <c r="C8" s="788"/>
      <c r="D8" s="789"/>
      <c r="E8" s="784" t="s">
        <v>1739</v>
      </c>
      <c r="F8" s="785">
        <f ca="1">INDIRECT("'数据-取费表'!ai"&amp;$G$1)</f>
        <v>365</v>
      </c>
      <c r="G8" s="1593"/>
      <c r="H8" s="2489"/>
      <c r="I8" s="3457"/>
      <c r="J8" s="788"/>
      <c r="K8" s="789"/>
      <c r="L8" s="784" t="s">
        <v>1739</v>
      </c>
      <c r="M8" s="785">
        <f ca="1">INDIRECT("'数据-取费表'!ai"&amp;$G$1)</f>
        <v>365</v>
      </c>
    </row>
    <row r="9" spans="1:33" ht="18" customHeight="1">
      <c r="A9" s="786"/>
      <c r="B9" s="3458"/>
      <c r="C9" s="788"/>
      <c r="D9" s="789"/>
      <c r="E9" s="784" t="s">
        <v>1740</v>
      </c>
      <c r="F9" s="794">
        <f ca="1">INDIRECT("'数据-取费表'!w"&amp;$G$1)</f>
        <v>0.1</v>
      </c>
      <c r="G9" s="1593"/>
      <c r="H9" s="2505"/>
      <c r="I9" s="3457"/>
      <c r="J9" s="788"/>
      <c r="K9" s="789"/>
      <c r="L9" s="795" t="s">
        <v>1740</v>
      </c>
      <c r="M9" s="796">
        <f ca="1">INDIRECT("'数据-取费表'!ab"&amp;$G$1)</f>
        <v>0</v>
      </c>
    </row>
    <row r="10" spans="1:33" ht="18" customHeight="1">
      <c r="A10" s="1832" t="s">
        <v>2467</v>
      </c>
      <c r="B10" s="2494" t="s">
        <v>2460</v>
      </c>
      <c r="C10" s="799">
        <f ca="1">ROUND(IF(F10="押一",C6/12*F11,IF(F10="押二",C6/12*2*F11,IF(F10="押三",C6/12*3*F11,C11*F11))),0)</f>
        <v>0</v>
      </c>
      <c r="D10" s="2501" t="s">
        <v>2973</v>
      </c>
      <c r="E10" s="2498" t="s">
        <v>2465</v>
      </c>
      <c r="F10" s="2621" t="s">
        <v>3076</v>
      </c>
      <c r="G10" s="1593"/>
      <c r="H10" s="2561" t="s">
        <v>2470</v>
      </c>
      <c r="I10" s="2566" t="s">
        <v>2460</v>
      </c>
      <c r="J10" s="783">
        <f ca="1">ROUND(IF(M10="押一",J6/12*M11,IF(M10="押二",J6/12*2*M11,IF(M10="押三",J6/12*3*M11,J11*M11))),0)</f>
        <v>0</v>
      </c>
      <c r="K10" s="2501" t="s">
        <v>2973</v>
      </c>
      <c r="L10" s="2498" t="s">
        <v>2465</v>
      </c>
      <c r="M10" s="2621"/>
    </row>
    <row r="11" spans="1:33" ht="18" customHeight="1">
      <c r="A11" s="790"/>
      <c r="B11" s="2495" t="s">
        <v>2574</v>
      </c>
      <c r="C11" s="2499"/>
      <c r="D11" s="789"/>
      <c r="E11" s="2498" t="s">
        <v>2466</v>
      </c>
      <c r="F11" s="796">
        <f ca="1">'数据-取费表'!B39</f>
        <v>1.4999999999999999E-2</v>
      </c>
      <c r="G11" s="1593"/>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3"/>
      <c r="H12" s="2551" t="s">
        <v>2471</v>
      </c>
      <c r="I12" s="2564" t="s">
        <v>2461</v>
      </c>
      <c r="J12" s="2565"/>
      <c r="K12" s="2540"/>
      <c r="L12" s="2541"/>
      <c r="M12" s="2554"/>
    </row>
    <row r="13" spans="1:33" ht="18" customHeight="1" thickTop="1">
      <c r="A13" s="1831">
        <v>2</v>
      </c>
      <c r="B13" s="1829" t="s">
        <v>1741</v>
      </c>
      <c r="C13" s="792">
        <f ca="1">ROUND(C29*F13,0)</f>
        <v>717</v>
      </c>
      <c r="D13" s="1836" t="s">
        <v>2298</v>
      </c>
      <c r="E13" s="1836" t="s">
        <v>1743</v>
      </c>
      <c r="F13" s="2536">
        <f ca="1">INDIRECT("'数据-取费表'!y"&amp;$G$1)</f>
        <v>1</v>
      </c>
      <c r="G13" s="1593"/>
      <c r="H13" s="1831">
        <v>2</v>
      </c>
      <c r="I13" s="1829" t="s">
        <v>1741</v>
      </c>
      <c r="J13" s="1821">
        <f ca="1">ROUND(J14*J15,0)</f>
        <v>0</v>
      </c>
      <c r="K13" s="1823" t="s">
        <v>1742</v>
      </c>
      <c r="L13" s="2552"/>
      <c r="M13" s="2553"/>
    </row>
    <row r="14" spans="1:33" ht="18" customHeight="1">
      <c r="A14" s="1649" t="s">
        <v>1883</v>
      </c>
      <c r="B14" s="784" t="s">
        <v>644</v>
      </c>
      <c r="C14" s="804">
        <f ca="1">INDIRECT("'数据-取费表'!m"&amp;$G$1)+INDIRECT("'数据-取费表'!t"&amp;$G$1)</f>
        <v>462</v>
      </c>
      <c r="D14" s="1979" t="s">
        <v>1744</v>
      </c>
      <c r="E14" s="1980"/>
      <c r="F14" s="805"/>
      <c r="G14" s="1593"/>
      <c r="H14" s="1650" t="s">
        <v>1829</v>
      </c>
      <c r="I14" s="2231" t="s">
        <v>2827</v>
      </c>
      <c r="J14" s="53">
        <f ca="1">C29</f>
        <v>717</v>
      </c>
      <c r="K14" s="26"/>
      <c r="L14" s="801"/>
      <c r="M14" s="802"/>
    </row>
    <row r="15" spans="1:33" s="2064" customFormat="1" ht="18" customHeight="1" thickBot="1">
      <c r="A15" s="1649" t="s">
        <v>1884</v>
      </c>
      <c r="B15" s="784" t="s">
        <v>646</v>
      </c>
      <c r="C15" s="53">
        <f ca="1">ROUND(C14*F15,0)</f>
        <v>14</v>
      </c>
      <c r="D15" s="806" t="s">
        <v>1745</v>
      </c>
      <c r="E15" s="806" t="s">
        <v>1746</v>
      </c>
      <c r="F15" s="807">
        <f>'数据-取费表'!B33</f>
        <v>0.03</v>
      </c>
      <c r="G15" s="1594"/>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1885</v>
      </c>
      <c r="B16" s="784" t="s">
        <v>649</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71</v>
      </c>
      <c r="K16" s="1823" t="s">
        <v>1749</v>
      </c>
      <c r="L16" s="2486"/>
      <c r="M16" s="2491"/>
    </row>
    <row r="17" spans="1:33" s="2064" customFormat="1" ht="18" customHeight="1">
      <c r="A17" s="1649" t="s">
        <v>1886</v>
      </c>
      <c r="B17" s="784" t="s">
        <v>652</v>
      </c>
      <c r="C17" s="53">
        <f ca="1">ROUND(F17*(F43+INDIRECT("'数据-取费表'!S"&amp;$G$1))/10000,0)</f>
        <v>42</v>
      </c>
      <c r="D17" s="784" t="s">
        <v>1750</v>
      </c>
      <c r="E17" s="784" t="s">
        <v>1751</v>
      </c>
      <c r="F17" s="56">
        <f>'数据-取费表'!B35</f>
        <v>200</v>
      </c>
      <c r="G17" s="1594"/>
      <c r="H17" s="1650" t="s">
        <v>1829</v>
      </c>
      <c r="I17" s="784" t="s">
        <v>655</v>
      </c>
      <c r="J17" s="53">
        <f ca="1">ROUND(IF(项目基本情况!B11="自然人",J5*M17,J18+J19+J20),0)</f>
        <v>60</v>
      </c>
      <c r="K17" s="2485" t="s">
        <v>1752</v>
      </c>
      <c r="L17" s="2484" t="s">
        <v>1753</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1887</v>
      </c>
      <c r="B18" s="784" t="s">
        <v>658</v>
      </c>
      <c r="C18" s="53">
        <f ca="1">ROUND(C14*F18,0)</f>
        <v>7</v>
      </c>
      <c r="D18" s="784" t="s">
        <v>1745</v>
      </c>
      <c r="E18" s="784" t="s">
        <v>1746</v>
      </c>
      <c r="F18" s="809">
        <f>'数据-取费表'!B36</f>
        <v>1.4999999999999999E-2</v>
      </c>
      <c r="G18" s="1594"/>
      <c r="H18" s="1649" t="s">
        <v>1883</v>
      </c>
      <c r="I18" s="784" t="s">
        <v>1754</v>
      </c>
      <c r="J18" s="53">
        <f ca="1">ROUND(J5*M18/1.05,1)</f>
        <v>0</v>
      </c>
      <c r="K18" s="2484" t="s">
        <v>1755</v>
      </c>
      <c r="L18" s="784" t="s">
        <v>1746</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1829</v>
      </c>
      <c r="B19" s="784" t="s">
        <v>661</v>
      </c>
      <c r="C19" s="53">
        <f ca="1">SUM(C14:C18)</f>
        <v>525</v>
      </c>
      <c r="D19" s="261" t="s">
        <v>1756</v>
      </c>
      <c r="E19" s="1982"/>
      <c r="F19" s="56"/>
      <c r="G19" s="1593"/>
      <c r="H19" s="1649" t="s">
        <v>1884</v>
      </c>
      <c r="I19" s="784" t="s">
        <v>1757</v>
      </c>
      <c r="J19" s="53">
        <f ca="1">IF(K19="按租金收入计税",ROUND(J5*M19,1),ROUND(C29*F33*0.7,1))</f>
        <v>60.2</v>
      </c>
      <c r="K19" s="811" t="s">
        <v>664</v>
      </c>
      <c r="L19" s="784" t="s">
        <v>1746</v>
      </c>
      <c r="M19" s="809">
        <f>IF(K19="按租金收入计税",'数据-取费表'!B51,'数据-取费表'!B50)</f>
        <v>1.2E-2</v>
      </c>
    </row>
    <row r="20" spans="1:33" s="2064" customFormat="1" ht="18" customHeight="1">
      <c r="A20" s="1650" t="s">
        <v>1888</v>
      </c>
      <c r="B20" s="784" t="s">
        <v>665</v>
      </c>
      <c r="C20" s="53">
        <f ca="1">ROUND(C19*F20,0)</f>
        <v>11</v>
      </c>
      <c r="D20" s="812" t="s">
        <v>1758</v>
      </c>
      <c r="E20" s="784" t="s">
        <v>1746</v>
      </c>
      <c r="F20" s="809">
        <f>'数据-取费表'!B37</f>
        <v>0.02</v>
      </c>
      <c r="G20" s="1594"/>
      <c r="H20" s="1652" t="s">
        <v>1879</v>
      </c>
      <c r="I20" s="341" t="s">
        <v>1759</v>
      </c>
      <c r="J20" s="54">
        <f ca="1">ROUND(M20*M21/10000,0)</f>
        <v>0</v>
      </c>
      <c r="K20" s="814" t="s">
        <v>1760</v>
      </c>
      <c r="L20" s="784" t="s">
        <v>1761</v>
      </c>
      <c r="M20" s="640">
        <f>'数据-取费表'!B52</f>
        <v>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1889</v>
      </c>
      <c r="B21" s="784" t="s">
        <v>1762</v>
      </c>
      <c r="C21" s="53" t="s">
        <v>1763</v>
      </c>
      <c r="D21" s="812" t="s">
        <v>2299</v>
      </c>
      <c r="E21" s="784" t="s">
        <v>1764</v>
      </c>
      <c r="F21" s="809">
        <f>'数据-取费表'!B38</f>
        <v>0.02</v>
      </c>
      <c r="G21" s="1594"/>
      <c r="H21" s="2506"/>
      <c r="I21" s="793"/>
      <c r="J21" s="69"/>
      <c r="K21" s="816"/>
      <c r="L21" s="784" t="s">
        <v>1765</v>
      </c>
      <c r="M21" s="785">
        <f ca="1">INDIRECT("'数据-取费表'!r"&amp;$G$1)</f>
        <v>699.24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1890</v>
      </c>
      <c r="B22" s="784" t="s">
        <v>1766</v>
      </c>
      <c r="C22" s="53"/>
      <c r="D22" s="2572" t="str">
        <f>IF(F23&lt;=1,"单利计息。","复利计息。")&amp;"建造成本、管理费用、销售费用产生的利息。"</f>
        <v>复利计息。建造成本、管理费用、销售费用产生的利息。</v>
      </c>
      <c r="E22" s="1982"/>
      <c r="F22" s="56"/>
      <c r="G22" s="1593"/>
      <c r="H22" s="1650" t="s">
        <v>1888</v>
      </c>
      <c r="I22" s="784" t="s">
        <v>1767</v>
      </c>
      <c r="J22" s="53">
        <f ca="1">ROUND(J14*M22,0)</f>
        <v>11</v>
      </c>
      <c r="K22" s="2484" t="s">
        <v>1768</v>
      </c>
      <c r="L22" s="784" t="s">
        <v>1746</v>
      </c>
      <c r="M22" s="817">
        <f ca="1">INDIRECT("'数据-取费表'!Ak"&amp;$G$1)</f>
        <v>1.4999999999999999E-2</v>
      </c>
    </row>
    <row r="23" spans="1:33" s="2064" customFormat="1" ht="18" customHeight="1">
      <c r="A23" s="1649" t="s">
        <v>1830</v>
      </c>
      <c r="B23" s="784" t="s">
        <v>2536</v>
      </c>
      <c r="C23" s="53">
        <f ca="1">ROUND(IF('数据-取费表'!B22&lt;=1,(C19+C20)*F24*F23/2,(C19+C20)*(POWER((1+F24),F23/2)-1)),0)</f>
        <v>19</v>
      </c>
      <c r="D23" s="2571" t="str">
        <f>IF(F23&lt;=1,"(建造成本+管理费用)×利率×(建设周期÷2)","(建造成本+管理费用)×((1+利率)^(建设周期÷2)-1)")</f>
        <v>(建造成本+管理费用)×((1+利率)^(建设周期÷2)-1)</v>
      </c>
      <c r="E23" s="784" t="s">
        <v>1769</v>
      </c>
      <c r="F23" s="640">
        <f>'数据-取费表'!B20</f>
        <v>1.5</v>
      </c>
      <c r="G23" s="1594"/>
      <c r="H23" s="1650"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1831</v>
      </c>
      <c r="B24" s="784" t="s">
        <v>1771</v>
      </c>
      <c r="C24" s="53">
        <f ca="1">ROUND(IF('数据-取费表'!B22&lt;=1,F21*F24*F23/2,F21*(POWER((1+F24),F23/2)-1)),4)</f>
        <v>6.9999999999999999E-4</v>
      </c>
      <c r="D24" s="2571" t="str">
        <f>IF(F23&lt;=1,"销售费用×利率×(建设周期÷2)","销售费用×((1+利率)^(建设周期÷2)-1)")</f>
        <v>销售费用×((1+利率)^(建设周期÷2)-1)</v>
      </c>
      <c r="E24" s="784" t="s">
        <v>1772</v>
      </c>
      <c r="F24" s="819">
        <f ca="1">'数据-取费表'!B40</f>
        <v>4.7500000000000001E-2</v>
      </c>
      <c r="G24" s="1594"/>
      <c r="H24" s="2551" t="s">
        <v>1890</v>
      </c>
      <c r="I24" s="2546" t="s">
        <v>665</v>
      </c>
      <c r="J24" s="2544">
        <f ca="1">ROUND(J5*M24,0)</f>
        <v>0</v>
      </c>
      <c r="K24" s="2545" t="s">
        <v>1773</v>
      </c>
      <c r="L24" s="2546" t="s">
        <v>1746</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1839</v>
      </c>
      <c r="B25" s="784" t="s">
        <v>683</v>
      </c>
      <c r="C25" s="53"/>
      <c r="D25" s="261" t="s">
        <v>1774</v>
      </c>
      <c r="E25" s="1982"/>
      <c r="F25" s="56"/>
      <c r="G25" s="1593"/>
      <c r="H25" s="1831" t="s">
        <v>1775</v>
      </c>
      <c r="I25" s="3010" t="s">
        <v>2823</v>
      </c>
      <c r="J25" s="792">
        <f ca="1">J5-J16</f>
        <v>-71</v>
      </c>
      <c r="K25" s="2548" t="s">
        <v>1776</v>
      </c>
      <c r="L25" s="2549"/>
      <c r="M25" s="2550"/>
    </row>
    <row r="26" spans="1:33" ht="18" customHeight="1">
      <c r="A26" s="1649" t="s">
        <v>1830</v>
      </c>
      <c r="B26" s="784" t="s">
        <v>2439</v>
      </c>
      <c r="C26" s="53">
        <f ca="1">ROUND((C19+C20)*F26,0)</f>
        <v>107</v>
      </c>
      <c r="D26" s="812" t="s">
        <v>1777</v>
      </c>
      <c r="E26" s="795" t="s">
        <v>1778</v>
      </c>
      <c r="F26" s="794">
        <f ca="1">INDIRECT("'数据-取费表'!q"&amp;$G$1)</f>
        <v>0.2</v>
      </c>
      <c r="G26" s="1593"/>
      <c r="H26" s="2502" t="s">
        <v>1779</v>
      </c>
      <c r="I26" s="2232" t="s">
        <v>2828</v>
      </c>
      <c r="J26" s="783">
        <f ca="1">IF(J5&lt;&gt;0,ROUND(J25*(1-((1+M28)/(1+M26))^M27)/(M26-M28),0),0)</f>
        <v>0</v>
      </c>
      <c r="K26" s="814" t="s">
        <v>1780</v>
      </c>
      <c r="L26" s="784" t="s">
        <v>2420</v>
      </c>
      <c r="M26" s="794">
        <f ca="1">INDIRECT("'数据-取费表'!I"&amp;$G$1)</f>
        <v>5.5E-2</v>
      </c>
    </row>
    <row r="27" spans="1:33" ht="18" customHeight="1">
      <c r="A27" s="1649" t="s">
        <v>1831</v>
      </c>
      <c r="B27" s="784" t="s">
        <v>685</v>
      </c>
      <c r="C27" s="53">
        <f ca="1">ROUND(F21*F26,4)</f>
        <v>4.0000000000000001E-3</v>
      </c>
      <c r="D27" s="812" t="s">
        <v>1781</v>
      </c>
      <c r="E27" s="806"/>
      <c r="F27" s="807"/>
      <c r="G27" s="1593"/>
      <c r="H27" s="2503"/>
      <c r="I27" s="787"/>
      <c r="J27" s="788"/>
      <c r="K27" s="821" t="s">
        <v>1782</v>
      </c>
      <c r="L27" s="784" t="s">
        <v>1783</v>
      </c>
      <c r="M27" s="822">
        <f ca="1">INDIRECT("'数据-取费表'!ag"&amp;$G$1)</f>
        <v>0</v>
      </c>
    </row>
    <row r="28" spans="1:33" s="2064" customFormat="1" ht="18" customHeight="1">
      <c r="A28" s="1651" t="s">
        <v>1840</v>
      </c>
      <c r="B28" s="784" t="s">
        <v>686</v>
      </c>
      <c r="C28" s="53">
        <f>ROUND(F28/(1+'数据-取费表'!C42),4)</f>
        <v>5.2400000000000002E-2</v>
      </c>
      <c r="D28" s="812" t="s">
        <v>2300</v>
      </c>
      <c r="E28" s="784" t="s">
        <v>1784</v>
      </c>
      <c r="F28" s="809">
        <f>'数据-取费表'!B41</f>
        <v>5.5000000000000007E-2</v>
      </c>
      <c r="G28" s="1594"/>
      <c r="H28" s="1831"/>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2301</v>
      </c>
      <c r="C29" s="2544">
        <f ca="1">ROUND((C19+C20+C23+C26)/(1-F21-C24-C27-C28),0)</f>
        <v>717</v>
      </c>
      <c r="D29" s="2545"/>
      <c r="E29" s="2546"/>
      <c r="F29" s="2547"/>
      <c r="G29" s="1594"/>
      <c r="H29" s="823" t="s">
        <v>1786</v>
      </c>
      <c r="I29" s="824" t="s">
        <v>1787</v>
      </c>
      <c r="J29" s="825">
        <f ca="1">ROUND(J26/(1+F40)^F41,0)</f>
        <v>0</v>
      </c>
      <c r="K29" s="826" t="s">
        <v>1788</v>
      </c>
      <c r="L29" s="827"/>
      <c r="M29" s="828">
        <f ca="1">INDIRECT("'数据-取费表'!k"&amp;$G$1)</f>
        <v>2100.1499999999996</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1892</v>
      </c>
      <c r="B30" s="1829" t="s">
        <v>1789</v>
      </c>
      <c r="C30" s="792">
        <f ca="1">ROUND(C31+C36+C37+C38,0)</f>
        <v>32</v>
      </c>
      <c r="D30" s="1823" t="s">
        <v>1790</v>
      </c>
      <c r="E30" s="2486"/>
      <c r="F30" s="2491"/>
      <c r="G30" s="2062"/>
      <c r="H30" s="2065"/>
      <c r="I30" s="2066"/>
      <c r="J30" s="2067"/>
      <c r="K30" s="2068"/>
      <c r="L30" s="2069"/>
      <c r="M30" s="2070"/>
    </row>
    <row r="31" spans="1:33" ht="18" customHeight="1">
      <c r="A31" s="1650" t="s">
        <v>1829</v>
      </c>
      <c r="B31" s="784" t="s">
        <v>655</v>
      </c>
      <c r="C31" s="53">
        <f ca="1">ROUND(IF(项目基本情况!B11="自然人",C5*F31,C32+C33+C34),1)</f>
        <v>18.100000000000001</v>
      </c>
      <c r="D31" s="1979" t="s">
        <v>1791</v>
      </c>
      <c r="E31" s="1977" t="s">
        <v>1792</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1830</v>
      </c>
      <c r="B32" s="784" t="s">
        <v>1793</v>
      </c>
      <c r="C32" s="53">
        <f ca="1">ROUND(C5*F32/1.05,1)</f>
        <v>5.4</v>
      </c>
      <c r="D32" s="1977" t="s">
        <v>1794</v>
      </c>
      <c r="E32" s="784" t="s">
        <v>1795</v>
      </c>
      <c r="F32" s="809">
        <f>'数据-取费表'!B41</f>
        <v>5.5000000000000007E-2</v>
      </c>
      <c r="G32" s="2062"/>
      <c r="H32" s="2071"/>
      <c r="I32" s="2072"/>
      <c r="J32" s="2073"/>
      <c r="K32" s="2074"/>
      <c r="L32" s="2075"/>
      <c r="M32" s="2076"/>
    </row>
    <row r="33" spans="1:18" ht="18" customHeight="1">
      <c r="A33" s="1649" t="s">
        <v>1831</v>
      </c>
      <c r="B33" s="784" t="s">
        <v>1796</v>
      </c>
      <c r="C33" s="3211">
        <f ca="1">IF(D33="按租金收入计税",ROUND(C5*F33,1),IF(D33="按房产原值计税",ROUND(C29*F33*0.7,1),INDIRECT("'数据-取费表'!Aj"&amp;$G$1)))</f>
        <v>12.4</v>
      </c>
      <c r="D33" s="811" t="s">
        <v>2990</v>
      </c>
      <c r="E33" s="784" t="s">
        <v>1795</v>
      </c>
      <c r="F33" s="809">
        <f>IF(D33="按租金收入计税",'数据-取费表'!B51,'数据-取费表'!B50)</f>
        <v>0.12</v>
      </c>
      <c r="G33" s="2062"/>
      <c r="H33" s="2077"/>
      <c r="I33" s="2077"/>
      <c r="J33" s="2077"/>
      <c r="K33" s="2078"/>
      <c r="L33" s="2077"/>
      <c r="M33" s="2077"/>
    </row>
    <row r="34" spans="1:18" ht="18" customHeight="1">
      <c r="A34" s="1652" t="s">
        <v>1832</v>
      </c>
      <c r="B34" s="341" t="s">
        <v>1797</v>
      </c>
      <c r="C34" s="54">
        <f ca="1">ROUND(F34*F35/10000,1)</f>
        <v>0.3</v>
      </c>
      <c r="D34" s="814" t="s">
        <v>1798</v>
      </c>
      <c r="E34" s="784" t="s">
        <v>1799</v>
      </c>
      <c r="F34" s="640">
        <f>'数据-取费表'!B52</f>
        <v>5</v>
      </c>
      <c r="G34" s="2062"/>
      <c r="H34" s="2065"/>
      <c r="I34" s="835" t="s">
        <v>1812</v>
      </c>
      <c r="J34" s="836"/>
      <c r="K34" s="2080"/>
      <c r="L34" s="2079"/>
      <c r="M34" s="2079"/>
    </row>
    <row r="35" spans="1:18" ht="18" customHeight="1">
      <c r="A35" s="815"/>
      <c r="B35" s="793"/>
      <c r="C35" s="69"/>
      <c r="D35" s="816"/>
      <c r="E35" s="784" t="s">
        <v>1800</v>
      </c>
      <c r="F35" s="785">
        <f ca="1">INDIRECT("'数据-取费表'!r"&amp;$G$1)</f>
        <v>699.24</v>
      </c>
      <c r="G35" s="2062"/>
      <c r="H35" s="2065"/>
      <c r="I35" s="837" t="s">
        <v>1813</v>
      </c>
      <c r="J35" s="838">
        <f ca="1">ROUND(C13*J36,0)</f>
        <v>61</v>
      </c>
      <c r="K35" s="2078"/>
      <c r="L35" s="2077"/>
      <c r="M35" s="2077"/>
    </row>
    <row r="36" spans="1:18" ht="18" customHeight="1">
      <c r="A36" s="1650" t="s">
        <v>1888</v>
      </c>
      <c r="B36" s="784" t="s">
        <v>1801</v>
      </c>
      <c r="C36" s="53">
        <f ca="1">ROUND(C29*F36,1)</f>
        <v>10.8</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50" t="s">
        <v>1889</v>
      </c>
      <c r="B37" s="784" t="s">
        <v>678</v>
      </c>
      <c r="C37" s="53">
        <f ca="1">ROUND(C13*F37,1)</f>
        <v>1.1000000000000001</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2.1</v>
      </c>
      <c r="D38" s="2545" t="s">
        <v>1804</v>
      </c>
      <c r="E38" s="2546" t="s">
        <v>1795</v>
      </c>
      <c r="F38" s="2542">
        <f ca="1">INDIRECT("'数据-取费表'!Am"&amp;$G$1)</f>
        <v>0.02</v>
      </c>
      <c r="G38" s="2062"/>
      <c r="H38" s="2077"/>
      <c r="I38" s="843" t="s">
        <v>1816</v>
      </c>
      <c r="J38" s="844"/>
      <c r="K38" s="2083"/>
      <c r="L38" s="2077"/>
      <c r="M38" s="2077"/>
    </row>
    <row r="39" spans="1:18" ht="24.6" customHeight="1" thickTop="1">
      <c r="A39" s="1831" t="s">
        <v>1893</v>
      </c>
      <c r="B39" s="3010" t="s">
        <v>2823</v>
      </c>
      <c r="C39" s="792">
        <f ca="1">C5-C30</f>
        <v>71</v>
      </c>
      <c r="D39" s="2548" t="s">
        <v>1805</v>
      </c>
      <c r="E39" s="2549"/>
      <c r="F39" s="2550"/>
      <c r="G39" s="2062"/>
      <c r="H39" s="2077"/>
      <c r="I39" s="837" t="s">
        <v>1817</v>
      </c>
      <c r="J39" s="845">
        <f ca="1">ROUND(J35/C39,3)</f>
        <v>0.85899999999999999</v>
      </c>
      <c r="K39" s="2083"/>
      <c r="L39" s="2077"/>
      <c r="M39" s="2077"/>
    </row>
    <row r="40" spans="1:18" ht="18" customHeight="1">
      <c r="A40" s="781" t="s">
        <v>1894</v>
      </c>
      <c r="B40" s="2232" t="s">
        <v>2302</v>
      </c>
      <c r="C40" s="783">
        <f ca="1">ROUND(C39*(1-((1+F42)/(1+F40))^F41)/(F40-F42),0)</f>
        <v>1484</v>
      </c>
      <c r="D40" s="814" t="s">
        <v>1806</v>
      </c>
      <c r="E40" s="784" t="s">
        <v>2420</v>
      </c>
      <c r="F40" s="794">
        <f ca="1">INDIRECT("'数据-取费表'!I"&amp;$G$1)</f>
        <v>5.5E-2</v>
      </c>
      <c r="G40" s="2062"/>
      <c r="H40" s="2062"/>
      <c r="I40" s="837" t="s">
        <v>1818</v>
      </c>
      <c r="J40" s="845">
        <f ca="1">1-J39</f>
        <v>0.14100000000000001</v>
      </c>
      <c r="K40" s="2083"/>
      <c r="L40" s="2062"/>
      <c r="M40" s="2062"/>
    </row>
    <row r="41" spans="1:18" ht="18" customHeight="1">
      <c r="A41" s="786"/>
      <c r="B41" s="787"/>
      <c r="C41" s="788"/>
      <c r="D41" s="821" t="s">
        <v>1807</v>
      </c>
      <c r="E41" s="784" t="s">
        <v>2963</v>
      </c>
      <c r="F41" s="822">
        <f ca="1">IF(INDIRECT("'数据-取费表'!af"&amp;$G$1)=0,INDIRECT("'数据-取费表'!ae"&amp;$G$1),INDIRECT("'数据-取费表'!af"&amp;$G$1))</f>
        <v>34.17</v>
      </c>
      <c r="G41" s="2062"/>
      <c r="H41" s="1988"/>
      <c r="I41" s="843" t="s">
        <v>1819</v>
      </c>
      <c r="J41" s="846"/>
      <c r="K41" s="2082"/>
      <c r="L41" s="1988"/>
      <c r="M41" s="1988"/>
    </row>
    <row r="42" spans="1:18" ht="18" customHeight="1">
      <c r="A42" s="790"/>
      <c r="B42" s="791"/>
      <c r="C42" s="792"/>
      <c r="D42" s="816"/>
      <c r="E42" s="784" t="s">
        <v>1808</v>
      </c>
      <c r="F42" s="794">
        <f ca="1">INDIRECT("'数据-取费表'!v"&amp;$G$1)</f>
        <v>2.5000000000000001E-2</v>
      </c>
      <c r="G42" s="2062"/>
      <c r="H42" s="1988"/>
      <c r="I42" s="847" t="s">
        <v>1820</v>
      </c>
      <c r="J42" s="845">
        <f ca="1">ROUND(C13/C40,3)</f>
        <v>0.48299999999999998</v>
      </c>
      <c r="K42" s="2082"/>
      <c r="L42" s="1988"/>
      <c r="M42" s="1988"/>
    </row>
    <row r="43" spans="1:18" ht="18" customHeight="1" thickBot="1">
      <c r="A43" s="823" t="s">
        <v>1786</v>
      </c>
      <c r="B43" s="824" t="s">
        <v>1809</v>
      </c>
      <c r="C43" s="825">
        <f ca="1">ROUND(C40*10000/F43,0)</f>
        <v>7066</v>
      </c>
      <c r="D43" s="826" t="s">
        <v>1810</v>
      </c>
      <c r="E43" s="827" t="s">
        <v>1811</v>
      </c>
      <c r="F43" s="828">
        <f ca="1">INDIRECT("'数据-取费表'!k"&amp;$G$1)</f>
        <v>2100.1499999999996</v>
      </c>
      <c r="G43" s="2062"/>
      <c r="H43" s="1988"/>
      <c r="I43" s="847" t="s">
        <v>1821</v>
      </c>
      <c r="J43" s="848">
        <f ca="1">1-J42</f>
        <v>0.51700000000000002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4">
        <f ca="1">C67-C40</f>
        <v>-1667</v>
      </c>
      <c r="D46" s="2085"/>
      <c r="E46" s="2085"/>
      <c r="F46" s="2085"/>
      <c r="I46" s="2378" t="s">
        <v>2344</v>
      </c>
      <c r="J46" s="2379"/>
      <c r="K46" s="2380"/>
      <c r="L46" s="3158">
        <f>IF(OR(M47="住宅",D1="土地（套用方法）"),0,IF(L48&gt;J51,L60,J60))</f>
        <v>0</v>
      </c>
      <c r="O46" s="2394" t="s">
        <v>2411</v>
      </c>
      <c r="P46" s="1593"/>
      <c r="Q46" s="1605"/>
      <c r="R46" s="1593"/>
    </row>
    <row r="47" spans="1:18" s="2059" customFormat="1" ht="18" customHeight="1" thickBot="1">
      <c r="A47" s="2372">
        <v>1</v>
      </c>
      <c r="B47" s="2373" t="s">
        <v>634</v>
      </c>
      <c r="C47" s="2574">
        <f ca="1">C48+C52+C54</f>
        <v>0</v>
      </c>
      <c r="D47" s="2085"/>
      <c r="E47" s="2085"/>
      <c r="F47" s="2085"/>
      <c r="I47" s="3148" t="s">
        <v>2345</v>
      </c>
      <c r="J47" s="2381" t="s">
        <v>2991</v>
      </c>
      <c r="K47" s="3155" t="s">
        <v>2350</v>
      </c>
      <c r="L47" s="3159">
        <f ca="1">INDIRECT("'数据-取费表'!d"&amp;$G$1)</f>
        <v>40</v>
      </c>
      <c r="M47" s="1605"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635</v>
      </c>
      <c r="E48" s="2376" t="s">
        <v>2297</v>
      </c>
      <c r="F48" s="2377"/>
      <c r="G48" s="2090"/>
      <c r="I48" s="3124" t="s">
        <v>2346</v>
      </c>
      <c r="J48" s="2382" t="s">
        <v>2351</v>
      </c>
      <c r="K48" s="3156" t="s">
        <v>2352</v>
      </c>
      <c r="L48" s="1910">
        <f ca="1">INDIRECT("'数据-取费表'!f"&amp;$G$1)</f>
        <v>35.67</v>
      </c>
      <c r="O48" s="2398" t="s">
        <v>2380</v>
      </c>
      <c r="P48" s="2399" t="s">
        <v>2406</v>
      </c>
      <c r="Q48" s="2400">
        <f ca="1">C40+J29</f>
        <v>1484</v>
      </c>
      <c r="R48" s="2399" t="s">
        <v>2381</v>
      </c>
    </row>
    <row r="49" spans="1:18" s="2059" customFormat="1" ht="18" customHeight="1" thickBot="1">
      <c r="A49" s="786"/>
      <c r="B49" s="787"/>
      <c r="C49" s="788"/>
      <c r="D49" s="789"/>
      <c r="E49" s="784" t="s">
        <v>1738</v>
      </c>
      <c r="F49" s="785">
        <f ca="1">F7</f>
        <v>2100.1499999999996</v>
      </c>
      <c r="G49" s="2090"/>
      <c r="H49" s="2093"/>
      <c r="I49" s="3124" t="s">
        <v>2347</v>
      </c>
      <c r="J49" s="2383">
        <v>2022</v>
      </c>
      <c r="K49" s="3157" t="s">
        <v>2353</v>
      </c>
      <c r="L49" s="2384"/>
      <c r="O49" s="2398" t="s">
        <v>2382</v>
      </c>
      <c r="P49" s="2399" t="s">
        <v>2407</v>
      </c>
      <c r="Q49" s="2400" t="str">
        <f ca="1">J60</f>
        <v>0</v>
      </c>
      <c r="R49" s="2399" t="s">
        <v>2383</v>
      </c>
    </row>
    <row r="50" spans="1:18" s="2059" customFormat="1" ht="18" customHeight="1" thickBot="1">
      <c r="A50" s="786"/>
      <c r="B50" s="787"/>
      <c r="C50" s="788"/>
      <c r="D50" s="789"/>
      <c r="E50" s="784" t="s">
        <v>1739</v>
      </c>
      <c r="F50" s="785">
        <f ca="1">F8</f>
        <v>365</v>
      </c>
      <c r="G50" s="2095"/>
      <c r="H50" s="2093"/>
      <c r="I50" s="3124" t="s">
        <v>2348</v>
      </c>
      <c r="J50" s="3152">
        <f>SUMPRODUCT((I63:I65=J47)*(J62:L62=J48)*(J63:L65))</f>
        <v>60</v>
      </c>
      <c r="K50" s="3157" t="s">
        <v>2354</v>
      </c>
      <c r="L50" s="2384"/>
      <c r="O50" s="2401" t="s">
        <v>2384</v>
      </c>
      <c r="P50" s="2399" t="s">
        <v>2408</v>
      </c>
      <c r="Q50" s="2400">
        <f ca="1">C29</f>
        <v>717</v>
      </c>
      <c r="R50" s="2399" t="s">
        <v>2381</v>
      </c>
    </row>
    <row r="51" spans="1:18" s="2059" customFormat="1" ht="18" customHeight="1" thickBot="1">
      <c r="A51" s="786"/>
      <c r="B51" s="787"/>
      <c r="C51" s="788"/>
      <c r="D51" s="789"/>
      <c r="E51" s="784" t="s">
        <v>639</v>
      </c>
      <c r="F51" s="2371"/>
      <c r="H51" s="2093"/>
      <c r="I51" s="3149" t="s">
        <v>2349</v>
      </c>
      <c r="J51" s="3153">
        <f>IF(J49="",J50,J49+J50-YEAR('数据-取费表'!B2))</f>
        <v>63</v>
      </c>
      <c r="K51" s="3124" t="s">
        <v>2355</v>
      </c>
      <c r="L51" s="3160">
        <f ca="1">ROUND(-PV(INDIRECT("'数据-取费表'!h"&amp;$G$1),L48,(C39-C13*J36),0),0)</f>
        <v>166</v>
      </c>
      <c r="O51" s="2401" t="s">
        <v>2385</v>
      </c>
      <c r="P51" s="2399" t="s">
        <v>2386</v>
      </c>
      <c r="Q51" s="2402" t="e">
        <f ca="1">J58</f>
        <v>#VALUE!</v>
      </c>
      <c r="R51" s="2403"/>
    </row>
    <row r="52" spans="1:18" s="2059" customFormat="1" ht="18" customHeight="1" thickBot="1">
      <c r="A52" s="781" t="s">
        <v>2537</v>
      </c>
      <c r="B52" s="2494" t="s">
        <v>2460</v>
      </c>
      <c r="C52" s="799">
        <f ca="1">ROUND(IF(F52="押一",C48/12*F11,IF(F52="押二",C48/12*2*F11,IF(F52="押三",C48/12*3*F11,C53*F11))),0)</f>
        <v>0</v>
      </c>
      <c r="D52" s="2501" t="s">
        <v>2974</v>
      </c>
      <c r="E52" s="2498" t="s">
        <v>2465</v>
      </c>
      <c r="F52" s="2621"/>
      <c r="I52" s="3150" t="s">
        <v>2422</v>
      </c>
      <c r="J52" s="2385"/>
      <c r="K52" s="3150" t="s">
        <v>2421</v>
      </c>
      <c r="L52" s="2385"/>
      <c r="O52" s="2401" t="s">
        <v>2387</v>
      </c>
      <c r="P52" s="2399" t="s">
        <v>2388</v>
      </c>
      <c r="Q52" s="2402">
        <f>J52</f>
        <v>0</v>
      </c>
      <c r="R52" s="2403"/>
    </row>
    <row r="53" spans="1:18" s="2059" customFormat="1" ht="39.75" customHeight="1" thickBot="1">
      <c r="A53" s="786"/>
      <c r="B53" s="2495" t="s">
        <v>2574</v>
      </c>
      <c r="C53" s="2499"/>
      <c r="D53" s="2501"/>
      <c r="E53" s="2498"/>
      <c r="F53" s="800"/>
      <c r="I53" s="3151" t="s">
        <v>2978</v>
      </c>
      <c r="J53" s="3154">
        <f ca="1">IF(M47="住宅",IF(D1="——",MAX(J51,L48),MAX(J51,L48-'数据-取费表'!B20)),IF(D1="——",MIN(J51,L48),MIN(J51,L48-'数据-取费表'!B20)))</f>
        <v>34.17</v>
      </c>
      <c r="K53" s="3471" t="s">
        <v>2965</v>
      </c>
      <c r="L53" s="3472"/>
      <c r="O53" s="2401" t="s">
        <v>2389</v>
      </c>
      <c r="P53" s="2399" t="s">
        <v>2390</v>
      </c>
      <c r="Q53" s="2400">
        <f ca="1">J53</f>
        <v>34.17</v>
      </c>
      <c r="R53" s="2399" t="s">
        <v>2391</v>
      </c>
    </row>
    <row r="54" spans="1:18" s="2059" customFormat="1" ht="18" customHeight="1" thickBot="1">
      <c r="A54" s="2537" t="s">
        <v>2468</v>
      </c>
      <c r="B54" s="2538" t="s">
        <v>2461</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1484</v>
      </c>
      <c r="R54" s="2403" t="s">
        <v>2393</v>
      </c>
    </row>
    <row r="55" spans="1:18" s="2059" customFormat="1" ht="18" customHeight="1" thickTop="1" thickBot="1">
      <c r="A55" s="797">
        <v>2</v>
      </c>
      <c r="B55" s="798" t="s">
        <v>643</v>
      </c>
      <c r="C55" s="799">
        <f ca="1">C13</f>
        <v>717</v>
      </c>
      <c r="D55" s="795"/>
      <c r="E55" s="795"/>
      <c r="F55" s="800"/>
      <c r="I55" s="3163" t="s">
        <v>2356</v>
      </c>
      <c r="J55" s="3099" t="e">
        <f ca="1">ROUND(IF(J47="钢混",J57/J50,1-(1-2%)*(J50-J57)/J50),3)</f>
        <v>#VALUE!</v>
      </c>
      <c r="K55" s="3164" t="s">
        <v>2357</v>
      </c>
      <c r="L55" s="2386"/>
      <c r="O55" s="2404" t="s">
        <v>2412</v>
      </c>
      <c r="P55" s="1593"/>
      <c r="Q55" s="1605"/>
      <c r="R55" s="1593"/>
    </row>
    <row r="56" spans="1:18" s="2059" customFormat="1" ht="42.75" customHeight="1" thickBot="1">
      <c r="A56" s="1651"/>
      <c r="B56" s="2231" t="s">
        <v>2303</v>
      </c>
      <c r="C56" s="53">
        <f ca="1">C29</f>
        <v>717</v>
      </c>
      <c r="D56" s="2639"/>
      <c r="E56" s="784"/>
      <c r="F56" s="809"/>
      <c r="I56" s="3165" t="s">
        <v>2358</v>
      </c>
      <c r="J56" s="3175" t="s">
        <v>1677</v>
      </c>
      <c r="K56" s="3124" t="s">
        <v>2363</v>
      </c>
      <c r="L56" s="1910" t="str">
        <f ca="1">IF(L48&lt;J51,"——",L48-J51)</f>
        <v>——</v>
      </c>
      <c r="O56" s="2395" t="s">
        <v>2376</v>
      </c>
      <c r="P56" s="2396" t="s">
        <v>2377</v>
      </c>
      <c r="Q56" s="2397" t="s">
        <v>2378</v>
      </c>
      <c r="R56" s="2396" t="s">
        <v>2379</v>
      </c>
    </row>
    <row r="57" spans="1:18" s="2059" customFormat="1" ht="28.5" customHeight="1" thickBot="1">
      <c r="A57" s="797" t="s">
        <v>1747</v>
      </c>
      <c r="B57" s="798" t="s">
        <v>650</v>
      </c>
      <c r="C57" s="799">
        <f ca="1">ROUND(C58+C63+C64+C65,0)</f>
        <v>12</v>
      </c>
      <c r="D57" s="26" t="s">
        <v>1749</v>
      </c>
      <c r="E57" s="2640"/>
      <c r="F57" s="56"/>
      <c r="I57" s="3166" t="s">
        <v>2359</v>
      </c>
      <c r="J57" s="3167" t="str">
        <f ca="1">IF(OR(M47="住宅",J51&lt;L48,J56="是"),"——",J51-L48)</f>
        <v>——</v>
      </c>
      <c r="K57" s="3124" t="s">
        <v>2364</v>
      </c>
      <c r="L57" s="1910" t="str">
        <f ca="1">IF(L48&lt;J51,"——",IF(L55="比较法",L49,IF(L55="基准地价",L50,L51)))</f>
        <v>——</v>
      </c>
      <c r="O57" s="2398" t="s">
        <v>2380</v>
      </c>
      <c r="P57" s="2399" t="s">
        <v>2410</v>
      </c>
      <c r="Q57" s="2400">
        <f ca="1">C40+J29</f>
        <v>1484</v>
      </c>
      <c r="R57" s="2399" t="s">
        <v>2381</v>
      </c>
    </row>
    <row r="58" spans="1:18" s="2059" customFormat="1" ht="28.5" customHeight="1" thickBot="1">
      <c r="A58" s="1650" t="s">
        <v>1823</v>
      </c>
      <c r="B58" s="784" t="s">
        <v>655</v>
      </c>
      <c r="C58" s="53">
        <f ca="1">ROUND(IF(项目基本情况!B11="自然人",C47*F58,C59+C60+C61),1)</f>
        <v>0.3</v>
      </c>
      <c r="D58" s="2638" t="s">
        <v>656</v>
      </c>
      <c r="E58" s="2639" t="s">
        <v>689</v>
      </c>
      <c r="F58" s="810">
        <f ca="1">IF(项目基本情况!B11="企业","",IF(INDIRECT("'数据-取费表'!c"&amp;$G$1)="住宅",5%,IF(F48*F49*F50/12/(1+'数据-取费表'!C42)&gt;20000,12%,7%)))</f>
        <v>7.0000000000000007E-2</v>
      </c>
      <c r="I58" s="3166" t="s">
        <v>2360</v>
      </c>
      <c r="J58" s="3100" t="e">
        <f ca="1">IF(J55&lt;0.4,0.4,J55)</f>
        <v>#VALUE!</v>
      </c>
      <c r="K58" s="3124" t="s">
        <v>2365</v>
      </c>
      <c r="L58" s="1910" t="e">
        <f ca="1">ROUND(POWER(1+L52,L47-L48)*(POWER(1+L52,L48)-1)/(POWER(1+L52,L47)-1),4)</f>
        <v>#DIV/0!</v>
      </c>
      <c r="O58" s="2398" t="s">
        <v>2382</v>
      </c>
      <c r="P58" s="2399" t="s">
        <v>2413</v>
      </c>
      <c r="Q58" s="2400">
        <f ca="1">L60</f>
        <v>0</v>
      </c>
      <c r="R58" s="2403" t="s">
        <v>2415</v>
      </c>
    </row>
    <row r="59" spans="1:18" s="2059" customFormat="1" ht="28.5" customHeight="1" thickBot="1">
      <c r="A59" s="1649" t="s">
        <v>1830</v>
      </c>
      <c r="B59" s="784" t="s">
        <v>659</v>
      </c>
      <c r="C59" s="53">
        <f ca="1">ROUND(C47*F59/1.05,1)</f>
        <v>0</v>
      </c>
      <c r="D59" s="2639" t="s">
        <v>1755</v>
      </c>
      <c r="E59" s="784" t="s">
        <v>1746</v>
      </c>
      <c r="F59" s="809">
        <f t="shared" ref="F59:F65" si="0">F32</f>
        <v>5.5000000000000007E-2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9"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8" t="s">
        <v>2362</v>
      </c>
      <c r="J60" s="3169" t="str">
        <f ca="1">IF(OR(M47="住宅",J51&lt;L48,J56="是"),"0",ROUND(J59/(1+J52)^J53,0))</f>
        <v>0</v>
      </c>
      <c r="K60" s="3170" t="s">
        <v>2367</v>
      </c>
      <c r="L60" s="3169">
        <f ca="1">IF(OR(M47="住宅",L48&lt;J51),0,ROUND(L57*(L58/L59-1),0))</f>
        <v>0</v>
      </c>
      <c r="O60" s="2401" t="s">
        <v>2385</v>
      </c>
      <c r="P60" s="2399" t="s">
        <v>2394</v>
      </c>
      <c r="Q60" s="2402">
        <f>L52</f>
        <v>0</v>
      </c>
      <c r="R60" s="2403"/>
    </row>
    <row r="61" spans="1:18" s="2059" customFormat="1" ht="18" customHeight="1" thickBot="1">
      <c r="A61" s="1652" t="s">
        <v>1832</v>
      </c>
      <c r="B61" s="341" t="s">
        <v>667</v>
      </c>
      <c r="C61" s="54">
        <f ca="1">ROUND(F61*F62/10000,1)</f>
        <v>0.3</v>
      </c>
      <c r="D61" s="814" t="s">
        <v>668</v>
      </c>
      <c r="E61" s="784" t="s">
        <v>669</v>
      </c>
      <c r="F61" s="640">
        <f t="shared" si="0"/>
        <v>5</v>
      </c>
      <c r="K61" s="2086"/>
      <c r="O61" s="2401" t="s">
        <v>2387</v>
      </c>
      <c r="P61" s="2399" t="s">
        <v>2395</v>
      </c>
      <c r="Q61" s="2400" t="e">
        <f ca="1">L58</f>
        <v>#DIV/0!</v>
      </c>
      <c r="R61" s="2403" t="s">
        <v>2396</v>
      </c>
    </row>
    <row r="62" spans="1:18" s="2059" customFormat="1" ht="16.2" thickBot="1">
      <c r="A62" s="815"/>
      <c r="B62" s="793"/>
      <c r="C62" s="69"/>
      <c r="D62" s="816"/>
      <c r="E62" s="784" t="s">
        <v>673</v>
      </c>
      <c r="F62" s="785">
        <f t="shared" ca="1" si="0"/>
        <v>699.24</v>
      </c>
      <c r="I62" s="3171" t="s">
        <v>2368</v>
      </c>
      <c r="J62" s="3172" t="s">
        <v>2369</v>
      </c>
      <c r="K62" s="3172" t="s">
        <v>2370</v>
      </c>
      <c r="L62" s="3172" t="s">
        <v>2351</v>
      </c>
      <c r="M62" s="3173" t="s">
        <v>2941</v>
      </c>
      <c r="O62" s="2401" t="s">
        <v>2389</v>
      </c>
      <c r="P62" s="2399" t="str">
        <f>K59</f>
        <v>建设期及建筑物耐用年限下的土地年期修正系数Kn</v>
      </c>
      <c r="Q62" s="2400" t="e">
        <f ca="1">L59</f>
        <v>#DIV/0!</v>
      </c>
      <c r="R62" s="2403" t="s">
        <v>2398</v>
      </c>
    </row>
    <row r="63" spans="1:18" s="2059" customFormat="1" ht="16.2" thickBot="1">
      <c r="A63" s="1650" t="s">
        <v>1888</v>
      </c>
      <c r="B63" s="784" t="s">
        <v>675</v>
      </c>
      <c r="C63" s="53">
        <f ca="1">ROUND(C56*F63,1)</f>
        <v>10.8</v>
      </c>
      <c r="D63" s="2639" t="s">
        <v>1802</v>
      </c>
      <c r="E63" s="784" t="s">
        <v>1746</v>
      </c>
      <c r="F63" s="817">
        <f t="shared" ca="1" si="0"/>
        <v>1.4999999999999999E-2</v>
      </c>
      <c r="I63" s="3171" t="s">
        <v>2371</v>
      </c>
      <c r="J63" s="3172">
        <v>70</v>
      </c>
      <c r="K63" s="3172">
        <v>50</v>
      </c>
      <c r="L63" s="3172">
        <v>80</v>
      </c>
      <c r="M63" s="3174">
        <v>0.02</v>
      </c>
      <c r="O63" s="2398" t="s">
        <v>2392</v>
      </c>
      <c r="P63" s="2399" t="s">
        <v>2409</v>
      </c>
      <c r="Q63" s="2400">
        <f ca="1">Q57+Q58</f>
        <v>1484</v>
      </c>
      <c r="R63" s="2403" t="s">
        <v>2393</v>
      </c>
    </row>
    <row r="64" spans="1:18" s="2059" customFormat="1" ht="16.2" thickBot="1">
      <c r="A64" s="1650" t="s">
        <v>1889</v>
      </c>
      <c r="B64" s="784" t="s">
        <v>678</v>
      </c>
      <c r="C64" s="53">
        <f ca="1">ROUND(C55*F64,1)</f>
        <v>1.1000000000000001</v>
      </c>
      <c r="D64" s="2639" t="s">
        <v>679</v>
      </c>
      <c r="E64" s="784" t="s">
        <v>1746</v>
      </c>
      <c r="F64" s="818">
        <f t="shared" ca="1" si="0"/>
        <v>1.5E-3</v>
      </c>
      <c r="I64" s="3171" t="s">
        <v>2372</v>
      </c>
      <c r="J64" s="3172">
        <v>50</v>
      </c>
      <c r="K64" s="3172">
        <v>35</v>
      </c>
      <c r="L64" s="3172">
        <v>60</v>
      </c>
      <c r="M64" s="846">
        <v>0</v>
      </c>
      <c r="O64" s="2404" t="s">
        <v>2416</v>
      </c>
      <c r="P64" s="1593"/>
      <c r="Q64" s="1605"/>
      <c r="R64" s="1593"/>
    </row>
    <row r="65" spans="1:18" s="2059" customFormat="1" ht="16.2" thickBot="1">
      <c r="A65" s="1650" t="s">
        <v>1890</v>
      </c>
      <c r="B65" s="784" t="s">
        <v>665</v>
      </c>
      <c r="C65" s="53">
        <f ca="1">ROUND(C47*F65,1)</f>
        <v>0</v>
      </c>
      <c r="D65" s="2639" t="s">
        <v>682</v>
      </c>
      <c r="E65" s="784" t="s">
        <v>1746</v>
      </c>
      <c r="F65" s="794">
        <f t="shared" ca="1" si="0"/>
        <v>0.02</v>
      </c>
      <c r="I65" s="3171" t="s">
        <v>2373</v>
      </c>
      <c r="J65" s="3172">
        <v>40</v>
      </c>
      <c r="K65" s="3172">
        <v>30</v>
      </c>
      <c r="L65" s="3172">
        <v>50</v>
      </c>
      <c r="M65" s="3174">
        <v>0.02</v>
      </c>
      <c r="O65" s="2395" t="s">
        <v>2376</v>
      </c>
      <c r="P65" s="2396" t="s">
        <v>2377</v>
      </c>
      <c r="Q65" s="2397" t="s">
        <v>2378</v>
      </c>
      <c r="R65" s="2396" t="s">
        <v>2379</v>
      </c>
    </row>
    <row r="66" spans="1:18" s="2059" customFormat="1" ht="24.6" thickBot="1">
      <c r="A66" s="797" t="s">
        <v>1775</v>
      </c>
      <c r="B66" s="3011" t="s">
        <v>2823</v>
      </c>
      <c r="C66" s="799">
        <f ca="1">C47-C57</f>
        <v>-12</v>
      </c>
      <c r="D66" s="2638" t="s">
        <v>699</v>
      </c>
      <c r="E66" s="2637"/>
      <c r="F66" s="820"/>
      <c r="K66" s="2086"/>
      <c r="O66" s="2398" t="s">
        <v>2380</v>
      </c>
      <c r="P66" s="2399" t="s">
        <v>2410</v>
      </c>
      <c r="Q66" s="2400">
        <f ca="1">C40+J29</f>
        <v>1484</v>
      </c>
      <c r="R66" s="2399" t="s">
        <v>2381</v>
      </c>
    </row>
    <row r="67" spans="1:18" s="2059" customFormat="1" ht="19.2" thickBot="1">
      <c r="A67" s="781" t="s">
        <v>1779</v>
      </c>
      <c r="B67" s="2232" t="s">
        <v>2302</v>
      </c>
      <c r="C67" s="783">
        <f ca="1">ROUND(C66*(1-((1+F69)/(1+F67))^F68)/(F67-F69),0)</f>
        <v>-183</v>
      </c>
      <c r="D67" s="814" t="s">
        <v>703</v>
      </c>
      <c r="E67" s="784" t="s">
        <v>704</v>
      </c>
      <c r="F67" s="794">
        <f ca="1">F40</f>
        <v>5.5E-2</v>
      </c>
      <c r="K67" s="2086"/>
      <c r="O67" s="2398" t="s">
        <v>2382</v>
      </c>
      <c r="P67" s="2399" t="s">
        <v>2413</v>
      </c>
      <c r="Q67" s="2400">
        <f ca="1">L60</f>
        <v>0</v>
      </c>
      <c r="R67" s="2403" t="s">
        <v>2415</v>
      </c>
    </row>
    <row r="68" spans="1:18" ht="20.399999999999999" thickBot="1">
      <c r="A68" s="786"/>
      <c r="B68" s="787"/>
      <c r="C68" s="788"/>
      <c r="D68" s="821" t="s">
        <v>1807</v>
      </c>
      <c r="E68" s="784" t="s">
        <v>1783</v>
      </c>
      <c r="F68" s="822">
        <f ca="1">F41</f>
        <v>34.17</v>
      </c>
      <c r="O68" s="2401" t="s">
        <v>2384</v>
      </c>
      <c r="P68" s="2399" t="s">
        <v>2414</v>
      </c>
      <c r="Q68" s="2405">
        <f ca="1">L51</f>
        <v>166</v>
      </c>
      <c r="R68" s="2406" t="s">
        <v>2417</v>
      </c>
    </row>
    <row r="69" spans="1:18" ht="19.2" thickBot="1">
      <c r="A69" s="790"/>
      <c r="B69" s="791"/>
      <c r="C69" s="792"/>
      <c r="D69" s="816"/>
      <c r="E69" s="784" t="s">
        <v>709</v>
      </c>
      <c r="F69" s="2371"/>
      <c r="O69" s="2401" t="s">
        <v>2385</v>
      </c>
      <c r="P69" s="2407" t="s">
        <v>2399</v>
      </c>
      <c r="Q69" s="2400">
        <f ca="1">ROUND(Q70-Q71*Q72,0)</f>
        <v>10</v>
      </c>
      <c r="R69" s="2403"/>
    </row>
    <row r="70" spans="1:18" ht="16.2" thickBot="1">
      <c r="A70" s="823" t="s">
        <v>1786</v>
      </c>
      <c r="B70" s="824" t="s">
        <v>1809</v>
      </c>
      <c r="C70" s="825">
        <f ca="1">ROUND(C67*10000/F70,0)</f>
        <v>-871</v>
      </c>
      <c r="D70" s="826" t="s">
        <v>1810</v>
      </c>
      <c r="E70" s="827" t="s">
        <v>1811</v>
      </c>
      <c r="F70" s="828">
        <f ca="1">F43</f>
        <v>2100.1499999999996</v>
      </c>
      <c r="O70" s="2401" t="s">
        <v>2400</v>
      </c>
      <c r="P70" s="2407" t="s">
        <v>2401</v>
      </c>
      <c r="Q70" s="2400">
        <f ca="1">C39</f>
        <v>71</v>
      </c>
      <c r="R70" s="2399" t="s">
        <v>2381</v>
      </c>
    </row>
    <row r="71" spans="1:18" ht="16.2" thickBot="1">
      <c r="O71" s="2401" t="s">
        <v>2402</v>
      </c>
      <c r="P71" s="2407" t="s">
        <v>2403</v>
      </c>
      <c r="Q71" s="2400">
        <f ca="1">C13</f>
        <v>717</v>
      </c>
      <c r="R71" s="2399" t="s">
        <v>2381</v>
      </c>
    </row>
    <row r="72" spans="1:18" ht="16.2" thickBot="1">
      <c r="O72" s="2401" t="s">
        <v>2404</v>
      </c>
      <c r="P72" s="2407" t="s">
        <v>2405</v>
      </c>
      <c r="Q72" s="2402">
        <f ca="1">J36</f>
        <v>8.5000000000000006E-2</v>
      </c>
      <c r="R72" s="2403"/>
    </row>
    <row r="73" spans="1:18" ht="16.2" thickBot="1">
      <c r="O73" s="2401" t="s">
        <v>2387</v>
      </c>
      <c r="P73" s="2399" t="s">
        <v>2394</v>
      </c>
      <c r="Q73" s="2402">
        <f>L52</f>
        <v>0</v>
      </c>
      <c r="R73" s="2403"/>
    </row>
    <row r="74" spans="1:18" ht="19.2" thickBot="1">
      <c r="O74" s="2401" t="s">
        <v>2389</v>
      </c>
      <c r="P74" s="2399" t="s">
        <v>2395</v>
      </c>
      <c r="Q74" s="2400" t="e">
        <f ca="1">L58</f>
        <v>#DIV/0!</v>
      </c>
      <c r="R74" s="2403" t="s">
        <v>2396</v>
      </c>
    </row>
    <row r="75" spans="1:18" ht="16.2" thickBot="1">
      <c r="O75" s="2401" t="s">
        <v>2418</v>
      </c>
      <c r="P75" s="2399" t="str">
        <f>K59</f>
        <v>建设期及建筑物耐用年限下的土地年期修正系数Kn</v>
      </c>
      <c r="Q75" s="2400" t="e">
        <f ca="1">L59</f>
        <v>#DIV/0!</v>
      </c>
      <c r="R75" s="2403" t="s">
        <v>2398</v>
      </c>
    </row>
    <row r="76" spans="1:18" ht="16.2" thickBot="1">
      <c r="O76" s="2398" t="s">
        <v>2392</v>
      </c>
      <c r="P76" s="2399" t="s">
        <v>2409</v>
      </c>
      <c r="Q76" s="2400">
        <f ca="1">Q66+Q67</f>
        <v>1484</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4.4"/>
  <cols>
    <col min="1" max="1" width="10.44140625" customWidth="1"/>
    <col min="2" max="2" width="12.88671875" customWidth="1"/>
    <col min="3" max="3" width="8.77734375" customWidth="1"/>
  </cols>
  <sheetData>
    <row r="1" spans="1:9" ht="15.6">
      <c r="A1" s="3489" t="s">
        <v>2472</v>
      </c>
      <c r="B1" s="3490"/>
      <c r="C1" s="3491"/>
      <c r="D1" s="3492">
        <f>SUM(I10,I15,I20,I21,I23)</f>
        <v>0</v>
      </c>
      <c r="E1" s="3492"/>
      <c r="F1" s="3492"/>
      <c r="G1" s="3492"/>
      <c r="H1" s="3492"/>
      <c r="I1" s="3493"/>
    </row>
    <row r="2" spans="1:9">
      <c r="A2" s="3479" t="s">
        <v>2473</v>
      </c>
      <c r="B2" s="3480" t="s">
        <v>2474</v>
      </c>
      <c r="C2" s="3480"/>
      <c r="D2" s="2507" t="s">
        <v>2475</v>
      </c>
      <c r="E2" s="2507" t="s">
        <v>2476</v>
      </c>
      <c r="F2" s="2507" t="s">
        <v>2477</v>
      </c>
      <c r="G2" s="2507" t="s">
        <v>2478</v>
      </c>
      <c r="H2" s="2507" t="s">
        <v>2479</v>
      </c>
      <c r="I2" s="2508" t="s">
        <v>2480</v>
      </c>
    </row>
    <row r="3" spans="1:9">
      <c r="A3" s="3479"/>
      <c r="B3" s="3480" t="s">
        <v>2481</v>
      </c>
      <c r="C3" s="3480"/>
      <c r="D3" s="2509"/>
      <c r="E3" s="2507"/>
      <c r="F3" s="2510"/>
      <c r="G3" s="2510"/>
      <c r="H3" s="2511"/>
      <c r="I3" s="2512">
        <f>ROUND(D3*E3*F3*G3*H3/10000,0)</f>
        <v>0</v>
      </c>
    </row>
    <row r="4" spans="1:9">
      <c r="A4" s="3479"/>
      <c r="B4" s="3480" t="s">
        <v>2482</v>
      </c>
      <c r="C4" s="3480"/>
      <c r="D4" s="2509"/>
      <c r="E4" s="2507"/>
      <c r="F4" s="2510"/>
      <c r="G4" s="2510"/>
      <c r="H4" s="2511"/>
      <c r="I4" s="2512">
        <f t="shared" ref="I4:I9" si="0">ROUND(D4*E4*F4*G4*H4/10000,0)</f>
        <v>0</v>
      </c>
    </row>
    <row r="5" spans="1:9">
      <c r="A5" s="3479"/>
      <c r="B5" s="3480" t="s">
        <v>2483</v>
      </c>
      <c r="C5" s="3480"/>
      <c r="D5" s="2509"/>
      <c r="E5" s="2507"/>
      <c r="F5" s="2510"/>
      <c r="G5" s="2510"/>
      <c r="H5" s="2511"/>
      <c r="I5" s="2512">
        <f t="shared" si="0"/>
        <v>0</v>
      </c>
    </row>
    <row r="6" spans="1:9">
      <c r="A6" s="3479"/>
      <c r="B6" s="3480" t="s">
        <v>2484</v>
      </c>
      <c r="C6" s="3480"/>
      <c r="D6" s="2509"/>
      <c r="E6" s="2507"/>
      <c r="F6" s="2510"/>
      <c r="G6" s="2510"/>
      <c r="H6" s="2511"/>
      <c r="I6" s="2512">
        <f t="shared" si="0"/>
        <v>0</v>
      </c>
    </row>
    <row r="7" spans="1:9">
      <c r="A7" s="3479"/>
      <c r="B7" s="3480" t="s">
        <v>2485</v>
      </c>
      <c r="C7" s="3480"/>
      <c r="D7" s="2509"/>
      <c r="E7" s="2507"/>
      <c r="F7" s="2510"/>
      <c r="G7" s="2510"/>
      <c r="H7" s="2511"/>
      <c r="I7" s="2512">
        <f t="shared" si="0"/>
        <v>0</v>
      </c>
    </row>
    <row r="8" spans="1:9">
      <c r="A8" s="3479"/>
      <c r="B8" s="3480" t="s">
        <v>2486</v>
      </c>
      <c r="C8" s="3480"/>
      <c r="D8" s="2509"/>
      <c r="E8" s="2507"/>
      <c r="F8" s="2510"/>
      <c r="G8" s="2510"/>
      <c r="H8" s="2511"/>
      <c r="I8" s="2512">
        <f t="shared" si="0"/>
        <v>0</v>
      </c>
    </row>
    <row r="9" spans="1:9">
      <c r="A9" s="3479"/>
      <c r="B9" s="3480" t="s">
        <v>2487</v>
      </c>
      <c r="C9" s="3480"/>
      <c r="D9" s="2509"/>
      <c r="E9" s="2507"/>
      <c r="F9" s="2510"/>
      <c r="G9" s="2510"/>
      <c r="H9" s="2511"/>
      <c r="I9" s="2512">
        <f t="shared" si="0"/>
        <v>0</v>
      </c>
    </row>
    <row r="10" spans="1:9">
      <c r="A10" s="3479"/>
      <c r="B10" s="3481" t="s">
        <v>2488</v>
      </c>
      <c r="C10" s="3481"/>
      <c r="D10" s="2513">
        <v>527</v>
      </c>
      <c r="E10" s="2513" t="e">
        <f>ROUND(D1*10000/D10/H9,0)</f>
        <v>#DIV/0!</v>
      </c>
      <c r="F10" s="2514"/>
      <c r="G10" s="2514"/>
      <c r="H10" s="2515"/>
      <c r="I10" s="2516">
        <f>SUM(I3:I9)</f>
        <v>0</v>
      </c>
    </row>
    <row r="11" spans="1:9" ht="15.6">
      <c r="A11" s="3479" t="s">
        <v>2489</v>
      </c>
      <c r="B11" s="3480" t="s">
        <v>2490</v>
      </c>
      <c r="C11" s="3480"/>
      <c r="D11" s="2509" t="s">
        <v>2491</v>
      </c>
      <c r="E11" s="2509" t="s">
        <v>2492</v>
      </c>
      <c r="F11" s="2510" t="s">
        <v>2493</v>
      </c>
      <c r="G11" s="2510" t="s">
        <v>2494</v>
      </c>
      <c r="H11" s="2517" t="s">
        <v>2495</v>
      </c>
      <c r="I11" s="2508" t="s">
        <v>2496</v>
      </c>
    </row>
    <row r="12" spans="1:9">
      <c r="A12" s="3479"/>
      <c r="B12" s="3480" t="s">
        <v>2497</v>
      </c>
      <c r="C12" s="3480"/>
      <c r="D12" s="2509"/>
      <c r="E12" s="2509"/>
      <c r="F12" s="2510"/>
      <c r="G12" s="2511"/>
      <c r="H12" s="2518"/>
      <c r="I12" s="2508">
        <f>ROUND(D12*E12*F12*G12/10000,0)</f>
        <v>0</v>
      </c>
    </row>
    <row r="13" spans="1:9">
      <c r="A13" s="3479"/>
      <c r="B13" s="3480" t="s">
        <v>2498</v>
      </c>
      <c r="C13" s="3480"/>
      <c r="D13" s="2509"/>
      <c r="E13" s="2509"/>
      <c r="F13" s="2510"/>
      <c r="G13" s="2511"/>
      <c r="H13" s="2518"/>
      <c r="I13" s="2508">
        <f>ROUND(D13*E13*F13*G13/10000,0)</f>
        <v>0</v>
      </c>
    </row>
    <row r="14" spans="1:9">
      <c r="A14" s="3479"/>
      <c r="B14" s="3480" t="s">
        <v>2499</v>
      </c>
      <c r="C14" s="3480"/>
      <c r="D14" s="2509"/>
      <c r="E14" s="2509"/>
      <c r="F14" s="2510"/>
      <c r="G14" s="2511"/>
      <c r="H14" s="2518"/>
      <c r="I14" s="2508">
        <f>ROUND(D14*E14*F14*G14/10000,0)</f>
        <v>0</v>
      </c>
    </row>
    <row r="15" spans="1:9">
      <c r="A15" s="3479"/>
      <c r="B15" s="3481" t="s">
        <v>2488</v>
      </c>
      <c r="C15" s="3481"/>
      <c r="D15" s="2513"/>
      <c r="E15" s="2513">
        <f>SUM(E12:E14)</f>
        <v>0</v>
      </c>
      <c r="F15" s="2514"/>
      <c r="G15" s="2511"/>
      <c r="H15" s="2518"/>
      <c r="I15" s="2519">
        <f>SUM(I12:I14)</f>
        <v>0</v>
      </c>
    </row>
    <row r="16" spans="1:9" ht="24">
      <c r="A16" s="3479" t="s">
        <v>2500</v>
      </c>
      <c r="B16" s="3480" t="s">
        <v>2501</v>
      </c>
      <c r="C16" s="3480"/>
      <c r="D16" s="2509" t="s">
        <v>2502</v>
      </c>
      <c r="E16" s="2520" t="s">
        <v>2503</v>
      </c>
      <c r="F16" s="2510" t="s">
        <v>2504</v>
      </c>
      <c r="G16" s="2511" t="s">
        <v>2494</v>
      </c>
      <c r="H16" s="2517" t="s">
        <v>2495</v>
      </c>
      <c r="I16" s="2508" t="s">
        <v>2496</v>
      </c>
    </row>
    <row r="17" spans="1:9" ht="15.6">
      <c r="A17" s="3479"/>
      <c r="B17" s="3480" t="s">
        <v>2505</v>
      </c>
      <c r="C17" s="3480"/>
      <c r="D17" s="2509"/>
      <c r="E17" s="2509"/>
      <c r="F17" s="2510"/>
      <c r="G17" s="2511"/>
      <c r="H17" s="2521"/>
      <c r="I17" s="2522">
        <f>ROUND(D17*E17*F17*G17/10000,0)</f>
        <v>0</v>
      </c>
    </row>
    <row r="18" spans="1:9" ht="15.6">
      <c r="A18" s="3479"/>
      <c r="B18" s="3480" t="s">
        <v>2506</v>
      </c>
      <c r="C18" s="3480"/>
      <c r="D18" s="2509"/>
      <c r="E18" s="2509"/>
      <c r="F18" s="2510"/>
      <c r="G18" s="2511"/>
      <c r="H18" s="2521"/>
      <c r="I18" s="2522">
        <f>ROUND(D18*E18*F18*G18/10000,0)</f>
        <v>0</v>
      </c>
    </row>
    <row r="19" spans="1:9" ht="15.6">
      <c r="A19" s="3479"/>
      <c r="B19" s="3480" t="s">
        <v>2507</v>
      </c>
      <c r="C19" s="3480"/>
      <c r="D19" s="2509"/>
      <c r="E19" s="2509"/>
      <c r="F19" s="2510"/>
      <c r="G19" s="2511"/>
      <c r="H19" s="2521"/>
      <c r="I19" s="2522">
        <f>ROUND(D19*E19*F19*G19/10000,0)</f>
        <v>0</v>
      </c>
    </row>
    <row r="20" spans="1:9">
      <c r="A20" s="3479"/>
      <c r="B20" s="3481" t="s">
        <v>2488</v>
      </c>
      <c r="C20" s="3481"/>
      <c r="D20" s="2513">
        <f>SUM(D17:D19)</f>
        <v>0</v>
      </c>
      <c r="E20" s="2513"/>
      <c r="F20" s="2514"/>
      <c r="G20" s="2511"/>
      <c r="H20" s="2518"/>
      <c r="I20" s="2519">
        <f>SUM(I17:I19)</f>
        <v>0</v>
      </c>
    </row>
    <row r="21" spans="1:9">
      <c r="A21" s="3479" t="s">
        <v>2508</v>
      </c>
      <c r="B21" s="3482"/>
      <c r="C21" s="3482"/>
      <c r="D21" s="3482"/>
      <c r="E21" s="3482"/>
      <c r="F21" s="3482"/>
      <c r="G21" s="3482"/>
      <c r="H21" s="2523">
        <v>0.1</v>
      </c>
      <c r="I21" s="2516">
        <f>ROUND(I10*H21,0)</f>
        <v>0</v>
      </c>
    </row>
    <row r="22" spans="1:9" ht="15.6">
      <c r="A22" s="3483" t="s">
        <v>2509</v>
      </c>
      <c r="B22" s="3484"/>
      <c r="C22" s="3485"/>
      <c r="D22" s="2524" t="s">
        <v>2510</v>
      </c>
      <c r="E22" s="2524" t="s">
        <v>2511</v>
      </c>
      <c r="F22" s="2525" t="s">
        <v>2512</v>
      </c>
      <c r="G22" s="2525" t="s">
        <v>2513</v>
      </c>
      <c r="H22" s="2517" t="s">
        <v>2514</v>
      </c>
      <c r="I22" s="2508" t="s">
        <v>2515</v>
      </c>
    </row>
    <row r="23" spans="1:9" ht="15" thickBot="1">
      <c r="A23" s="3486"/>
      <c r="B23" s="3487"/>
      <c r="C23" s="3488"/>
      <c r="D23" s="2526"/>
      <c r="E23" s="2526"/>
      <c r="F23" s="2526"/>
      <c r="G23" s="2527"/>
      <c r="H23" s="2528"/>
      <c r="I23" s="2529">
        <f>ROUND(E23*D23*F23*(1-G23)/10000,0)</f>
        <v>0</v>
      </c>
    </row>
    <row r="26" spans="1:9">
      <c r="A26" s="2530" t="s">
        <v>2516</v>
      </c>
      <c r="B26" s="2530"/>
      <c r="C26" s="2530"/>
      <c r="D26" s="2530"/>
      <c r="E26" s="3476">
        <f>C27-C30-C31-C32</f>
        <v>0</v>
      </c>
      <c r="F26" s="3476"/>
      <c r="G26" s="3476"/>
      <c r="H26" s="3043" t="s">
        <v>2844</v>
      </c>
    </row>
    <row r="27" spans="1:9">
      <c r="A27" s="2531">
        <v>1</v>
      </c>
      <c r="B27" s="2532" t="s">
        <v>2517</v>
      </c>
      <c r="C27" s="2532"/>
      <c r="D27" s="2532"/>
      <c r="E27" s="3477"/>
      <c r="F27" s="3477"/>
      <c r="G27" s="3477"/>
    </row>
    <row r="28" spans="1:9">
      <c r="A28" s="2533" t="s">
        <v>2518</v>
      </c>
      <c r="B28" s="2532" t="s">
        <v>2519</v>
      </c>
      <c r="C28" s="2532"/>
      <c r="D28" s="2532"/>
      <c r="E28" s="3477"/>
      <c r="F28" s="3477"/>
      <c r="G28" s="3477"/>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78"/>
      <c r="F32" s="3478"/>
      <c r="G32" s="3478"/>
    </row>
    <row r="33" spans="1:7" hidden="1">
      <c r="A33" s="3473" t="s">
        <v>2527</v>
      </c>
      <c r="B33" s="3474"/>
      <c r="C33" s="3474"/>
      <c r="D33" s="3475"/>
      <c r="E33" s="3476"/>
      <c r="F33" s="3476"/>
      <c r="G33" s="3476"/>
    </row>
    <row r="34" spans="1:7" hidden="1">
      <c r="A34" s="2535">
        <v>1</v>
      </c>
      <c r="B34" s="2532" t="s">
        <v>2528</v>
      </c>
      <c r="C34" s="2532"/>
      <c r="D34" s="2532"/>
      <c r="E34" s="3477"/>
      <c r="F34" s="3477"/>
      <c r="G34" s="3477"/>
    </row>
    <row r="35" spans="1:7" hidden="1">
      <c r="A35" s="2535">
        <v>2</v>
      </c>
      <c r="B35" s="2532" t="s">
        <v>2529</v>
      </c>
      <c r="C35" s="2532"/>
      <c r="D35" s="2532"/>
      <c r="E35" s="3477"/>
      <c r="F35" s="3477"/>
      <c r="G35" s="3477"/>
    </row>
    <row r="36" spans="1:7" hidden="1">
      <c r="A36" s="2535">
        <v>3</v>
      </c>
      <c r="B36" s="2532" t="s">
        <v>2530</v>
      </c>
      <c r="C36" s="2532"/>
      <c r="D36" s="2532"/>
      <c r="E36" s="3477"/>
      <c r="F36" s="3477"/>
      <c r="G36" s="3477"/>
    </row>
    <row r="37" spans="1:7" hidden="1">
      <c r="A37" s="2535">
        <v>4</v>
      </c>
      <c r="B37" s="2532" t="s">
        <v>2531</v>
      </c>
      <c r="C37" s="2532"/>
      <c r="D37" s="2532"/>
      <c r="E37" s="3477"/>
      <c r="F37" s="3477"/>
      <c r="G37" s="3477"/>
    </row>
    <row r="38" spans="1:7" hidden="1">
      <c r="A38" s="3473" t="s">
        <v>2532</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80"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2441</v>
      </c>
      <c r="B8" s="2472" t="s">
        <v>2443</v>
      </c>
      <c r="C8" s="2473"/>
      <c r="D8" s="749"/>
      <c r="E8" s="750"/>
      <c r="F8" s="750"/>
      <c r="G8" s="751"/>
    </row>
    <row r="9" spans="1:25" s="2183" customFormat="1" ht="13.5" customHeight="1">
      <c r="A9" s="2469" t="s">
        <v>2442</v>
      </c>
      <c r="B9" s="2472" t="s">
        <v>2444</v>
      </c>
      <c r="C9" s="2473"/>
      <c r="D9" s="749"/>
      <c r="E9" s="750"/>
      <c r="F9" s="750"/>
      <c r="G9" s="751"/>
    </row>
    <row r="10" spans="1:25" s="2183" customFormat="1" ht="36">
      <c r="A10" s="2469">
        <v>2</v>
      </c>
      <c r="B10" s="748" t="s">
        <v>612</v>
      </c>
      <c r="C10" s="749">
        <f>C11+C14+C15</f>
        <v>0</v>
      </c>
      <c r="D10" s="760">
        <f>'数据-汇总表'!E3</f>
        <v>42003.000000000007</v>
      </c>
      <c r="E10" s="749">
        <f>'数据-取费表'!B31</f>
        <v>200</v>
      </c>
      <c r="F10" s="761"/>
      <c r="G10" s="759" t="s">
        <v>613</v>
      </c>
    </row>
    <row r="11" spans="1:25" s="2183" customFormat="1" ht="13.5" customHeight="1">
      <c r="A11" s="2469" t="s">
        <v>2441</v>
      </c>
      <c r="B11" s="752" t="s">
        <v>609</v>
      </c>
      <c r="C11" s="753">
        <f>'数据-取费表'!B29</f>
        <v>0</v>
      </c>
      <c r="D11" s="754"/>
      <c r="E11" s="753"/>
      <c r="F11" s="755"/>
      <c r="G11" s="2478" t="s">
        <v>2452</v>
      </c>
    </row>
    <row r="12" spans="1:25" s="2183" customFormat="1" ht="13.5" customHeight="1">
      <c r="A12" s="2476" t="s">
        <v>2449</v>
      </c>
      <c r="B12" s="756" t="s">
        <v>610</v>
      </c>
      <c r="C12" s="757">
        <f>ROUND(D12*E12/10000,0)</f>
        <v>299</v>
      </c>
      <c r="D12" s="758">
        <f>'数据-汇总表'!E5</f>
        <v>39902.850000000006</v>
      </c>
      <c r="E12" s="757">
        <f>'数据-取费表'!B27</f>
        <v>75</v>
      </c>
      <c r="F12" s="755"/>
      <c r="G12" s="759"/>
    </row>
    <row r="13" spans="1:25" s="2183" customFormat="1" ht="13.5" customHeight="1">
      <c r="A13" s="2476" t="s">
        <v>2448</v>
      </c>
      <c r="B13" s="756" t="s">
        <v>611</v>
      </c>
      <c r="C13" s="757">
        <f>ROUND(D13*E13/10000,0)</f>
        <v>16</v>
      </c>
      <c r="D13" s="758">
        <f>'数据-汇总表'!E6</f>
        <v>2100.1500000000015</v>
      </c>
      <c r="E13" s="757">
        <f>'数据-取费表'!B28</f>
        <v>75</v>
      </c>
      <c r="F13" s="755"/>
      <c r="G13" s="759"/>
    </row>
    <row r="14" spans="1:25" s="2183" customFormat="1" ht="13.5" customHeight="1">
      <c r="A14" s="2469" t="s">
        <v>2442</v>
      </c>
      <c r="B14" s="2475" t="s">
        <v>2445</v>
      </c>
      <c r="C14" s="2473"/>
      <c r="D14" s="758"/>
      <c r="E14" s="757"/>
      <c r="F14" s="2474"/>
      <c r="G14" s="2477" t="s">
        <v>2450</v>
      </c>
    </row>
    <row r="15" spans="1:25" s="2183" customFormat="1" ht="13.5" customHeight="1">
      <c r="A15" s="2469" t="s">
        <v>2447</v>
      </c>
      <c r="B15" s="2475" t="s">
        <v>2446</v>
      </c>
      <c r="C15" s="2473"/>
      <c r="D15" s="758"/>
      <c r="E15" s="757"/>
      <c r="F15" s="2474"/>
      <c r="G15" s="2477" t="s">
        <v>2451</v>
      </c>
    </row>
    <row r="16" spans="1:25" s="2184" customFormat="1" ht="48">
      <c r="A16" s="2469">
        <v>3</v>
      </c>
      <c r="B16" s="748" t="s">
        <v>614</v>
      </c>
      <c r="C16" s="2473"/>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0.91900000000000004</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1" zoomScale="70" zoomScaleNormal="70" workbookViewId="0">
      <selection activeCell="C23" sqref="C23"/>
    </sheetView>
  </sheetViews>
  <sheetFormatPr defaultColWidth="9" defaultRowHeight="13.8"/>
  <cols>
    <col min="1" max="1" width="10.44140625" style="1337" customWidth="1"/>
    <col min="2" max="2" width="15.77734375" style="1337" customWidth="1"/>
    <col min="3" max="3" width="15.109375" style="1337" customWidth="1"/>
    <col min="4" max="4" width="10.6640625" style="1337" customWidth="1"/>
    <col min="5" max="5" width="18.88671875" style="1337" customWidth="1"/>
    <col min="6" max="6" width="12.21875" style="1337" customWidth="1"/>
    <col min="7" max="7" width="17.6640625" style="1337" customWidth="1"/>
    <col min="8" max="8" width="12.21875" style="1337" customWidth="1"/>
    <col min="9" max="9" width="17.33203125" style="1337" customWidth="1"/>
    <col min="10" max="10" width="14.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921</v>
      </c>
      <c r="E1" s="2626"/>
      <c r="F1" s="2807" t="s">
        <v>3158</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2">
        <f>ROUND(B3*D3/10000,0)</f>
        <v>26539</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6651</v>
      </c>
      <c r="C3" s="852" t="s">
        <v>721</v>
      </c>
      <c r="D3" s="851">
        <f>SUMIF('数据-汇总表'!$C19:$C33,D1,'数据-汇总表'!$E19:$E33)</f>
        <v>39902.850000000006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4.4">
      <c r="A4" s="512" t="s">
        <v>520</v>
      </c>
      <c r="B4" s="513"/>
      <c r="C4" s="3400" t="s">
        <v>521</v>
      </c>
      <c r="D4" s="3401"/>
      <c r="E4" s="3424" t="s">
        <v>522</v>
      </c>
      <c r="F4" s="3425"/>
      <c r="G4" s="3400" t="s">
        <v>523</v>
      </c>
      <c r="H4" s="3401"/>
      <c r="I4" s="3400" t="s">
        <v>524</v>
      </c>
      <c r="J4" s="3401"/>
      <c r="K4" s="853" t="s">
        <v>525</v>
      </c>
      <c r="L4" s="2133"/>
      <c r="M4" s="2134"/>
      <c r="N4" s="2134"/>
      <c r="O4" s="2134"/>
      <c r="P4" s="3402" t="s">
        <v>526</v>
      </c>
      <c r="Q4" s="3403"/>
      <c r="R4" s="3388" t="s">
        <v>522</v>
      </c>
      <c r="S4" s="3389"/>
      <c r="T4" s="3388" t="s">
        <v>523</v>
      </c>
      <c r="U4" s="3389"/>
      <c r="V4" s="3408" t="s">
        <v>524</v>
      </c>
      <c r="W4" s="3408"/>
      <c r="X4" s="1568"/>
      <c r="Y4" s="3388" t="s">
        <v>526</v>
      </c>
      <c r="Z4" s="3389"/>
      <c r="AA4" s="3383" t="s">
        <v>522</v>
      </c>
      <c r="AB4" s="3383" t="s">
        <v>523</v>
      </c>
      <c r="AC4" s="3383" t="s">
        <v>524</v>
      </c>
    </row>
    <row r="5" spans="1:29">
      <c r="A5" s="515"/>
      <c r="B5" s="516"/>
      <c r="C5" s="3411" t="s">
        <v>3083</v>
      </c>
      <c r="D5" s="3412"/>
      <c r="E5" s="3494" t="s">
        <v>3167</v>
      </c>
      <c r="F5" s="3427"/>
      <c r="G5" s="3411" t="s">
        <v>3166</v>
      </c>
      <c r="H5" s="3412"/>
      <c r="I5" s="3411" t="s">
        <v>3180</v>
      </c>
      <c r="J5" s="3412"/>
      <c r="K5" s="854"/>
      <c r="L5" s="2133"/>
      <c r="M5" s="2134"/>
      <c r="N5" s="2134"/>
      <c r="O5" s="2134"/>
      <c r="P5" s="3404"/>
      <c r="Q5" s="3405"/>
      <c r="R5" s="3390"/>
      <c r="S5" s="3391"/>
      <c r="T5" s="3390"/>
      <c r="U5" s="3391"/>
      <c r="V5" s="3408"/>
      <c r="W5" s="3408"/>
      <c r="X5" s="1568"/>
      <c r="Y5" s="3390"/>
      <c r="Z5" s="3391"/>
      <c r="AA5" s="3384"/>
      <c r="AB5" s="3384"/>
      <c r="AC5" s="3384"/>
    </row>
    <row r="6" spans="1:29" ht="15" thickBot="1">
      <c r="A6" s="517"/>
      <c r="B6" s="518"/>
      <c r="C6" s="3409" t="s">
        <v>2931</v>
      </c>
      <c r="D6" s="3410"/>
      <c r="E6" s="3429" t="s">
        <v>2931</v>
      </c>
      <c r="F6" s="3430"/>
      <c r="G6" s="3409" t="s">
        <v>2931</v>
      </c>
      <c r="H6" s="3410"/>
      <c r="I6" s="3409" t="s">
        <v>2931</v>
      </c>
      <c r="J6" s="3410"/>
      <c r="K6" s="854" t="s">
        <v>527</v>
      </c>
      <c r="L6" s="2133"/>
      <c r="M6" s="2134"/>
      <c r="N6" s="2134"/>
      <c r="O6" s="2134"/>
      <c r="P6" s="3406"/>
      <c r="Q6" s="3407"/>
      <c r="R6" s="3390"/>
      <c r="S6" s="3391"/>
      <c r="T6" s="3392"/>
      <c r="U6" s="3393"/>
      <c r="V6" s="3408"/>
      <c r="W6" s="3408"/>
      <c r="X6" s="1568"/>
      <c r="Y6" s="3392"/>
      <c r="Z6" s="3393"/>
      <c r="AA6" s="3385"/>
      <c r="AB6" s="3385"/>
      <c r="AC6" s="3385"/>
    </row>
    <row r="7" spans="1:29" s="1220" customFormat="1" ht="15" thickBot="1">
      <c r="A7" s="2912"/>
      <c r="B7" s="2919" t="s">
        <v>528</v>
      </c>
      <c r="C7" s="519">
        <f>'数据-取费表'!B2</f>
        <v>43780</v>
      </c>
      <c r="D7" s="520">
        <v>100</v>
      </c>
      <c r="E7" s="521">
        <f>C7</f>
        <v>43780</v>
      </c>
      <c r="F7" s="522">
        <f>SUMIF(58:58,YEAR(E7)&amp;"-"&amp;MONTH(E7),59:59)</f>
        <v>100</v>
      </c>
      <c r="G7" s="523">
        <f>C7</f>
        <v>43780</v>
      </c>
      <c r="H7" s="520">
        <f>SUMIF(58:58,YEAR(G7)&amp;"-"&amp;MONTH(G7),59:59)</f>
        <v>100</v>
      </c>
      <c r="I7" s="523">
        <f>C7</f>
        <v>43780</v>
      </c>
      <c r="J7" s="520">
        <f>SUMIF(58:58,YEAR(I7)&amp;"-"&amp;MONTH(I7),59:59)</f>
        <v>100</v>
      </c>
      <c r="K7" s="855"/>
      <c r="L7" s="2135"/>
      <c r="M7" s="2136"/>
      <c r="N7" s="2136"/>
      <c r="O7" s="2136"/>
      <c r="P7" s="3386" t="s">
        <v>529</v>
      </c>
      <c r="Q7" s="3395"/>
      <c r="R7" s="1569" t="s">
        <v>13</v>
      </c>
      <c r="S7" s="1570">
        <f t="shared" ref="S7:S15" si="0">F7</f>
        <v>100</v>
      </c>
      <c r="T7" s="1569" t="s">
        <v>13</v>
      </c>
      <c r="U7" s="1570">
        <f t="shared" ref="U7:U15" si="1">H7</f>
        <v>100</v>
      </c>
      <c r="V7" s="1569" t="s">
        <v>13</v>
      </c>
      <c r="W7" s="1570">
        <f t="shared" ref="W7:W15" si="2">J7</f>
        <v>100</v>
      </c>
      <c r="X7" s="1571"/>
      <c r="Y7" s="3386" t="s">
        <v>529</v>
      </c>
      <c r="Z7" s="3387"/>
      <c r="AA7" s="1572">
        <f>D7/F7</f>
        <v>1</v>
      </c>
      <c r="AB7" s="1572">
        <f>D7/H7</f>
        <v>1</v>
      </c>
      <c r="AC7" s="1572">
        <f>D7/J7</f>
        <v>1</v>
      </c>
    </row>
    <row r="8" spans="1:29" s="1220" customFormat="1" ht="15" thickBot="1">
      <c r="A8" s="2913"/>
      <c r="B8" s="2920" t="s">
        <v>530</v>
      </c>
      <c r="C8" s="525" t="s">
        <v>575</v>
      </c>
      <c r="D8" s="520">
        <v>100</v>
      </c>
      <c r="E8" s="856" t="s">
        <v>2998</v>
      </c>
      <c r="F8" s="522">
        <f>SUMIF(61:61,E8,62:62)-SUMIF(61:61,C8,62:62)+100</f>
        <v>100</v>
      </c>
      <c r="G8" s="525" t="s">
        <v>2998</v>
      </c>
      <c r="H8" s="520">
        <f>SUMIF(61:61,G8,62:62)-SUMIF(61:61,C8,62:62)+100</f>
        <v>100</v>
      </c>
      <c r="I8" s="856" t="s">
        <v>2998</v>
      </c>
      <c r="J8" s="520">
        <f>SUMIF(61:61,I8,62:62)-SUMIF(61:61,C8,62:62)+100</f>
        <v>100</v>
      </c>
      <c r="K8" s="855"/>
      <c r="L8" s="2135"/>
      <c r="M8" s="2136"/>
      <c r="N8" s="2136"/>
      <c r="O8" s="2136"/>
      <c r="P8" s="3386" t="s">
        <v>532</v>
      </c>
      <c r="Q8" s="3387"/>
      <c r="R8" s="1569" t="s">
        <v>13</v>
      </c>
      <c r="S8" s="1570">
        <f t="shared" si="0"/>
        <v>100</v>
      </c>
      <c r="T8" s="1569" t="s">
        <v>13</v>
      </c>
      <c r="U8" s="1570">
        <f t="shared" si="1"/>
        <v>100</v>
      </c>
      <c r="V8" s="1569" t="s">
        <v>13</v>
      </c>
      <c r="W8" s="1570">
        <f t="shared" si="2"/>
        <v>100</v>
      </c>
      <c r="X8" s="1571"/>
      <c r="Y8" s="3386" t="s">
        <v>532</v>
      </c>
      <c r="Z8" s="3387"/>
      <c r="AA8" s="1572">
        <f t="shared" ref="AA8:AA46" si="3">D8/F8</f>
        <v>1</v>
      </c>
      <c r="AB8" s="1572">
        <f t="shared" ref="AB8:AB46" si="4">D8/H8</f>
        <v>1</v>
      </c>
      <c r="AC8" s="1572">
        <f t="shared" ref="AC8:AC46" si="5">D8/J8</f>
        <v>1</v>
      </c>
    </row>
    <row r="9" spans="1:29" s="1220" customFormat="1" ht="14.4">
      <c r="A9" s="2914"/>
      <c r="B9" s="2921" t="s">
        <v>2757</v>
      </c>
      <c r="C9" s="3177" t="s">
        <v>3000</v>
      </c>
      <c r="D9" s="254">
        <v>100</v>
      </c>
      <c r="E9" s="858" t="s">
        <v>921</v>
      </c>
      <c r="F9" s="859">
        <f>SUMIF(63:63,E9,64:64)-SUMIF(63:63,C9,64:64)+100</f>
        <v>100</v>
      </c>
      <c r="G9" s="860" t="s">
        <v>921</v>
      </c>
      <c r="H9" s="254">
        <f>SUMIF(63:63,G9,64:64)-SUMIF(63:63,C9,64:64)+100</f>
        <v>100</v>
      </c>
      <c r="I9" s="860" t="s">
        <v>921</v>
      </c>
      <c r="J9" s="254">
        <f>SUMIF(63:63,I9,64:64)-SUMIF(63:63,C9,64:64)+100</f>
        <v>100</v>
      </c>
      <c r="K9" s="855"/>
      <c r="L9" s="2135"/>
      <c r="M9" s="2136"/>
      <c r="N9" s="2136"/>
      <c r="O9" s="2137"/>
      <c r="P9" s="3394" t="s">
        <v>534</v>
      </c>
      <c r="Q9" s="1151" t="str">
        <f t="shared" ref="Q9:Q15" si="6">B9</f>
        <v>用途</v>
      </c>
      <c r="R9" s="1569" t="s">
        <v>8</v>
      </c>
      <c r="S9" s="1570">
        <f t="shared" si="0"/>
        <v>100</v>
      </c>
      <c r="T9" s="1569" t="s">
        <v>8</v>
      </c>
      <c r="U9" s="1570">
        <f t="shared" si="1"/>
        <v>100</v>
      </c>
      <c r="V9" s="1569" t="s">
        <v>8</v>
      </c>
      <c r="W9" s="1570">
        <f t="shared" si="2"/>
        <v>100</v>
      </c>
      <c r="X9" s="1571"/>
      <c r="Y9" s="3351" t="s">
        <v>535</v>
      </c>
      <c r="Z9" s="1150" t="str">
        <f t="shared" ref="Z9:Z15" si="7">Q9</f>
        <v>用途</v>
      </c>
      <c r="AA9" s="1572">
        <f t="shared" si="3"/>
        <v>1</v>
      </c>
      <c r="AB9" s="1572">
        <f t="shared" si="4"/>
        <v>1</v>
      </c>
      <c r="AC9" s="1572">
        <f t="shared" si="5"/>
        <v>1</v>
      </c>
    </row>
    <row r="10" spans="1:29" s="1338" customFormat="1" ht="28.8">
      <c r="A10" s="2915"/>
      <c r="B10" s="2920" t="s">
        <v>2758</v>
      </c>
      <c r="C10" s="861" t="s">
        <v>3001</v>
      </c>
      <c r="D10" s="255">
        <v>100</v>
      </c>
      <c r="E10" s="862" t="s">
        <v>3001</v>
      </c>
      <c r="F10" s="863">
        <f>SUMIF(65:65,E10,66:66)-SUMIF(65:65,C10,66:66)+100</f>
        <v>100</v>
      </c>
      <c r="G10" s="861" t="s">
        <v>3001</v>
      </c>
      <c r="H10" s="255">
        <f>SUMIF(65:65,G10,66:66)-SUMIF(65:65,C10,66:66)+100</f>
        <v>100</v>
      </c>
      <c r="I10" s="861" t="s">
        <v>3001</v>
      </c>
      <c r="J10" s="255">
        <f>SUMIF(65:65,I10,66:66)-SUMIF(65:65,C10,66:66)+100</f>
        <v>100</v>
      </c>
      <c r="K10" s="864">
        <v>2</v>
      </c>
      <c r="L10" s="2138"/>
      <c r="M10" s="2178"/>
      <c r="N10" s="2178"/>
      <c r="O10" s="2139"/>
      <c r="P10" s="3394"/>
      <c r="Q10" s="1151" t="str">
        <f t="shared" si="6"/>
        <v>土地使用年限（年）</v>
      </c>
      <c r="R10" s="1569" t="s">
        <v>8</v>
      </c>
      <c r="S10" s="1570">
        <f t="shared" si="0"/>
        <v>100</v>
      </c>
      <c r="T10" s="1569" t="s">
        <v>8</v>
      </c>
      <c r="U10" s="1570">
        <f t="shared" si="1"/>
        <v>100</v>
      </c>
      <c r="V10" s="1569" t="s">
        <v>8</v>
      </c>
      <c r="W10" s="1570">
        <f t="shared" si="2"/>
        <v>100</v>
      </c>
      <c r="X10" s="1571"/>
      <c r="Y10" s="3351"/>
      <c r="Z10" s="1150" t="str">
        <f t="shared" si="7"/>
        <v>土地使用年限（年）</v>
      </c>
      <c r="AA10" s="1572">
        <f t="shared" si="3"/>
        <v>1</v>
      </c>
      <c r="AB10" s="1572">
        <f t="shared" si="4"/>
        <v>1</v>
      </c>
      <c r="AC10" s="1572">
        <f t="shared" si="5"/>
        <v>1</v>
      </c>
    </row>
    <row r="11" spans="1:29" ht="15">
      <c r="A11" s="2916"/>
      <c r="B11" s="2920" t="s">
        <v>2759</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94"/>
      <c r="Q11" s="1151" t="str">
        <f t="shared" si="6"/>
        <v>容积率</v>
      </c>
      <c r="R11" s="1569" t="s">
        <v>11</v>
      </c>
      <c r="S11" s="1570">
        <f t="shared" si="0"/>
        <v>100</v>
      </c>
      <c r="T11" s="1569" t="s">
        <v>11</v>
      </c>
      <c r="U11" s="1570">
        <f t="shared" si="1"/>
        <v>100</v>
      </c>
      <c r="V11" s="1569" t="s">
        <v>11</v>
      </c>
      <c r="W11" s="1570">
        <f t="shared" si="2"/>
        <v>100</v>
      </c>
      <c r="X11" s="1571"/>
      <c r="Y11" s="3351"/>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4"/>
      <c r="Q12" s="1151">
        <f t="shared" si="6"/>
        <v>111</v>
      </c>
      <c r="R12" s="1569" t="s">
        <v>11</v>
      </c>
      <c r="S12" s="1570">
        <f t="shared" si="0"/>
        <v>100</v>
      </c>
      <c r="T12" s="1569" t="s">
        <v>11</v>
      </c>
      <c r="U12" s="1570">
        <f t="shared" si="1"/>
        <v>100</v>
      </c>
      <c r="V12" s="1569" t="s">
        <v>11</v>
      </c>
      <c r="W12" s="1570">
        <f t="shared" si="2"/>
        <v>100</v>
      </c>
      <c r="X12" s="1571"/>
      <c r="Y12" s="3351"/>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4"/>
      <c r="Q13" s="1151">
        <f t="shared" si="6"/>
        <v>111</v>
      </c>
      <c r="R13" s="1569" t="s">
        <v>11</v>
      </c>
      <c r="S13" s="1570">
        <f t="shared" si="0"/>
        <v>100</v>
      </c>
      <c r="T13" s="1569" t="s">
        <v>11</v>
      </c>
      <c r="U13" s="1570">
        <f t="shared" si="1"/>
        <v>100</v>
      </c>
      <c r="V13" s="1569" t="s">
        <v>11</v>
      </c>
      <c r="W13" s="1570">
        <f t="shared" si="2"/>
        <v>100</v>
      </c>
      <c r="X13" s="1571"/>
      <c r="Y13" s="3351"/>
      <c r="Z13" s="1150">
        <f t="shared" si="7"/>
        <v>111</v>
      </c>
      <c r="AA13" s="1572">
        <f t="shared" si="3"/>
        <v>1</v>
      </c>
      <c r="AB13" s="1572">
        <f t="shared" si="4"/>
        <v>1</v>
      </c>
      <c r="AC13" s="1572">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4"/>
      <c r="Q14" s="1151">
        <f t="shared" si="6"/>
        <v>111</v>
      </c>
      <c r="R14" s="1569" t="s">
        <v>11</v>
      </c>
      <c r="S14" s="1570">
        <f t="shared" si="0"/>
        <v>100</v>
      </c>
      <c r="T14" s="1569" t="s">
        <v>11</v>
      </c>
      <c r="U14" s="1570">
        <f t="shared" si="1"/>
        <v>100</v>
      </c>
      <c r="V14" s="1569" t="s">
        <v>11</v>
      </c>
      <c r="W14" s="1570">
        <f t="shared" si="2"/>
        <v>100</v>
      </c>
      <c r="X14" s="1571"/>
      <c r="Y14" s="3351"/>
      <c r="Z14" s="1150">
        <f t="shared" si="7"/>
        <v>111</v>
      </c>
      <c r="AA14" s="1572">
        <f t="shared" si="3"/>
        <v>1</v>
      </c>
      <c r="AB14" s="1572">
        <f t="shared" si="4"/>
        <v>1</v>
      </c>
      <c r="AC14" s="1572">
        <f t="shared" si="5"/>
        <v>1</v>
      </c>
    </row>
    <row r="15" spans="1:29" ht="96.6">
      <c r="A15" s="2910"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103</v>
      </c>
      <c r="K15" s="868">
        <v>3</v>
      </c>
      <c r="L15" s="2142"/>
      <c r="M15" s="2134"/>
      <c r="N15" s="2134"/>
      <c r="O15" s="2141"/>
      <c r="P15" s="3396" t="s">
        <v>539</v>
      </c>
      <c r="Q15" s="1573" t="str">
        <f t="shared" si="6"/>
        <v>居住社区成熟度</v>
      </c>
      <c r="R15" s="1574" t="s">
        <v>11</v>
      </c>
      <c r="S15" s="1575">
        <f t="shared" si="0"/>
        <v>100</v>
      </c>
      <c r="T15" s="1574" t="s">
        <v>11</v>
      </c>
      <c r="U15" s="1575">
        <f t="shared" si="1"/>
        <v>100</v>
      </c>
      <c r="V15" s="1574" t="s">
        <v>11</v>
      </c>
      <c r="W15" s="1575">
        <f t="shared" si="2"/>
        <v>103</v>
      </c>
      <c r="X15" s="1568"/>
      <c r="Y15" s="3396" t="s">
        <v>539</v>
      </c>
      <c r="Z15" s="1576" t="str">
        <f t="shared" si="7"/>
        <v>居住社区成熟度</v>
      </c>
      <c r="AA15" s="1577">
        <f t="shared" si="3"/>
        <v>1</v>
      </c>
      <c r="AB15" s="1577">
        <f t="shared" si="4"/>
        <v>1</v>
      </c>
      <c r="AC15" s="1577">
        <f t="shared" si="5"/>
        <v>0.970873786407767</v>
      </c>
    </row>
    <row r="16" spans="1:29" ht="15">
      <c r="A16" s="532"/>
      <c r="B16" s="869"/>
      <c r="C16" s="576" t="s">
        <v>2995</v>
      </c>
      <c r="D16" s="555"/>
      <c r="E16" s="556" t="s">
        <v>2995</v>
      </c>
      <c r="F16" s="557"/>
      <c r="G16" s="558" t="s">
        <v>2995</v>
      </c>
      <c r="H16" s="559"/>
      <c r="I16" s="556" t="s">
        <v>2997</v>
      </c>
      <c r="J16" s="555"/>
      <c r="K16" s="870"/>
      <c r="L16" s="2142"/>
      <c r="M16" s="2134"/>
      <c r="N16" s="2134"/>
      <c r="O16" s="2141"/>
      <c r="P16" s="3397"/>
      <c r="Q16" s="1573"/>
      <c r="R16" s="1574"/>
      <c r="S16" s="1575"/>
      <c r="T16" s="1574"/>
      <c r="U16" s="1575"/>
      <c r="V16" s="1574"/>
      <c r="W16" s="1575"/>
      <c r="X16" s="1568"/>
      <c r="Y16" s="3397"/>
      <c r="Z16" s="1576"/>
      <c r="AA16" s="1577">
        <v>1</v>
      </c>
      <c r="AB16" s="1577">
        <v>1</v>
      </c>
      <c r="AC16" s="1577">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2"/>
      <c r="B18" s="595"/>
      <c r="C18" s="873" t="s">
        <v>2995</v>
      </c>
      <c r="D18" s="559"/>
      <c r="E18" s="568" t="s">
        <v>2995</v>
      </c>
      <c r="F18" s="563"/>
      <c r="G18" s="569" t="s">
        <v>2995</v>
      </c>
      <c r="H18" s="555"/>
      <c r="I18" s="568" t="s">
        <v>2995</v>
      </c>
      <c r="J18" s="555"/>
      <c r="K18" s="870"/>
      <c r="L18" s="2142"/>
      <c r="M18" s="2134"/>
      <c r="N18" s="2134"/>
      <c r="O18" s="2141"/>
      <c r="P18" s="3397"/>
      <c r="Q18" s="1573"/>
      <c r="R18" s="1574"/>
      <c r="S18" s="1575"/>
      <c r="T18" s="1574"/>
      <c r="U18" s="1575"/>
      <c r="V18" s="1574"/>
      <c r="W18" s="1575"/>
      <c r="X18" s="1568"/>
      <c r="Y18" s="3397"/>
      <c r="Z18" s="1576"/>
      <c r="AA18" s="1577">
        <v>1</v>
      </c>
      <c r="AB18" s="1577">
        <v>1</v>
      </c>
      <c r="AC18" s="1577">
        <v>1</v>
      </c>
    </row>
    <row r="19" spans="1:29" ht="41.4">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103</v>
      </c>
      <c r="K19" s="868">
        <v>3</v>
      </c>
      <c r="L19" s="2142"/>
      <c r="M19" s="2134"/>
      <c r="N19" s="2134"/>
      <c r="O19" s="2141"/>
      <c r="P19" s="3397"/>
      <c r="Q19" s="1573" t="str">
        <f>B19</f>
        <v>公共配套设施</v>
      </c>
      <c r="R19" s="1574" t="s">
        <v>11</v>
      </c>
      <c r="S19" s="1575">
        <f>F19</f>
        <v>100</v>
      </c>
      <c r="T19" s="1574" t="s">
        <v>11</v>
      </c>
      <c r="U19" s="1575">
        <f>H19</f>
        <v>100</v>
      </c>
      <c r="V19" s="1574" t="s">
        <v>11</v>
      </c>
      <c r="W19" s="1575">
        <f>J19</f>
        <v>103</v>
      </c>
      <c r="X19" s="1568"/>
      <c r="Y19" s="3397"/>
      <c r="Z19" s="1576" t="str">
        <f>Q19</f>
        <v>公共配套设施</v>
      </c>
      <c r="AA19" s="1577">
        <f t="shared" si="3"/>
        <v>1</v>
      </c>
      <c r="AB19" s="1577">
        <f t="shared" si="4"/>
        <v>1</v>
      </c>
      <c r="AC19" s="1577">
        <f t="shared" si="5"/>
        <v>0.970873786407767</v>
      </c>
    </row>
    <row r="20" spans="1:29" ht="15">
      <c r="A20" s="532"/>
      <c r="B20" s="595"/>
      <c r="C20" s="576" t="s">
        <v>2995</v>
      </c>
      <c r="D20" s="555"/>
      <c r="E20" s="556" t="s">
        <v>2995</v>
      </c>
      <c r="F20" s="557"/>
      <c r="G20" s="558" t="s">
        <v>2995</v>
      </c>
      <c r="H20" s="555"/>
      <c r="I20" s="556" t="s">
        <v>2997</v>
      </c>
      <c r="J20" s="555"/>
      <c r="K20" s="870"/>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7.6">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397"/>
      <c r="Q21" s="2579" t="str">
        <f>B21</f>
        <v>基础设施水平</v>
      </c>
      <c r="R21" s="1574" t="s">
        <v>11</v>
      </c>
      <c r="S21" s="1575">
        <f>F21</f>
        <v>100</v>
      </c>
      <c r="T21" s="1574" t="s">
        <v>11</v>
      </c>
      <c r="U21" s="1575">
        <f>H21</f>
        <v>100</v>
      </c>
      <c r="V21" s="1574" t="s">
        <v>11</v>
      </c>
      <c r="W21" s="1575">
        <f>J21</f>
        <v>100</v>
      </c>
      <c r="X21" s="2581"/>
      <c r="Y21" s="3397"/>
      <c r="Z21" s="2580" t="str">
        <f>Q21</f>
        <v>基础设施水平</v>
      </c>
      <c r="AA21" s="1577">
        <f t="shared" ref="AA21" si="8">D21/F21</f>
        <v>1</v>
      </c>
      <c r="AB21" s="1577">
        <f t="shared" ref="AB21" si="9">D21/H21</f>
        <v>1</v>
      </c>
      <c r="AC21" s="1577">
        <f t="shared" ref="AC21" si="10">D21/J21</f>
        <v>1</v>
      </c>
    </row>
    <row r="22" spans="1:29" ht="15">
      <c r="A22" s="532"/>
      <c r="B22" s="922"/>
      <c r="C22" s="873" t="s">
        <v>3084</v>
      </c>
      <c r="D22" s="555"/>
      <c r="E22" s="576" t="s">
        <v>3084</v>
      </c>
      <c r="F22" s="557"/>
      <c r="G22" s="576" t="s">
        <v>3084</v>
      </c>
      <c r="H22" s="555"/>
      <c r="I22" s="576" t="s">
        <v>3084</v>
      </c>
      <c r="J22" s="555"/>
      <c r="K22" s="2599"/>
      <c r="L22" s="2142"/>
      <c r="M22" s="2134"/>
      <c r="N22" s="2134"/>
      <c r="O22" s="2141"/>
      <c r="P22" s="3397"/>
      <c r="Q22" s="2579"/>
      <c r="R22" s="1574"/>
      <c r="S22" s="1575"/>
      <c r="T22" s="1574"/>
      <c r="U22" s="1575"/>
      <c r="V22" s="1574"/>
      <c r="W22" s="1575"/>
      <c r="X22" s="2581"/>
      <c r="Y22" s="3397"/>
      <c r="Z22" s="2580"/>
      <c r="AA22" s="1577">
        <v>1</v>
      </c>
      <c r="AB22" s="1577">
        <v>1</v>
      </c>
      <c r="AC22" s="1577">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2"/>
      <c r="B24" s="595"/>
      <c r="C24" s="576" t="s">
        <v>2996</v>
      </c>
      <c r="D24" s="555"/>
      <c r="E24" s="556" t="s">
        <v>2996</v>
      </c>
      <c r="F24" s="557"/>
      <c r="G24" s="558" t="s">
        <v>2996</v>
      </c>
      <c r="H24" s="555"/>
      <c r="I24" s="556" t="s">
        <v>2996</v>
      </c>
      <c r="J24" s="555"/>
      <c r="K24" s="870"/>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32"/>
      <c r="B25" s="1897"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7"/>
      <c r="Q27" s="1151" t="str">
        <f t="shared" si="11"/>
        <v>道路级别</v>
      </c>
      <c r="R27" s="1569" t="s">
        <v>11</v>
      </c>
      <c r="S27" s="1570">
        <f>F27</f>
        <v>100</v>
      </c>
      <c r="T27" s="1569" t="s">
        <v>11</v>
      </c>
      <c r="U27" s="1570">
        <f>H27</f>
        <v>100</v>
      </c>
      <c r="V27" s="1569" t="s">
        <v>11</v>
      </c>
      <c r="W27" s="1570">
        <f>J27</f>
        <v>100</v>
      </c>
      <c r="X27" s="1571"/>
      <c r="Y27" s="339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7"/>
      <c r="Q29" s="1573">
        <f t="shared" si="11"/>
        <v>111</v>
      </c>
      <c r="R29" s="1574" t="s">
        <v>11</v>
      </c>
      <c r="S29" s="1575">
        <f t="shared" si="12"/>
        <v>100</v>
      </c>
      <c r="T29" s="1574" t="s">
        <v>11</v>
      </c>
      <c r="U29" s="1575">
        <f t="shared" si="13"/>
        <v>100</v>
      </c>
      <c r="V29" s="1574" t="s">
        <v>11</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7"/>
      <c r="Q30" s="1573">
        <f t="shared" si="11"/>
        <v>111</v>
      </c>
      <c r="R30" s="1574" t="s">
        <v>11</v>
      </c>
      <c r="S30" s="1575">
        <f t="shared" si="12"/>
        <v>100</v>
      </c>
      <c r="T30" s="1574" t="s">
        <v>11</v>
      </c>
      <c r="U30" s="1575">
        <f t="shared" si="13"/>
        <v>100</v>
      </c>
      <c r="V30" s="1574" t="s">
        <v>11</v>
      </c>
      <c r="W30" s="1575">
        <f t="shared" si="14"/>
        <v>100</v>
      </c>
      <c r="X30" s="1568"/>
      <c r="Y30" s="3397"/>
      <c r="Z30" s="1576">
        <f t="shared" si="15"/>
        <v>111</v>
      </c>
      <c r="AA30" s="1577">
        <f t="shared" si="3"/>
        <v>1</v>
      </c>
      <c r="AB30" s="1577">
        <f t="shared" si="4"/>
        <v>1</v>
      </c>
      <c r="AC30" s="1577">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7"/>
      <c r="Q31" s="1573">
        <f t="shared" si="11"/>
        <v>111</v>
      </c>
      <c r="R31" s="1574" t="s">
        <v>11</v>
      </c>
      <c r="S31" s="1575">
        <f t="shared" si="12"/>
        <v>100</v>
      </c>
      <c r="T31" s="1574" t="s">
        <v>11</v>
      </c>
      <c r="U31" s="1575">
        <f t="shared" si="13"/>
        <v>100</v>
      </c>
      <c r="V31" s="1574" t="s">
        <v>11</v>
      </c>
      <c r="W31" s="1575">
        <f t="shared" si="14"/>
        <v>100</v>
      </c>
      <c r="X31" s="1568"/>
      <c r="Y31" s="3397"/>
      <c r="Z31" s="1576">
        <f t="shared" si="15"/>
        <v>111</v>
      </c>
      <c r="AA31" s="1577">
        <f t="shared" si="3"/>
        <v>1</v>
      </c>
      <c r="AB31" s="1577">
        <f t="shared" si="4"/>
        <v>1</v>
      </c>
      <c r="AC31" s="1577">
        <f t="shared" si="5"/>
        <v>1</v>
      </c>
    </row>
    <row r="32" spans="1:29" ht="15">
      <c r="A32" s="2907" t="s">
        <v>2756</v>
      </c>
      <c r="B32" s="172" t="s">
        <v>724</v>
      </c>
      <c r="C32" s="878" t="s">
        <v>3168</v>
      </c>
      <c r="D32" s="597">
        <v>100</v>
      </c>
      <c r="E32" s="879" t="s">
        <v>3168</v>
      </c>
      <c r="F32" s="575">
        <f>SUMIF(100:100,E32,101:101)-SUMIF(100:100,C32,101:101)+100</f>
        <v>100</v>
      </c>
      <c r="G32" s="878" t="s">
        <v>3168</v>
      </c>
      <c r="H32" s="597">
        <f>SUMIF(100:100,G32,101:101)-SUMIF(100:100,C32,101:101)+100</f>
        <v>100</v>
      </c>
      <c r="I32" s="879" t="s">
        <v>3168</v>
      </c>
      <c r="J32" s="540">
        <f>SUMIF(100:100,I32,101:101)-SUMIF(100:100,C32,101:101)+100</f>
        <v>100</v>
      </c>
      <c r="K32" s="864">
        <v>5</v>
      </c>
      <c r="L32" s="2142"/>
      <c r="M32" s="2134"/>
      <c r="N32" s="2134"/>
      <c r="O32" s="2141"/>
      <c r="P32" s="3398" t="s">
        <v>549</v>
      </c>
      <c r="Q32" s="1573" t="str">
        <f t="shared" si="11"/>
        <v>建筑类型</v>
      </c>
      <c r="R32" s="1574" t="s">
        <v>11</v>
      </c>
      <c r="S32" s="1575">
        <f t="shared" si="12"/>
        <v>100</v>
      </c>
      <c r="T32" s="1574" t="s">
        <v>11</v>
      </c>
      <c r="U32" s="1575">
        <f t="shared" si="13"/>
        <v>100</v>
      </c>
      <c r="V32" s="1574" t="s">
        <v>11</v>
      </c>
      <c r="W32" s="1575">
        <f t="shared" si="14"/>
        <v>100</v>
      </c>
      <c r="X32" s="1568"/>
      <c r="Y32" s="3399" t="s">
        <v>549</v>
      </c>
      <c r="Z32" s="1576" t="str">
        <f t="shared" si="15"/>
        <v>建筑类型</v>
      </c>
      <c r="AA32" s="1577">
        <f t="shared" si="3"/>
        <v>1</v>
      </c>
      <c r="AB32" s="1577">
        <f t="shared" si="4"/>
        <v>1</v>
      </c>
      <c r="AC32" s="1577">
        <f t="shared" si="5"/>
        <v>1</v>
      </c>
    </row>
    <row r="33" spans="1:29" s="1339" customFormat="1" ht="15">
      <c r="A33" s="603"/>
      <c r="B33" s="527" t="s">
        <v>725</v>
      </c>
      <c r="C33" s="880">
        <v>1</v>
      </c>
      <c r="D33" s="255">
        <v>100</v>
      </c>
      <c r="E33" s="534">
        <v>1</v>
      </c>
      <c r="F33" s="863">
        <f>LOOKUP(E33,103:103,104:104)-LOOKUP(C33,103:103,104:104)+100</f>
        <v>100</v>
      </c>
      <c r="G33" s="533">
        <v>1</v>
      </c>
      <c r="H33" s="255">
        <f>LOOKUP(G33,103:103,104:104)-LOOKUP(C33,103:103,104:104)+100</f>
        <v>100</v>
      </c>
      <c r="I33" s="534">
        <v>1</v>
      </c>
      <c r="J33" s="255">
        <f>LOOKUP(I33,103:103,104:104)-LOOKUP(C33,103:103,104:104)+100</f>
        <v>100</v>
      </c>
      <c r="K33" s="865"/>
      <c r="L33" s="2140"/>
      <c r="M33" s="2171"/>
      <c r="N33" s="2171"/>
      <c r="O33" s="2143"/>
      <c r="P33" s="3399"/>
      <c r="Q33" s="1606" t="str">
        <f t="shared" si="11"/>
        <v>项目建筑规模</v>
      </c>
      <c r="R33" s="1578" t="s">
        <v>11</v>
      </c>
      <c r="S33" s="1579">
        <f t="shared" si="12"/>
        <v>100</v>
      </c>
      <c r="T33" s="1578" t="s">
        <v>11</v>
      </c>
      <c r="U33" s="1579">
        <f t="shared" si="13"/>
        <v>100</v>
      </c>
      <c r="V33" s="1578" t="s">
        <v>11</v>
      </c>
      <c r="W33" s="1579">
        <f t="shared" si="14"/>
        <v>100</v>
      </c>
      <c r="X33" s="1580"/>
      <c r="Y33" s="3399"/>
      <c r="Z33" s="1581" t="str">
        <f t="shared" si="15"/>
        <v>项目建筑规模</v>
      </c>
      <c r="AA33" s="1577">
        <f t="shared" si="3"/>
        <v>1</v>
      </c>
      <c r="AB33" s="1577">
        <f t="shared" si="4"/>
        <v>1</v>
      </c>
      <c r="AC33" s="1577">
        <f t="shared" si="5"/>
        <v>1</v>
      </c>
    </row>
    <row r="34" spans="1:29" ht="15">
      <c r="A34" s="594"/>
      <c r="B34" s="527" t="s">
        <v>726</v>
      </c>
      <c r="C34" s="881" t="s">
        <v>2991</v>
      </c>
      <c r="D34" s="540">
        <v>100</v>
      </c>
      <c r="E34" s="882" t="s">
        <v>2991</v>
      </c>
      <c r="F34" s="575">
        <f>SUMIF(105:105,E34,106:106)-SUMIF(105:105,C34,106:106)+100</f>
        <v>100</v>
      </c>
      <c r="G34" s="881" t="s">
        <v>2991</v>
      </c>
      <c r="H34" s="540">
        <f>SUMIF(105:105,G34,106:106)-SUMIF(105:105,C34,106:106)+100</f>
        <v>100</v>
      </c>
      <c r="I34" s="882" t="s">
        <v>2991</v>
      </c>
      <c r="J34" s="540">
        <f>SUMIF(105:105,I34,106:106)-SUMIF(105:105,C34,106:106)+100</f>
        <v>100</v>
      </c>
      <c r="K34" s="864">
        <v>2</v>
      </c>
      <c r="L34" s="2142"/>
      <c r="M34" s="2134"/>
      <c r="N34" s="2134"/>
      <c r="O34" s="2141"/>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4"/>
      <c r="B35" s="527" t="s">
        <v>727</v>
      </c>
      <c r="C35" s="599" t="s">
        <v>2996</v>
      </c>
      <c r="D35" s="540">
        <v>100</v>
      </c>
      <c r="E35" s="599" t="s">
        <v>2995</v>
      </c>
      <c r="F35" s="575">
        <f>SUMIF(107:107,E35,108:108)-SUMIF(107:107,C35,108:108)+100</f>
        <v>105</v>
      </c>
      <c r="G35" s="599" t="s">
        <v>2996</v>
      </c>
      <c r="H35" s="540">
        <f>SUMIF(107:107,G35,108:108)-SUMIF(107:107,C35,108:108)+100</f>
        <v>100</v>
      </c>
      <c r="I35" s="599" t="s">
        <v>2995</v>
      </c>
      <c r="J35" s="540">
        <f>SUMIF(107:107,I35,108:108)-SUMIF(107:107,C35,108:108)+100</f>
        <v>105</v>
      </c>
      <c r="K35" s="864">
        <v>5</v>
      </c>
      <c r="L35" s="2142"/>
      <c r="M35" s="2134"/>
      <c r="N35" s="2134"/>
      <c r="O35" s="2141"/>
      <c r="P35" s="3399"/>
      <c r="Q35" s="1573" t="str">
        <f t="shared" si="11"/>
        <v>建筑品质</v>
      </c>
      <c r="R35" s="1574" t="s">
        <v>11</v>
      </c>
      <c r="S35" s="1575">
        <f t="shared" si="12"/>
        <v>105</v>
      </c>
      <c r="T35" s="1574" t="s">
        <v>11</v>
      </c>
      <c r="U35" s="1575">
        <f t="shared" si="13"/>
        <v>100</v>
      </c>
      <c r="V35" s="1574" t="s">
        <v>11</v>
      </c>
      <c r="W35" s="1575">
        <f t="shared" si="14"/>
        <v>105</v>
      </c>
      <c r="X35" s="1568"/>
      <c r="Y35" s="3399"/>
      <c r="Z35" s="1576" t="str">
        <f t="shared" si="15"/>
        <v>建筑品质</v>
      </c>
      <c r="AA35" s="1577">
        <f t="shared" si="3"/>
        <v>0.95238095238095233</v>
      </c>
      <c r="AB35" s="1577">
        <f t="shared" si="4"/>
        <v>1</v>
      </c>
      <c r="AC35" s="1577">
        <f t="shared" si="5"/>
        <v>0.95238095238095233</v>
      </c>
    </row>
    <row r="36" spans="1:29" ht="15">
      <c r="A36" s="594"/>
      <c r="B36" s="527" t="s">
        <v>728</v>
      </c>
      <c r="C36" s="599" t="s">
        <v>3002</v>
      </c>
      <c r="D36" s="540">
        <v>100</v>
      </c>
      <c r="E36" s="874" t="s">
        <v>3002</v>
      </c>
      <c r="F36" s="575">
        <f>SUMIF(109:109,E36,110:110)-SUMIF(109:109,C36,110:110)+100</f>
        <v>100</v>
      </c>
      <c r="G36" s="599" t="s">
        <v>3002</v>
      </c>
      <c r="H36" s="540">
        <f>SUMIF(109:109,G36,110:110)-SUMIF(109:109,C36,110:110)+100</f>
        <v>100</v>
      </c>
      <c r="I36" s="874" t="s">
        <v>3002</v>
      </c>
      <c r="J36" s="540">
        <f>SUMIF(109:109,I36,110:110)-SUMIF(109:109,C36,110:110)+100</f>
        <v>100</v>
      </c>
      <c r="K36" s="864">
        <v>2</v>
      </c>
      <c r="L36" s="2142"/>
      <c r="M36" s="2134"/>
      <c r="N36" s="2134"/>
      <c r="O36" s="2141"/>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399"/>
      <c r="Q37" s="1151" t="str">
        <f t="shared" si="11"/>
        <v>成新度</v>
      </c>
      <c r="R37" s="1569" t="s">
        <v>11</v>
      </c>
      <c r="S37" s="1570">
        <f t="shared" si="12"/>
        <v>100</v>
      </c>
      <c r="T37" s="1569" t="s">
        <v>11</v>
      </c>
      <c r="U37" s="1570">
        <f t="shared" si="13"/>
        <v>100</v>
      </c>
      <c r="V37" s="1569" t="s">
        <v>11</v>
      </c>
      <c r="W37" s="1570">
        <f t="shared" si="14"/>
        <v>100</v>
      </c>
      <c r="X37" s="1571"/>
      <c r="Y37" s="3399"/>
      <c r="Z37" s="1150" t="str">
        <f t="shared" si="15"/>
        <v>成新度</v>
      </c>
      <c r="AA37" s="1572">
        <f t="shared" si="3"/>
        <v>1</v>
      </c>
      <c r="AB37" s="1572">
        <f t="shared" si="4"/>
        <v>1</v>
      </c>
      <c r="AC37" s="1572">
        <f t="shared" si="5"/>
        <v>1</v>
      </c>
    </row>
    <row r="38" spans="1:29" ht="15">
      <c r="A38" s="594"/>
      <c r="B38" s="527" t="s">
        <v>730</v>
      </c>
      <c r="C38" s="599" t="s">
        <v>3008</v>
      </c>
      <c r="D38" s="540">
        <v>100</v>
      </c>
      <c r="E38" s="874" t="s">
        <v>3008</v>
      </c>
      <c r="F38" s="575">
        <f>SUMIF(114:114,E38,115:115)-SUMIF(114:114,C38,115:115)+100</f>
        <v>100</v>
      </c>
      <c r="G38" s="599" t="s">
        <v>3008</v>
      </c>
      <c r="H38" s="540">
        <f>SUMIF(114:114,G38,115:115)-SUMIF(114:114,C38,115:115)+100</f>
        <v>100</v>
      </c>
      <c r="I38" s="874" t="s">
        <v>3008</v>
      </c>
      <c r="J38" s="540">
        <f>SUMIF(114:114,I38,115:115)-SUMIF(114:114,C38,115:115)+100</f>
        <v>100</v>
      </c>
      <c r="K38" s="864">
        <v>5</v>
      </c>
      <c r="L38" s="2142"/>
      <c r="M38" s="2134"/>
      <c r="N38" s="2134"/>
      <c r="O38" s="2141"/>
      <c r="P38" s="3399" t="s">
        <v>549</v>
      </c>
      <c r="Q38" s="1573" t="str">
        <f t="shared" si="11"/>
        <v>物业管理</v>
      </c>
      <c r="R38" s="1574" t="s">
        <v>11</v>
      </c>
      <c r="S38" s="1575">
        <f t="shared" si="12"/>
        <v>100</v>
      </c>
      <c r="T38" s="1574" t="s">
        <v>11</v>
      </c>
      <c r="U38" s="1575">
        <f t="shared" si="13"/>
        <v>100</v>
      </c>
      <c r="V38" s="1574" t="s">
        <v>11</v>
      </c>
      <c r="W38" s="1575">
        <f t="shared" si="14"/>
        <v>100</v>
      </c>
      <c r="X38" s="1568"/>
      <c r="Y38" s="3399" t="s">
        <v>549</v>
      </c>
      <c r="Z38" s="1576" t="str">
        <f t="shared" si="15"/>
        <v>物业管理</v>
      </c>
      <c r="AA38" s="1577">
        <f t="shared" si="3"/>
        <v>1</v>
      </c>
      <c r="AB38" s="1577">
        <f t="shared" si="4"/>
        <v>1</v>
      </c>
      <c r="AC38" s="1577">
        <f t="shared" si="5"/>
        <v>1</v>
      </c>
    </row>
    <row r="39" spans="1:29" ht="15">
      <c r="A39" s="594"/>
      <c r="B39" s="1897" t="s">
        <v>2565</v>
      </c>
      <c r="C39" s="599" t="s">
        <v>3084</v>
      </c>
      <c r="D39" s="540">
        <v>100</v>
      </c>
      <c r="E39" s="874" t="s">
        <v>3084</v>
      </c>
      <c r="F39" s="575">
        <f>SUMIF(116:116,E39,117:117)-SUMIF(116:116,C39,117:117)+100</f>
        <v>100</v>
      </c>
      <c r="G39" s="599" t="s">
        <v>3084</v>
      </c>
      <c r="H39" s="540">
        <f>SUMIF(116:116,G39,117:117)-SUMIF(116:116,C39,117:117)+100</f>
        <v>100</v>
      </c>
      <c r="I39" s="874" t="s">
        <v>3084</v>
      </c>
      <c r="J39" s="540">
        <f>SUMIF(116:116,I39,117:117)-SUMIF(116:116,C39,117:117)+100</f>
        <v>100</v>
      </c>
      <c r="K39" s="864">
        <v>1</v>
      </c>
      <c r="L39" s="2142"/>
      <c r="M39" s="2134"/>
      <c r="N39" s="2134"/>
      <c r="O39" s="2141"/>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39" customFormat="1" ht="28.8">
      <c r="A41" s="603"/>
      <c r="B41" s="527" t="s">
        <v>732</v>
      </c>
      <c r="C41" s="3207"/>
      <c r="D41" s="255">
        <v>100</v>
      </c>
      <c r="E41" s="3209"/>
      <c r="F41" s="863">
        <f>SUMIF(120:120,E41,121:121)-SUMIF(120:120,C41,121:121)+100</f>
        <v>100</v>
      </c>
      <c r="G41" s="3210"/>
      <c r="H41" s="255">
        <f>SUMIF(120:120,G41,121:121)-SUMIF(120:120,C41,121:121)+100</f>
        <v>100</v>
      </c>
      <c r="I41" s="3208"/>
      <c r="J41" s="540">
        <f>SUMIF(120:120,I41,121:121)-SUMIF(120:120,C41,121:121)+100</f>
        <v>100</v>
      </c>
      <c r="K41" s="865"/>
      <c r="L41" s="2140"/>
      <c r="M41" s="2171"/>
      <c r="N41" s="2171"/>
      <c r="O41" s="2143"/>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4"/>
      <c r="B42" s="527" t="s">
        <v>733</v>
      </c>
      <c r="C42" s="599" t="s">
        <v>3004</v>
      </c>
      <c r="D42" s="540">
        <v>100</v>
      </c>
      <c r="E42" s="874" t="s">
        <v>3004</v>
      </c>
      <c r="F42" s="575">
        <f>SUMIF(122:122,E42,123:123)-SUMIF(122:122,C42,123:123)+100</f>
        <v>100</v>
      </c>
      <c r="G42" s="599" t="s">
        <v>3004</v>
      </c>
      <c r="H42" s="540">
        <f>SUMIF(122:122,G42,123:123)-SUMIF(122:122,C42,123:123)+100</f>
        <v>100</v>
      </c>
      <c r="I42" s="874" t="s">
        <v>3004</v>
      </c>
      <c r="J42" s="540">
        <f>SUMIF(122:122,I42,123:123)-SUMIF(122:122,C42,123:123)+100</f>
        <v>100</v>
      </c>
      <c r="K42" s="864">
        <v>2</v>
      </c>
      <c r="L42" s="2142"/>
      <c r="M42" s="2134"/>
      <c r="N42" s="2134"/>
      <c r="O42" s="2141"/>
      <c r="P42" s="3399"/>
      <c r="Q42" s="1573" t="str">
        <f t="shared" si="11"/>
        <v>内部装修</v>
      </c>
      <c r="R42" s="1574" t="s">
        <v>11</v>
      </c>
      <c r="S42" s="1575">
        <f t="shared" si="12"/>
        <v>100</v>
      </c>
      <c r="T42" s="1574" t="s">
        <v>11</v>
      </c>
      <c r="U42" s="1575">
        <f t="shared" si="13"/>
        <v>100</v>
      </c>
      <c r="V42" s="1574" t="s">
        <v>11</v>
      </c>
      <c r="W42" s="1575">
        <f t="shared" si="14"/>
        <v>100</v>
      </c>
      <c r="X42" s="1568"/>
      <c r="Y42" s="3399"/>
      <c r="Z42" s="1576" t="str">
        <f t="shared" si="15"/>
        <v>内部装修</v>
      </c>
      <c r="AA42" s="1577">
        <f t="shared" si="3"/>
        <v>1</v>
      </c>
      <c r="AB42" s="1577">
        <f t="shared" si="4"/>
        <v>1</v>
      </c>
      <c r="AC42" s="1577">
        <f t="shared" si="5"/>
        <v>1</v>
      </c>
    </row>
    <row r="43" spans="1:29" ht="28.8">
      <c r="A43" s="594"/>
      <c r="B43" s="527" t="s">
        <v>734</v>
      </c>
      <c r="C43" s="599" t="s">
        <v>2995</v>
      </c>
      <c r="D43" s="540">
        <v>100</v>
      </c>
      <c r="E43" s="874" t="s">
        <v>2995</v>
      </c>
      <c r="F43" s="575">
        <f>SUMIF(124:124,E43,125:125)-SUMIF(124:124,C43,125:125)+100</f>
        <v>100</v>
      </c>
      <c r="G43" s="599" t="s">
        <v>2995</v>
      </c>
      <c r="H43" s="540">
        <f>SUMIF(124:124,G43,125:125)-SUMIF(124:124,C43,125:125)+100</f>
        <v>100</v>
      </c>
      <c r="I43" s="874" t="s">
        <v>2995</v>
      </c>
      <c r="J43" s="540">
        <f>SUMIF(124:124,I43,125:125)-SUMIF(124:124,C43,125:125)+100</f>
        <v>100</v>
      </c>
      <c r="K43" s="864">
        <v>2</v>
      </c>
      <c r="L43" s="2142"/>
      <c r="M43" s="2134"/>
      <c r="N43" s="2134"/>
      <c r="O43" s="2141"/>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9"/>
      <c r="Q44" s="1151">
        <f t="shared" si="11"/>
        <v>111</v>
      </c>
      <c r="R44" s="1569" t="s">
        <v>11</v>
      </c>
      <c r="S44" s="1570">
        <f t="shared" si="12"/>
        <v>100</v>
      </c>
      <c r="T44" s="1569" t="s">
        <v>11</v>
      </c>
      <c r="U44" s="1570">
        <f t="shared" si="13"/>
        <v>100</v>
      </c>
      <c r="V44" s="1569" t="s">
        <v>11</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9"/>
      <c r="Q45" s="1573">
        <f t="shared" si="11"/>
        <v>111</v>
      </c>
      <c r="R45" s="1574" t="s">
        <v>11</v>
      </c>
      <c r="S45" s="1575">
        <f t="shared" si="12"/>
        <v>100</v>
      </c>
      <c r="T45" s="1574" t="s">
        <v>11</v>
      </c>
      <c r="U45" s="1575">
        <f t="shared" si="13"/>
        <v>100</v>
      </c>
      <c r="V45" s="1574" t="s">
        <v>11</v>
      </c>
      <c r="W45" s="1575">
        <f t="shared" si="14"/>
        <v>100</v>
      </c>
      <c r="X45" s="1568"/>
      <c r="Y45" s="3399"/>
      <c r="Z45" s="1576">
        <f t="shared" si="15"/>
        <v>111</v>
      </c>
      <c r="AA45" s="1577">
        <f t="shared" si="3"/>
        <v>1</v>
      </c>
      <c r="AB45" s="1577">
        <f t="shared" si="4"/>
        <v>1</v>
      </c>
      <c r="AC45" s="1577">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7"/>
      <c r="Q46" s="1573">
        <f t="shared" si="11"/>
        <v>111</v>
      </c>
      <c r="R46" s="1574" t="s">
        <v>10</v>
      </c>
      <c r="S46" s="1575">
        <f t="shared" si="12"/>
        <v>100</v>
      </c>
      <c r="T46" s="1574" t="s">
        <v>10</v>
      </c>
      <c r="U46" s="1575">
        <f t="shared" si="13"/>
        <v>100</v>
      </c>
      <c r="V46" s="1574" t="s">
        <v>10</v>
      </c>
      <c r="W46" s="1575">
        <f t="shared" si="14"/>
        <v>100</v>
      </c>
      <c r="X46" s="1568"/>
      <c r="Y46" s="3497"/>
      <c r="Z46" s="1576">
        <f t="shared" si="15"/>
        <v>111</v>
      </c>
      <c r="AA46" s="1577">
        <f t="shared" si="3"/>
        <v>1</v>
      </c>
      <c r="AB46" s="1577">
        <f t="shared" si="4"/>
        <v>1</v>
      </c>
      <c r="AC46" s="1577">
        <f t="shared" si="5"/>
        <v>1</v>
      </c>
    </row>
    <row r="47" spans="1:29" ht="14.4">
      <c r="A47" s="607" t="s">
        <v>735</v>
      </c>
      <c r="B47" s="887"/>
      <c r="C47" s="2627" t="s">
        <v>9</v>
      </c>
      <c r="D47" s="2628"/>
      <c r="E47" s="2629">
        <v>6900</v>
      </c>
      <c r="F47" s="2630"/>
      <c r="G47" s="2631">
        <v>6200</v>
      </c>
      <c r="H47" s="2632"/>
      <c r="I47" s="2629">
        <v>8000</v>
      </c>
      <c r="J47" s="2632"/>
      <c r="K47" s="1607"/>
      <c r="L47" s="2144"/>
      <c r="M47" s="2145"/>
      <c r="N47" s="2134"/>
      <c r="O47" s="2145"/>
      <c r="P47" s="3394" t="str">
        <f>A47</f>
        <v>成交单价（元/平方米）</v>
      </c>
      <c r="Q47" s="3394"/>
      <c r="R47" s="3496">
        <f>E47</f>
        <v>6900</v>
      </c>
      <c r="S47" s="3496"/>
      <c r="T47" s="3496">
        <f>G47</f>
        <v>6200</v>
      </c>
      <c r="U47" s="3496"/>
      <c r="V47" s="3496">
        <f>I47</f>
        <v>8000</v>
      </c>
      <c r="W47" s="3496"/>
      <c r="X47" s="1560"/>
      <c r="Y47" s="1582"/>
      <c r="Z47" s="1560"/>
      <c r="AA47" s="1560"/>
      <c r="AB47" s="1560"/>
      <c r="AC47" s="1560"/>
    </row>
    <row r="48" spans="1:29" ht="15" thickBot="1">
      <c r="A48" s="615" t="s">
        <v>2761</v>
      </c>
      <c r="B48" s="888"/>
      <c r="C48" s="2633">
        <f>R49</f>
        <v>6651</v>
      </c>
      <c r="D48" s="2634"/>
      <c r="E48" s="2635">
        <f>R48</f>
        <v>6571</v>
      </c>
      <c r="F48" s="2635"/>
      <c r="G48" s="2633">
        <f>T48</f>
        <v>6200</v>
      </c>
      <c r="H48" s="2634"/>
      <c r="I48" s="2635">
        <f>V48</f>
        <v>7182</v>
      </c>
      <c r="J48" s="2634"/>
      <c r="K48" s="1608"/>
      <c r="L48" s="2144"/>
      <c r="M48" s="2145"/>
      <c r="N48" s="2145"/>
      <c r="O48" s="2145"/>
      <c r="P48" s="3394" t="str">
        <f>A48</f>
        <v>比较价格（元/平方米）</v>
      </c>
      <c r="Q48" s="3394"/>
      <c r="R48" s="3496">
        <f>IF(F1="售价",ROUND(PRODUCT(R47,AA7:AA46),0),ROUND(PRODUCT(R47,AA7:AA46),1))</f>
        <v>6571</v>
      </c>
      <c r="S48" s="3496"/>
      <c r="T48" s="3496">
        <f>IF(F1="售价",ROUND(PRODUCT(T47,AB7:AB46),0),ROUND(PRODUCT(T47,AB7:AB46),1))</f>
        <v>6200</v>
      </c>
      <c r="U48" s="3496"/>
      <c r="V48" s="3496">
        <f>IF(F1="售价",ROUND(PRODUCT(V47,AC7:AC46),0),ROUND(PRODUCT(V47,AC7:AC46),1))</f>
        <v>7182</v>
      </c>
      <c r="W48" s="3496"/>
      <c r="X48" s="1560"/>
      <c r="Y48" s="1560"/>
      <c r="Z48" s="1560"/>
      <c r="AA48" s="1560"/>
      <c r="AB48" s="1560"/>
      <c r="AC48" s="1560"/>
    </row>
    <row r="49" spans="1:29" ht="15" thickBot="1">
      <c r="A49" s="621" t="s">
        <v>2933</v>
      </c>
      <c r="B49" s="622"/>
      <c r="C49" s="2636">
        <f>R49</f>
        <v>6651</v>
      </c>
      <c r="D49" s="2636"/>
      <c r="E49" s="2636"/>
      <c r="F49" s="2636"/>
      <c r="G49" s="2636"/>
      <c r="H49" s="2636"/>
      <c r="I49" s="2636"/>
      <c r="J49" s="2636"/>
      <c r="K49" s="1609"/>
      <c r="L49" s="2144"/>
      <c r="M49" s="2145"/>
      <c r="N49" s="2145"/>
      <c r="O49" s="2145"/>
      <c r="P49" s="3415" t="str">
        <f>A49</f>
        <v>估价对象XX用房的比较价格（楼面单价，元/平方米）</v>
      </c>
      <c r="Q49" s="3416"/>
      <c r="R49" s="3495">
        <f>IF(F1="售价",ROUND(AVERAGE(R48:V48),0),ROUND(AVERAGE(R48:V48),1))</f>
        <v>6651</v>
      </c>
      <c r="S49" s="3495"/>
      <c r="T49" s="3495"/>
      <c r="U49" s="3495"/>
      <c r="V49" s="3495"/>
      <c r="W49" s="34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5.0068482727134489E-2</v>
      </c>
      <c r="F52" s="627" t="str">
        <f>IF(OR(E52&gt;=0.3,E52&lt;=-0.3),"超过30%","")</f>
        <v/>
      </c>
      <c r="G52" s="626">
        <f>IF(G47&lt;G48,G48/G47-1,G47/G48-1)</f>
        <v>0</v>
      </c>
      <c r="H52" s="627" t="str">
        <f>IF(OR(G52&gt;=0.3,G52&lt;=-0.3),"超过30%","")</f>
        <v/>
      </c>
      <c r="I52" s="626">
        <f>IF(I47&lt;I48,I48/I47-1,I47/I48-1)</f>
        <v>0.11389585073795594</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5.9838709677419333E-2</v>
      </c>
      <c r="F53" s="627" t="str">
        <f>IF(OR(E53&gt;=0.2,E53&lt;=-0.2),"超过20%","")</f>
        <v/>
      </c>
      <c r="G53" s="626">
        <f>IF(G48&lt;I48,I48/G48-1,G48/I48-1)</f>
        <v>0.1583870967741936</v>
      </c>
      <c r="H53" s="627" t="str">
        <f>IF(OR(G53&gt;=0.2,G53&lt;=-0.2),"超过20%","")</f>
        <v/>
      </c>
      <c r="I53" s="626">
        <f>IF(I48&lt;E48,E48/I48-1,I48/E48-1)</f>
        <v>9.2984325064678242E-2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0.11290322580645151</v>
      </c>
      <c r="F54" s="627" t="str">
        <f>IF(OR(E54&gt;=0.3,E54&lt;=-0.3),"超过30%","")</f>
        <v/>
      </c>
      <c r="G54" s="626">
        <f>IF(G47&lt;I47,I47/G47-1,G47/I47-1)</f>
        <v>0.29032258064516125</v>
      </c>
      <c r="H54" s="627" t="str">
        <f>IF(OR(G54&gt;=0.3,G54&lt;=-0.3),"超过30%","")</f>
        <v/>
      </c>
      <c r="I54" s="626">
        <f>IF(I47&lt;E47,E47/I47-1,I47/E47-1)</f>
        <v>0.15942028985507251</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2019-11</v>
      </c>
      <c r="D58" s="2804">
        <f>EDATE(C58,-1)</f>
        <v>43739</v>
      </c>
      <c r="E58" s="2804">
        <f t="shared" ref="E58:O58" si="16">EDATE(D58,-1)</f>
        <v>43709</v>
      </c>
      <c r="F58" s="2804">
        <f t="shared" si="16"/>
        <v>43678</v>
      </c>
      <c r="G58" s="2804">
        <f t="shared" si="16"/>
        <v>43647</v>
      </c>
      <c r="H58" s="2804">
        <f t="shared" si="16"/>
        <v>43617</v>
      </c>
      <c r="I58" s="2804">
        <f t="shared" si="16"/>
        <v>43586</v>
      </c>
      <c r="J58" s="2804">
        <f t="shared" si="16"/>
        <v>43556</v>
      </c>
      <c r="K58" s="2804">
        <f t="shared" si="16"/>
        <v>43525</v>
      </c>
      <c r="L58" s="2804">
        <f t="shared" si="16"/>
        <v>43497</v>
      </c>
      <c r="M58" s="2804">
        <f t="shared" si="16"/>
        <v>43466</v>
      </c>
      <c r="N58" s="2804">
        <f t="shared" si="16"/>
        <v>43435</v>
      </c>
      <c r="O58" s="2804">
        <f t="shared" si="16"/>
        <v>43405</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 thickBot="1">
      <c r="A64" s="669"/>
      <c r="B64" s="670"/>
      <c r="C64" s="3176" t="s">
        <v>2999</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8"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2559</v>
      </c>
      <c r="C82" s="2598" t="s">
        <v>2560</v>
      </c>
      <c r="D82" s="2598" t="s">
        <v>2561</v>
      </c>
      <c r="E82" s="2598" t="s">
        <v>2562</v>
      </c>
      <c r="F82" s="2598" t="s">
        <v>2563</v>
      </c>
      <c r="G82" s="2598" t="s">
        <v>2564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8"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78" t="s">
        <v>3018</v>
      </c>
      <c r="D100" s="3178" t="s">
        <v>3169</v>
      </c>
      <c r="E100" s="317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92">
        <v>99</v>
      </c>
      <c r="E104" s="692">
        <v>98</v>
      </c>
      <c r="F104" s="692">
        <v>97</v>
      </c>
      <c r="G104" s="692">
        <v>96</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3016</v>
      </c>
      <c r="D105" s="3180" t="s">
        <v>3017</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79" t="s">
        <v>3011</v>
      </c>
      <c r="D107" s="3179" t="s">
        <v>3012</v>
      </c>
      <c r="E107" s="3179" t="s">
        <v>3013</v>
      </c>
      <c r="F107" s="3179" t="s">
        <v>3014</v>
      </c>
      <c r="G107" s="3179" t="s">
        <v>3015</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3005</v>
      </c>
      <c r="D109" s="3180" t="s">
        <v>3006</v>
      </c>
      <c r="E109" s="3180" t="s">
        <v>3003</v>
      </c>
      <c r="F109" s="3179" t="s">
        <v>3019</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3009</v>
      </c>
      <c r="D114" s="3180" t="s">
        <v>3010</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2557</v>
      </c>
      <c r="C116" s="3180" t="s">
        <v>3020</v>
      </c>
      <c r="D116" s="3180" t="s">
        <v>3021</v>
      </c>
      <c r="E116" s="3180" t="s">
        <v>3022</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3180" t="s">
        <v>3177</v>
      </c>
      <c r="D120" s="3180" t="s">
        <v>3178</v>
      </c>
      <c r="E120" s="3180" t="s">
        <v>3179</v>
      </c>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v>100</v>
      </c>
      <c r="D121" s="671">
        <v>98</v>
      </c>
      <c r="E121" s="671">
        <v>96</v>
      </c>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3005</v>
      </c>
      <c r="D122" s="3180" t="s">
        <v>3006</v>
      </c>
      <c r="E122" s="3180" t="s">
        <v>3003</v>
      </c>
      <c r="F122" s="3179" t="s">
        <v>3007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2259</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20" t="s">
        <v>2260</v>
      </c>
      <c r="C137" s="1921"/>
      <c r="D137" s="1921"/>
      <c r="E137" s="1921"/>
      <c r="F137" s="1921"/>
      <c r="G137" s="1922"/>
      <c r="H137" s="1923"/>
      <c r="I137" s="1924" t="s">
        <v>2261</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6"/>
      <c r="C138" s="1927" t="s">
        <v>2262</v>
      </c>
      <c r="D138" s="1927" t="s">
        <v>2263</v>
      </c>
      <c r="E138" s="1928" t="s">
        <v>2264</v>
      </c>
      <c r="F138" s="1929" t="s">
        <v>2265</v>
      </c>
      <c r="G138" s="1927" t="s">
        <v>2266</v>
      </c>
      <c r="H138" s="1930" t="s">
        <v>2267</v>
      </c>
      <c r="I138" s="1931"/>
      <c r="J138" s="1927" t="s">
        <v>2268</v>
      </c>
      <c r="K138" s="1930"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2270</v>
      </c>
      <c r="E139" s="1901">
        <v>100</v>
      </c>
      <c r="F139" s="1902">
        <v>102.5</v>
      </c>
      <c r="G139" s="1932" t="s">
        <v>2271</v>
      </c>
      <c r="H139" s="1903">
        <v>105</v>
      </c>
      <c r="I139" s="1933" t="s">
        <v>2272</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5">
        <v>5</v>
      </c>
      <c r="C140" s="1906">
        <v>100</v>
      </c>
      <c r="D140" s="1934"/>
      <c r="E140" s="1907"/>
      <c r="F140" s="1908">
        <v>102</v>
      </c>
      <c r="G140" s="1934"/>
      <c r="H140" s="1909"/>
      <c r="I140" s="1935" t="s">
        <v>2273</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5">
        <v>4</v>
      </c>
      <c r="C141" s="1906">
        <v>102</v>
      </c>
      <c r="D141" s="1934"/>
      <c r="E141" s="1907"/>
      <c r="F141" s="1908">
        <v>101.5</v>
      </c>
      <c r="G141" s="1934"/>
      <c r="H141" s="1909"/>
      <c r="I141" s="1935" t="s">
        <v>2274</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5">
        <v>3</v>
      </c>
      <c r="C142" s="1906">
        <v>103</v>
      </c>
      <c r="D142" s="1934"/>
      <c r="E142" s="1907"/>
      <c r="F142" s="1908">
        <v>101</v>
      </c>
      <c r="G142" s="1934"/>
      <c r="H142" s="1909"/>
      <c r="I142" s="1935" t="s">
        <v>2275</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5">
        <v>2</v>
      </c>
      <c r="C143" s="1906">
        <v>100</v>
      </c>
      <c r="D143" s="1934"/>
      <c r="E143" s="1907"/>
      <c r="F143" s="1908">
        <v>100.5</v>
      </c>
      <c r="G143" s="1934"/>
      <c r="H143" s="1909"/>
      <c r="I143" s="1935" t="s">
        <v>2276</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2277</v>
      </c>
      <c r="E144" s="1907">
        <v>102</v>
      </c>
      <c r="F144" s="1913">
        <v>100</v>
      </c>
      <c r="G144" s="1936" t="s">
        <v>2277</v>
      </c>
      <c r="H144" s="1909">
        <v>105</v>
      </c>
      <c r="I144" s="1935" t="s">
        <v>2276</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7" t="s">
        <v>2278</v>
      </c>
      <c r="C145" s="1914">
        <f>ROUND(MAX(C139:C144)/MIN(C139:C144)-1,3)</f>
        <v>7.2999999999999995E-2</v>
      </c>
      <c r="D145" s="1938"/>
      <c r="E145" s="1938"/>
      <c r="F145" s="1939" t="s">
        <v>2279</v>
      </c>
      <c r="G145" s="1940"/>
      <c r="H145" s="1941"/>
      <c r="I145" s="1942" t="s">
        <v>2276</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61"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61"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#N/A</v>
      </c>
      <c r="C3" s="852" t="s">
        <v>721</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4.4">
      <c r="A4" s="512" t="s">
        <v>520</v>
      </c>
      <c r="B4" s="513"/>
      <c r="C4" s="3400" t="s">
        <v>521</v>
      </c>
      <c r="D4" s="3401"/>
      <c r="E4" s="3424" t="s">
        <v>522</v>
      </c>
      <c r="F4" s="3425"/>
      <c r="G4" s="3400" t="s">
        <v>523</v>
      </c>
      <c r="H4" s="3401"/>
      <c r="I4" s="3400" t="s">
        <v>524</v>
      </c>
      <c r="J4" s="3401"/>
      <c r="K4" s="514" t="s">
        <v>525</v>
      </c>
      <c r="L4" s="2133"/>
      <c r="M4" s="2134"/>
      <c r="N4" s="2134"/>
      <c r="O4" s="2134"/>
      <c r="P4" s="3402" t="s">
        <v>526</v>
      </c>
      <c r="Q4" s="3403"/>
      <c r="R4" s="3388" t="s">
        <v>522</v>
      </c>
      <c r="S4" s="3389"/>
      <c r="T4" s="3388" t="s">
        <v>523</v>
      </c>
      <c r="U4" s="3389"/>
      <c r="V4" s="3408" t="s">
        <v>524</v>
      </c>
      <c r="W4" s="3408"/>
      <c r="X4" s="1568"/>
      <c r="Y4" s="3388" t="s">
        <v>526</v>
      </c>
      <c r="Z4" s="3389"/>
      <c r="AA4" s="3383" t="s">
        <v>522</v>
      </c>
      <c r="AB4" s="3408" t="s">
        <v>523</v>
      </c>
      <c r="AC4" s="3383" t="s">
        <v>524</v>
      </c>
    </row>
    <row r="5" spans="1:29">
      <c r="A5" s="515"/>
      <c r="B5" s="516"/>
      <c r="C5" s="3428" t="s">
        <v>2927</v>
      </c>
      <c r="D5" s="3412"/>
      <c r="E5" s="3426" t="s">
        <v>2928</v>
      </c>
      <c r="F5" s="3427"/>
      <c r="G5" s="3428" t="s">
        <v>2929</v>
      </c>
      <c r="H5" s="3412"/>
      <c r="I5" s="3428" t="s">
        <v>2930</v>
      </c>
      <c r="J5" s="3412"/>
      <c r="K5" s="514"/>
      <c r="L5" s="2133"/>
      <c r="M5" s="2134"/>
      <c r="N5" s="2134"/>
      <c r="O5" s="2134"/>
      <c r="P5" s="3404"/>
      <c r="Q5" s="3405"/>
      <c r="R5" s="3390"/>
      <c r="S5" s="3391"/>
      <c r="T5" s="3390"/>
      <c r="U5" s="3391"/>
      <c r="V5" s="3408"/>
      <c r="W5" s="3408"/>
      <c r="X5" s="1568"/>
      <c r="Y5" s="3390"/>
      <c r="Z5" s="3391"/>
      <c r="AA5" s="3384"/>
      <c r="AB5" s="3408"/>
      <c r="AC5" s="3384"/>
    </row>
    <row r="6" spans="1:29" ht="15" thickBot="1">
      <c r="A6" s="517"/>
      <c r="B6" s="518"/>
      <c r="C6" s="3409" t="s">
        <v>2931</v>
      </c>
      <c r="D6" s="3410"/>
      <c r="E6" s="3429" t="s">
        <v>2931</v>
      </c>
      <c r="F6" s="3430"/>
      <c r="G6" s="3409" t="s">
        <v>2931</v>
      </c>
      <c r="H6" s="3410"/>
      <c r="I6" s="3409" t="s">
        <v>2931</v>
      </c>
      <c r="J6" s="3410"/>
      <c r="K6" s="514" t="s">
        <v>527</v>
      </c>
      <c r="L6" s="2133"/>
      <c r="M6" s="2134"/>
      <c r="N6" s="2134"/>
      <c r="O6" s="2134"/>
      <c r="P6" s="3406"/>
      <c r="Q6" s="3407"/>
      <c r="R6" s="3390"/>
      <c r="S6" s="3391"/>
      <c r="T6" s="3392"/>
      <c r="U6" s="3393"/>
      <c r="V6" s="3408"/>
      <c r="W6" s="3408"/>
      <c r="X6" s="1568"/>
      <c r="Y6" s="3392"/>
      <c r="Z6" s="3393"/>
      <c r="AA6" s="3385"/>
      <c r="AB6" s="3408"/>
      <c r="AC6" s="3385"/>
    </row>
    <row r="7" spans="1:29" s="1220" customFormat="1" ht="15" thickBot="1">
      <c r="A7" s="2912"/>
      <c r="B7" s="2919" t="s">
        <v>528</v>
      </c>
      <c r="C7" s="519">
        <f>'数据-取费表'!B2</f>
        <v>43780</v>
      </c>
      <c r="D7" s="520">
        <v>100</v>
      </c>
      <c r="E7" s="521">
        <f>C7</f>
        <v>43780</v>
      </c>
      <c r="F7" s="522">
        <f>SUMIF(58:58,YEAR(E7)&amp;"-"&amp;MONTH(E7),59:59)</f>
        <v>100</v>
      </c>
      <c r="G7" s="521">
        <f>C7</f>
        <v>43780</v>
      </c>
      <c r="H7" s="520">
        <f>SUMIF(58:58,YEAR(G7)&amp;"-"&amp;MONTH(G7),59:59)</f>
        <v>100</v>
      </c>
      <c r="I7" s="521">
        <f>C7</f>
        <v>43780</v>
      </c>
      <c r="J7" s="520">
        <f>SUMIF(58:58,YEAR(I7)&amp;"-"&amp;MONTH(I7),59:59)</f>
        <v>100</v>
      </c>
      <c r="K7" s="524"/>
      <c r="L7" s="2135"/>
      <c r="M7" s="2136"/>
      <c r="N7" s="2136"/>
      <c r="O7" s="2136"/>
      <c r="P7" s="3386" t="s">
        <v>529</v>
      </c>
      <c r="Q7" s="3395"/>
      <c r="R7" s="1569" t="s">
        <v>8</v>
      </c>
      <c r="S7" s="1570">
        <f t="shared" ref="S7:S15" si="0">F7</f>
        <v>100</v>
      </c>
      <c r="T7" s="1569" t="s">
        <v>8</v>
      </c>
      <c r="U7" s="1570">
        <f t="shared" ref="U7:U15" si="1">H7</f>
        <v>100</v>
      </c>
      <c r="V7" s="1569" t="s">
        <v>8</v>
      </c>
      <c r="W7" s="1570">
        <f t="shared" ref="W7:W15" si="2">J7</f>
        <v>100</v>
      </c>
      <c r="X7" s="1571"/>
      <c r="Y7" s="3386" t="s">
        <v>529</v>
      </c>
      <c r="Z7" s="3387"/>
      <c r="AA7" s="1572">
        <f>D7/F7</f>
        <v>1</v>
      </c>
      <c r="AB7" s="1572">
        <f>D7/H7</f>
        <v>1</v>
      </c>
      <c r="AC7" s="1572">
        <f>D7/J7</f>
        <v>1</v>
      </c>
    </row>
    <row r="8" spans="1:29" s="1220" customFormat="1" ht="15" thickBot="1">
      <c r="A8" s="2913"/>
      <c r="B8" s="2920" t="s">
        <v>530</v>
      </c>
      <c r="C8" s="525" t="s">
        <v>575</v>
      </c>
      <c r="D8" s="520">
        <v>100</v>
      </c>
      <c r="E8" s="525" t="s">
        <v>2998</v>
      </c>
      <c r="F8" s="522">
        <f>SUMIF(61:61,E8,62:62)-SUMIF(61:61,C8,62:62)+100</f>
        <v>100</v>
      </c>
      <c r="G8" s="525" t="s">
        <v>2998</v>
      </c>
      <c r="H8" s="520">
        <f>SUMIF(61:61,G8,62:62)-SUMIF(61:61,C8,62:62)+100</f>
        <v>100</v>
      </c>
      <c r="I8" s="525" t="s">
        <v>2998</v>
      </c>
      <c r="J8" s="520">
        <f>SUMIF(61:61,I8,62:62)-SUMIF(61:61,C8,62:62)+100</f>
        <v>100</v>
      </c>
      <c r="K8" s="524"/>
      <c r="L8" s="2135"/>
      <c r="M8" s="2136"/>
      <c r="N8" s="2136"/>
      <c r="O8" s="2136"/>
      <c r="P8" s="3386" t="s">
        <v>532</v>
      </c>
      <c r="Q8" s="3387"/>
      <c r="R8" s="1569" t="s">
        <v>8</v>
      </c>
      <c r="S8" s="1570">
        <f t="shared" si="0"/>
        <v>100</v>
      </c>
      <c r="T8" s="1569" t="s">
        <v>8</v>
      </c>
      <c r="U8" s="1570">
        <f t="shared" si="1"/>
        <v>100</v>
      </c>
      <c r="V8" s="1569" t="s">
        <v>8</v>
      </c>
      <c r="W8" s="1570">
        <f t="shared" si="2"/>
        <v>100</v>
      </c>
      <c r="X8" s="1571"/>
      <c r="Y8" s="3386" t="s">
        <v>532</v>
      </c>
      <c r="Z8" s="3387"/>
      <c r="AA8" s="1572">
        <f t="shared" ref="AA8:AA46" si="3">D8/F8</f>
        <v>1</v>
      </c>
      <c r="AB8" s="1572">
        <f t="shared" ref="AB8:AB46" si="4">D8/H8</f>
        <v>1</v>
      </c>
      <c r="AC8" s="1572">
        <f t="shared" ref="AC8:AC46" si="5">D8/J8</f>
        <v>1</v>
      </c>
    </row>
    <row r="9" spans="1:29" s="1220" customFormat="1" ht="14.4">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94" t="s">
        <v>534</v>
      </c>
      <c r="Q9" s="1151" t="str">
        <f t="shared" ref="Q9:Q15" si="6">B9</f>
        <v>用途</v>
      </c>
      <c r="R9" s="1569" t="s">
        <v>8</v>
      </c>
      <c r="S9" s="1570">
        <f t="shared" si="0"/>
        <v>100</v>
      </c>
      <c r="T9" s="1569" t="s">
        <v>8</v>
      </c>
      <c r="U9" s="1570">
        <f t="shared" si="1"/>
        <v>100</v>
      </c>
      <c r="V9" s="1569" t="s">
        <v>8</v>
      </c>
      <c r="W9" s="1570">
        <f t="shared" si="2"/>
        <v>100</v>
      </c>
      <c r="X9" s="1571"/>
      <c r="Y9" s="3351" t="s">
        <v>535</v>
      </c>
      <c r="Z9" s="1150" t="str">
        <f t="shared" ref="Z9:Z15" si="7">Q9</f>
        <v>用途</v>
      </c>
      <c r="AA9" s="1572">
        <f t="shared" si="3"/>
        <v>1</v>
      </c>
      <c r="AB9" s="1572">
        <f t="shared" si="4"/>
        <v>1</v>
      </c>
      <c r="AC9" s="1572">
        <f t="shared" si="5"/>
        <v>1</v>
      </c>
    </row>
    <row r="10" spans="1:29" s="1338" customFormat="1" ht="28.8">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94"/>
      <c r="Q10" s="1151" t="str">
        <f t="shared" si="6"/>
        <v>土地使用年限（年）</v>
      </c>
      <c r="R10" s="1569" t="s">
        <v>8</v>
      </c>
      <c r="S10" s="1570">
        <f t="shared" si="0"/>
        <v>100</v>
      </c>
      <c r="T10" s="1569" t="s">
        <v>8</v>
      </c>
      <c r="U10" s="1570">
        <f t="shared" si="1"/>
        <v>100</v>
      </c>
      <c r="V10" s="1569" t="s">
        <v>8</v>
      </c>
      <c r="W10" s="1570">
        <f t="shared" si="2"/>
        <v>100</v>
      </c>
      <c r="X10" s="1571"/>
      <c r="Y10" s="3351"/>
      <c r="Z10" s="1150" t="str">
        <f t="shared" si="7"/>
        <v>土地使用年限（年）</v>
      </c>
      <c r="AA10" s="1572">
        <f t="shared" si="3"/>
        <v>1</v>
      </c>
      <c r="AB10" s="1572">
        <f t="shared" si="4"/>
        <v>1</v>
      </c>
      <c r="AC10" s="1572">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4"/>
      <c r="Q11" s="1151" t="str">
        <f t="shared" si="6"/>
        <v>容积率</v>
      </c>
      <c r="R11" s="1569" t="s">
        <v>8</v>
      </c>
      <c r="S11" s="1570" t="e">
        <f t="shared" si="0"/>
        <v>#N/A</v>
      </c>
      <c r="T11" s="1569" t="s">
        <v>8</v>
      </c>
      <c r="U11" s="1570" t="e">
        <f t="shared" si="1"/>
        <v>#N/A</v>
      </c>
      <c r="V11" s="1569" t="s">
        <v>8</v>
      </c>
      <c r="W11" s="1570" t="e">
        <f t="shared" si="2"/>
        <v>#N/A</v>
      </c>
      <c r="X11" s="1571"/>
      <c r="Y11" s="335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4"/>
      <c r="Q12" s="1151">
        <f t="shared" si="6"/>
        <v>111</v>
      </c>
      <c r="R12" s="1569" t="s">
        <v>8</v>
      </c>
      <c r="S12" s="1570">
        <f t="shared" si="0"/>
        <v>100</v>
      </c>
      <c r="T12" s="1569" t="s">
        <v>8</v>
      </c>
      <c r="U12" s="1570">
        <f t="shared" si="1"/>
        <v>100</v>
      </c>
      <c r="V12" s="1569" t="s">
        <v>8</v>
      </c>
      <c r="W12" s="1570">
        <f t="shared" si="2"/>
        <v>100</v>
      </c>
      <c r="X12" s="1571"/>
      <c r="Y12" s="3351"/>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4"/>
      <c r="Q13" s="1151">
        <f t="shared" si="6"/>
        <v>111</v>
      </c>
      <c r="R13" s="1569" t="s">
        <v>8</v>
      </c>
      <c r="S13" s="1570">
        <f t="shared" si="0"/>
        <v>100</v>
      </c>
      <c r="T13" s="1569" t="s">
        <v>8</v>
      </c>
      <c r="U13" s="1570">
        <f t="shared" si="1"/>
        <v>100</v>
      </c>
      <c r="V13" s="1569" t="s">
        <v>8</v>
      </c>
      <c r="W13" s="1570">
        <f t="shared" si="2"/>
        <v>100</v>
      </c>
      <c r="X13" s="1571"/>
      <c r="Y13" s="3351"/>
      <c r="Z13" s="1150">
        <f t="shared" si="7"/>
        <v>111</v>
      </c>
      <c r="AA13" s="1572">
        <f t="shared" si="3"/>
        <v>1</v>
      </c>
      <c r="AB13" s="1572">
        <f t="shared" si="4"/>
        <v>1</v>
      </c>
      <c r="AC13" s="1572">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4"/>
      <c r="Q14" s="1151">
        <f t="shared" si="6"/>
        <v>111</v>
      </c>
      <c r="R14" s="1569" t="s">
        <v>8</v>
      </c>
      <c r="S14" s="1570">
        <f t="shared" si="0"/>
        <v>100</v>
      </c>
      <c r="T14" s="1569" t="s">
        <v>8</v>
      </c>
      <c r="U14" s="1570">
        <f t="shared" si="1"/>
        <v>100</v>
      </c>
      <c r="V14" s="1569" t="s">
        <v>8</v>
      </c>
      <c r="W14" s="1570">
        <f t="shared" si="2"/>
        <v>100</v>
      </c>
      <c r="X14" s="1571"/>
      <c r="Y14" s="3351"/>
      <c r="Z14" s="1150">
        <f t="shared" si="7"/>
        <v>111</v>
      </c>
      <c r="AA14" s="1572">
        <f t="shared" si="3"/>
        <v>1</v>
      </c>
      <c r="AB14" s="1572">
        <f t="shared" si="4"/>
        <v>1</v>
      </c>
      <c r="AC14" s="1572">
        <f t="shared" si="5"/>
        <v>1</v>
      </c>
    </row>
    <row r="15" spans="1:29" ht="82.8">
      <c r="A15" s="2910"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6" t="s">
        <v>539</v>
      </c>
      <c r="Q15" s="1573" t="str">
        <f t="shared" si="6"/>
        <v>商业繁华度</v>
      </c>
      <c r="R15" s="1574" t="s">
        <v>8</v>
      </c>
      <c r="S15" s="1575">
        <f t="shared" si="0"/>
        <v>100</v>
      </c>
      <c r="T15" s="1574" t="s">
        <v>8</v>
      </c>
      <c r="U15" s="1575">
        <f t="shared" si="1"/>
        <v>100</v>
      </c>
      <c r="V15" s="1574" t="s">
        <v>8</v>
      </c>
      <c r="W15" s="1575">
        <f t="shared" si="2"/>
        <v>100</v>
      </c>
      <c r="X15" s="1568"/>
      <c r="Y15" s="3396"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7"/>
      <c r="Q16" s="1573"/>
      <c r="R16" s="1574"/>
      <c r="S16" s="1575"/>
      <c r="T16" s="1574"/>
      <c r="U16" s="1575"/>
      <c r="V16" s="1574"/>
      <c r="W16" s="1575"/>
      <c r="X16" s="1568"/>
      <c r="Y16" s="3397"/>
      <c r="Z16" s="1576"/>
      <c r="AA16" s="1577">
        <v>1</v>
      </c>
      <c r="AB16" s="1577">
        <v>1</v>
      </c>
      <c r="AC16" s="1577">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7"/>
      <c r="Q18" s="1573"/>
      <c r="R18" s="1574"/>
      <c r="S18" s="1575"/>
      <c r="T18" s="1574"/>
      <c r="U18" s="1575"/>
      <c r="V18" s="1574"/>
      <c r="W18" s="1575"/>
      <c r="X18" s="1568"/>
      <c r="Y18" s="3397"/>
      <c r="Z18" s="1576"/>
      <c r="AA18" s="1577">
        <v>1</v>
      </c>
      <c r="AB18" s="1577">
        <v>1</v>
      </c>
      <c r="AC18" s="1577">
        <v>1</v>
      </c>
    </row>
    <row r="19" spans="1:29" ht="41.4">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97"/>
      <c r="Q20" s="1573"/>
      <c r="R20" s="1574"/>
      <c r="S20" s="1575"/>
      <c r="T20" s="1574"/>
      <c r="U20" s="1575"/>
      <c r="V20" s="1574"/>
      <c r="W20" s="1575"/>
      <c r="X20" s="1568"/>
      <c r="Y20" s="3397"/>
      <c r="Z20" s="1576"/>
      <c r="AA20" s="1577">
        <v>1</v>
      </c>
      <c r="AB20" s="1577">
        <v>1</v>
      </c>
      <c r="AC20" s="1577">
        <v>1</v>
      </c>
    </row>
    <row r="21" spans="1:29" ht="41.4">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7"/>
      <c r="Q21" s="2579" t="str">
        <f>B21</f>
        <v>基础设施水平</v>
      </c>
      <c r="R21" s="1574" t="s">
        <v>8</v>
      </c>
      <c r="S21" s="1575">
        <f>F21</f>
        <v>100</v>
      </c>
      <c r="T21" s="1574" t="s">
        <v>8</v>
      </c>
      <c r="U21" s="1575">
        <f>H21</f>
        <v>100</v>
      </c>
      <c r="V21" s="1574" t="s">
        <v>8</v>
      </c>
      <c r="W21" s="1575">
        <f>J21</f>
        <v>100</v>
      </c>
      <c r="X21" s="2581"/>
      <c r="Y21" s="3397"/>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397"/>
      <c r="Q22" s="2579"/>
      <c r="R22" s="1574"/>
      <c r="S22" s="1575"/>
      <c r="T22" s="1574"/>
      <c r="U22" s="1575"/>
      <c r="V22" s="1574"/>
      <c r="W22" s="1575"/>
      <c r="X22" s="2581"/>
      <c r="Y22" s="3397"/>
      <c r="Z22" s="2580"/>
      <c r="AA22" s="1577">
        <v>1</v>
      </c>
      <c r="AB22" s="1577">
        <v>1</v>
      </c>
      <c r="AC22" s="1577">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7"/>
      <c r="Q27" s="1151" t="str">
        <f t="shared" si="11"/>
        <v>人流量</v>
      </c>
      <c r="R27" s="1569" t="s">
        <v>8</v>
      </c>
      <c r="S27" s="1570">
        <f>F27</f>
        <v>100</v>
      </c>
      <c r="T27" s="1569" t="s">
        <v>8</v>
      </c>
      <c r="U27" s="1570">
        <f>H27</f>
        <v>100</v>
      </c>
      <c r="V27" s="1569" t="s">
        <v>8</v>
      </c>
      <c r="W27" s="1570">
        <f>J27</f>
        <v>100</v>
      </c>
      <c r="X27" s="1571"/>
      <c r="Y27" s="3397"/>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907"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8" t="s">
        <v>549</v>
      </c>
      <c r="Q32" s="1573" t="str">
        <f t="shared" si="11"/>
        <v>商业类型</v>
      </c>
      <c r="R32" s="1574" t="s">
        <v>8</v>
      </c>
      <c r="S32" s="1575">
        <f t="shared" si="12"/>
        <v>100</v>
      </c>
      <c r="T32" s="1574" t="s">
        <v>8</v>
      </c>
      <c r="U32" s="1575">
        <f t="shared" si="13"/>
        <v>100</v>
      </c>
      <c r="V32" s="1574" t="s">
        <v>8</v>
      </c>
      <c r="W32" s="1575">
        <f t="shared" si="14"/>
        <v>100</v>
      </c>
      <c r="X32" s="1568"/>
      <c r="Y32" s="3399"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9"/>
      <c r="Q37" s="1151" t="str">
        <f t="shared" si="11"/>
        <v>市政基础设施</v>
      </c>
      <c r="R37" s="1569" t="s">
        <v>8</v>
      </c>
      <c r="S37" s="1570">
        <f t="shared" si="12"/>
        <v>100</v>
      </c>
      <c r="T37" s="1569" t="s">
        <v>8</v>
      </c>
      <c r="U37" s="1570">
        <f t="shared" si="13"/>
        <v>100</v>
      </c>
      <c r="V37" s="1569" t="s">
        <v>8</v>
      </c>
      <c r="W37" s="1570">
        <f t="shared" si="14"/>
        <v>100</v>
      </c>
      <c r="X37" s="1571"/>
      <c r="Y37" s="3399"/>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9" t="s">
        <v>765</v>
      </c>
      <c r="Q38" s="1573" t="str">
        <f t="shared" si="11"/>
        <v>业态</v>
      </c>
      <c r="R38" s="1574" t="s">
        <v>8</v>
      </c>
      <c r="S38" s="1575">
        <f t="shared" si="12"/>
        <v>100</v>
      </c>
      <c r="T38" s="1574" t="s">
        <v>8</v>
      </c>
      <c r="U38" s="1575">
        <f t="shared" si="13"/>
        <v>100</v>
      </c>
      <c r="V38" s="1574" t="s">
        <v>8</v>
      </c>
      <c r="W38" s="1575">
        <f t="shared" si="14"/>
        <v>100</v>
      </c>
      <c r="X38" s="1568"/>
      <c r="Y38" s="3399"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9"/>
      <c r="Q44" s="1151">
        <f t="shared" si="11"/>
        <v>111</v>
      </c>
      <c r="R44" s="1569" t="s">
        <v>8</v>
      </c>
      <c r="S44" s="1570">
        <f t="shared" si="12"/>
        <v>100</v>
      </c>
      <c r="T44" s="1569" t="s">
        <v>8</v>
      </c>
      <c r="U44" s="1570">
        <f t="shared" si="13"/>
        <v>100</v>
      </c>
      <c r="V44" s="1569" t="s">
        <v>8</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4.4">
      <c r="A47" s="607" t="s">
        <v>735</v>
      </c>
      <c r="B47" s="887"/>
      <c r="C47" s="2627" t="s">
        <v>1</v>
      </c>
      <c r="D47" s="2628"/>
      <c r="E47" s="2629">
        <v>25000</v>
      </c>
      <c r="F47" s="2630"/>
      <c r="G47" s="2631">
        <v>20000</v>
      </c>
      <c r="H47" s="2632"/>
      <c r="I47" s="2629">
        <v>15000</v>
      </c>
      <c r="J47" s="2632"/>
      <c r="K47" s="1612"/>
      <c r="L47" s="2144"/>
      <c r="M47" s="2145"/>
      <c r="N47" s="2134"/>
      <c r="O47" s="2145"/>
      <c r="P47" s="3394" t="str">
        <f>A47</f>
        <v>成交单价（元/平方米）</v>
      </c>
      <c r="Q47" s="3394"/>
      <c r="R47" s="3496">
        <f>E47</f>
        <v>25000</v>
      </c>
      <c r="S47" s="3496"/>
      <c r="T47" s="3496">
        <f>G47</f>
        <v>20000</v>
      </c>
      <c r="U47" s="3496"/>
      <c r="V47" s="3496">
        <f>I47</f>
        <v>15000</v>
      </c>
      <c r="W47" s="3496"/>
      <c r="X47" s="1560"/>
      <c r="Y47" s="1582"/>
      <c r="Z47" s="1560"/>
      <c r="AA47" s="1560"/>
      <c r="AB47" s="1560"/>
      <c r="AC47" s="1560"/>
    </row>
    <row r="48" spans="1:29" ht="15" thickBot="1">
      <c r="A48" s="615" t="s">
        <v>2761</v>
      </c>
      <c r="B48" s="888"/>
      <c r="C48" s="2633" t="e">
        <f>R49</f>
        <v>#N/A</v>
      </c>
      <c r="D48" s="2634"/>
      <c r="E48" s="2635" t="e">
        <f>R48</f>
        <v>#N/A</v>
      </c>
      <c r="F48" s="2635"/>
      <c r="G48" s="2633" t="e">
        <f>T48</f>
        <v>#N/A</v>
      </c>
      <c r="H48" s="2634"/>
      <c r="I48" s="2635" t="e">
        <f>V48</f>
        <v>#N/A</v>
      </c>
      <c r="J48" s="2634"/>
      <c r="K48" s="1613"/>
      <c r="L48" s="2144"/>
      <c r="M48" s="2145"/>
      <c r="N48" s="2134"/>
      <c r="O48" s="2145"/>
      <c r="P48" s="3394" t="str">
        <f>A48</f>
        <v>比较价格（元/平方米）</v>
      </c>
      <c r="Q48" s="3394"/>
      <c r="R48" s="3496" t="e">
        <f>IF(F1="售价",ROUND(PRODUCT(R47,AA7:AA46),0),ROUND(PRODUCT(R47,AA7:AA46),1))</f>
        <v>#N/A</v>
      </c>
      <c r="S48" s="3496"/>
      <c r="T48" s="3496" t="e">
        <f>IF(F1="售价",ROUND(PRODUCT(T47,AB7:AB46),0),ROUND(PRODUCT(T47,AB7:AB46),1))</f>
        <v>#N/A</v>
      </c>
      <c r="U48" s="3496"/>
      <c r="V48" s="3496" t="e">
        <f>IF(F1="售价",ROUND(PRODUCT(V47,AC7:AC46),0),ROUND(PRODUCT(V47,AC7:AC46),1))</f>
        <v>#N/A</v>
      </c>
      <c r="W48" s="3496"/>
      <c r="X48" s="1560"/>
      <c r="Y48" s="1560"/>
      <c r="Z48" s="1560"/>
      <c r="AA48" s="1560"/>
      <c r="AB48" s="1560"/>
      <c r="AC48" s="1560"/>
    </row>
    <row r="49" spans="1:29" ht="15" thickBot="1">
      <c r="A49" s="621" t="s">
        <v>2933</v>
      </c>
      <c r="B49" s="622"/>
      <c r="C49" s="2636" t="e">
        <f>R49</f>
        <v>#N/A</v>
      </c>
      <c r="D49" s="2636"/>
      <c r="E49" s="2636"/>
      <c r="F49" s="2636"/>
      <c r="G49" s="2636"/>
      <c r="H49" s="2636"/>
      <c r="I49" s="2636"/>
      <c r="J49" s="2636"/>
      <c r="K49" s="1614"/>
      <c r="L49" s="2144"/>
      <c r="M49" s="2145"/>
      <c r="N49" s="2134"/>
      <c r="O49" s="2145"/>
      <c r="P49" s="3415" t="str">
        <f>A49</f>
        <v>估价对象XX用房的比较价格（楼面单价，元/平方米）</v>
      </c>
      <c r="Q49" s="3416"/>
      <c r="R49" s="3495" t="e">
        <f>IF(F1="售价",ROUND(AVERAGE(R48:V48),0),ROUND(AVERAGE(R48:V48),1))</f>
        <v>#N/A</v>
      </c>
      <c r="S49" s="3495"/>
      <c r="T49" s="3495"/>
      <c r="U49" s="3495"/>
      <c r="V49" s="3495"/>
      <c r="W49" s="34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2019-11</v>
      </c>
      <c r="D58" s="2804">
        <f>EDATE(C58,-1)</f>
        <v>43739</v>
      </c>
      <c r="E58" s="2804">
        <f t="shared" ref="E58:O58" si="16">EDATE(D58,-1)</f>
        <v>43709</v>
      </c>
      <c r="F58" s="2804">
        <f t="shared" si="16"/>
        <v>43678</v>
      </c>
      <c r="G58" s="2804">
        <f t="shared" si="16"/>
        <v>43647</v>
      </c>
      <c r="H58" s="2804">
        <f t="shared" si="16"/>
        <v>43617</v>
      </c>
      <c r="I58" s="2804">
        <f t="shared" si="16"/>
        <v>43586</v>
      </c>
      <c r="J58" s="2804">
        <f t="shared" si="16"/>
        <v>43556</v>
      </c>
      <c r="K58" s="2804">
        <f t="shared" si="16"/>
        <v>43525</v>
      </c>
      <c r="L58" s="2804">
        <f t="shared" si="16"/>
        <v>43497</v>
      </c>
      <c r="M58" s="2804">
        <f t="shared" si="16"/>
        <v>43466</v>
      </c>
      <c r="N58" s="2804">
        <f t="shared" si="16"/>
        <v>43435</v>
      </c>
      <c r="O58" s="2804">
        <f t="shared" si="16"/>
        <v>43405</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8"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2559</v>
      </c>
      <c r="C82" s="2598" t="s">
        <v>2560</v>
      </c>
      <c r="D82" s="2598" t="s">
        <v>2561</v>
      </c>
      <c r="E82" s="2598" t="s">
        <v>2562</v>
      </c>
      <c r="F82" s="2598" t="s">
        <v>2563</v>
      </c>
      <c r="G82" s="2598" t="s">
        <v>2564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2" t="s">
        <v>720</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4.4">
      <c r="A4" s="512" t="s">
        <v>520</v>
      </c>
      <c r="B4" s="513"/>
      <c r="C4" s="3400" t="s">
        <v>521</v>
      </c>
      <c r="D4" s="3401"/>
      <c r="E4" s="3424" t="s">
        <v>522</v>
      </c>
      <c r="F4" s="3425"/>
      <c r="G4" s="3400" t="s">
        <v>523</v>
      </c>
      <c r="H4" s="3401"/>
      <c r="I4" s="3400" t="s">
        <v>524</v>
      </c>
      <c r="J4" s="3401"/>
      <c r="K4" s="514" t="s">
        <v>525</v>
      </c>
      <c r="L4" s="2133"/>
      <c r="M4" s="2134"/>
      <c r="N4" s="2134"/>
      <c r="O4" s="2134"/>
      <c r="P4" s="3498" t="s">
        <v>526</v>
      </c>
      <c r="Q4" s="3403"/>
      <c r="R4" s="3388" t="s">
        <v>522</v>
      </c>
      <c r="S4" s="3389"/>
      <c r="T4" s="3388" t="s">
        <v>523</v>
      </c>
      <c r="U4" s="3389"/>
      <c r="V4" s="3408" t="s">
        <v>524</v>
      </c>
      <c r="W4" s="3408"/>
      <c r="X4" s="1568"/>
      <c r="Y4" s="3388" t="s">
        <v>526</v>
      </c>
      <c r="Z4" s="3389"/>
      <c r="AA4" s="3383" t="s">
        <v>522</v>
      </c>
      <c r="AB4" s="3383" t="s">
        <v>523</v>
      </c>
      <c r="AC4" s="3383" t="s">
        <v>524</v>
      </c>
    </row>
    <row r="5" spans="1:29">
      <c r="A5" s="515"/>
      <c r="B5" s="516"/>
      <c r="C5" s="3428" t="s">
        <v>2927</v>
      </c>
      <c r="D5" s="3412"/>
      <c r="E5" s="3426" t="s">
        <v>2928</v>
      </c>
      <c r="F5" s="3427"/>
      <c r="G5" s="3428" t="s">
        <v>2929</v>
      </c>
      <c r="H5" s="3412"/>
      <c r="I5" s="3428" t="s">
        <v>2930</v>
      </c>
      <c r="J5" s="3412"/>
      <c r="K5" s="514"/>
      <c r="L5" s="2133"/>
      <c r="M5" s="2134"/>
      <c r="N5" s="2134"/>
      <c r="O5" s="2134"/>
      <c r="P5" s="3499"/>
      <c r="Q5" s="3405"/>
      <c r="R5" s="3390"/>
      <c r="S5" s="3391"/>
      <c r="T5" s="3390"/>
      <c r="U5" s="3391"/>
      <c r="V5" s="3408"/>
      <c r="W5" s="3408"/>
      <c r="X5" s="1568"/>
      <c r="Y5" s="3390"/>
      <c r="Z5" s="3391"/>
      <c r="AA5" s="3384"/>
      <c r="AB5" s="3384"/>
      <c r="AC5" s="3384"/>
    </row>
    <row r="6" spans="1:29" ht="15" thickBot="1">
      <c r="A6" s="517"/>
      <c r="B6" s="518"/>
      <c r="C6" s="3409" t="s">
        <v>2931</v>
      </c>
      <c r="D6" s="3410"/>
      <c r="E6" s="3429" t="s">
        <v>2931</v>
      </c>
      <c r="F6" s="3430"/>
      <c r="G6" s="3409" t="s">
        <v>2931</v>
      </c>
      <c r="H6" s="3410"/>
      <c r="I6" s="3409" t="s">
        <v>2931</v>
      </c>
      <c r="J6" s="3410"/>
      <c r="K6" s="514" t="s">
        <v>527</v>
      </c>
      <c r="L6" s="2133"/>
      <c r="M6" s="2134"/>
      <c r="N6" s="2134"/>
      <c r="O6" s="2134"/>
      <c r="P6" s="3500"/>
      <c r="Q6" s="3407"/>
      <c r="R6" s="3390"/>
      <c r="S6" s="3391"/>
      <c r="T6" s="3392"/>
      <c r="U6" s="3393"/>
      <c r="V6" s="3408"/>
      <c r="W6" s="3408"/>
      <c r="X6" s="1568"/>
      <c r="Y6" s="3392"/>
      <c r="Z6" s="3393"/>
      <c r="AA6" s="3385"/>
      <c r="AB6" s="3385"/>
      <c r="AC6" s="3385"/>
    </row>
    <row r="7" spans="1:29" s="1220" customFormat="1" ht="15" thickBot="1">
      <c r="A7" s="2912"/>
      <c r="B7" s="2919" t="s">
        <v>528</v>
      </c>
      <c r="C7" s="519">
        <f>'数据-取费表'!B2</f>
        <v>43780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5" t="s">
        <v>529</v>
      </c>
      <c r="Q7" s="3395"/>
      <c r="R7" s="1569" t="s">
        <v>8</v>
      </c>
      <c r="S7" s="1570">
        <f t="shared" ref="S7:S15" si="0">F7</f>
        <v>0</v>
      </c>
      <c r="T7" s="1569" t="s">
        <v>8</v>
      </c>
      <c r="U7" s="1570">
        <f t="shared" ref="U7:U15" si="1">H7</f>
        <v>0</v>
      </c>
      <c r="V7" s="1569" t="s">
        <v>8</v>
      </c>
      <c r="W7" s="1570">
        <f t="shared" ref="W7:W15" si="2">J7</f>
        <v>0</v>
      </c>
      <c r="X7" s="1571"/>
      <c r="Y7" s="3386" t="s">
        <v>529</v>
      </c>
      <c r="Z7" s="3387"/>
      <c r="AA7" s="1572" t="e">
        <f>D7/F7</f>
        <v>#DIV/0!</v>
      </c>
      <c r="AB7" s="1572" t="e">
        <f>D7/H7</f>
        <v>#DIV/0!</v>
      </c>
      <c r="AC7" s="1572"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5" t="s">
        <v>532</v>
      </c>
      <c r="Q8" s="3387"/>
      <c r="R8" s="1569" t="s">
        <v>8</v>
      </c>
      <c r="S8" s="1570">
        <f t="shared" si="0"/>
        <v>0</v>
      </c>
      <c r="T8" s="1569" t="s">
        <v>8</v>
      </c>
      <c r="U8" s="1570">
        <f t="shared" si="1"/>
        <v>0</v>
      </c>
      <c r="V8" s="1569" t="s">
        <v>8</v>
      </c>
      <c r="W8" s="1570">
        <f t="shared" si="2"/>
        <v>0</v>
      </c>
      <c r="X8" s="1571"/>
      <c r="Y8" s="3386" t="s">
        <v>532</v>
      </c>
      <c r="Z8" s="3387"/>
      <c r="AA8" s="1572" t="e">
        <f t="shared" ref="AA8:AA47" si="3">D8/F8</f>
        <v>#DIV/0!</v>
      </c>
      <c r="AB8" s="1572" t="e">
        <f t="shared" ref="AB8:AB47" si="4">D8/H8</f>
        <v>#DIV/0!</v>
      </c>
      <c r="AC8" s="1572" t="e">
        <f t="shared" ref="AC8:AC47" si="5">D8/J8</f>
        <v>#DIV/0!</v>
      </c>
    </row>
    <row r="9" spans="1:29" s="1220" customFormat="1" ht="14.4">
      <c r="A9" s="2914"/>
      <c r="B9" s="2921"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4" t="s">
        <v>534</v>
      </c>
      <c r="Q9" s="1151" t="str">
        <f t="shared" ref="Q9:Q15" si="6">B9</f>
        <v>用途</v>
      </c>
      <c r="R9" s="1569" t="s">
        <v>8</v>
      </c>
      <c r="S9" s="1570">
        <f t="shared" si="0"/>
        <v>100</v>
      </c>
      <c r="T9" s="1569" t="s">
        <v>8</v>
      </c>
      <c r="U9" s="1570">
        <f t="shared" si="1"/>
        <v>100</v>
      </c>
      <c r="V9" s="1569" t="s">
        <v>8</v>
      </c>
      <c r="W9" s="1570">
        <f t="shared" si="2"/>
        <v>100</v>
      </c>
      <c r="X9" s="1571"/>
      <c r="Y9" s="3351" t="s">
        <v>535</v>
      </c>
      <c r="Z9" s="1150" t="str">
        <f t="shared" ref="Z9:Z15" si="7">Q9</f>
        <v>用途</v>
      </c>
      <c r="AA9" s="1572">
        <f t="shared" si="3"/>
        <v>1</v>
      </c>
      <c r="AB9" s="1572">
        <f t="shared" si="4"/>
        <v>1</v>
      </c>
      <c r="AC9" s="1572">
        <f t="shared" si="5"/>
        <v>1</v>
      </c>
    </row>
    <row r="10" spans="1:29" s="1338" customFormat="1" ht="28.8">
      <c r="A10" s="2915"/>
      <c r="B10" s="2920"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4"/>
      <c r="Q10" s="1151" t="str">
        <f t="shared" si="6"/>
        <v>土地使用年限（年）</v>
      </c>
      <c r="R10" s="1569" t="s">
        <v>8</v>
      </c>
      <c r="S10" s="1570">
        <f t="shared" si="0"/>
        <v>100</v>
      </c>
      <c r="T10" s="1569" t="s">
        <v>8</v>
      </c>
      <c r="U10" s="1570">
        <f t="shared" si="1"/>
        <v>100</v>
      </c>
      <c r="V10" s="1569" t="s">
        <v>8</v>
      </c>
      <c r="W10" s="1570">
        <f t="shared" si="2"/>
        <v>100</v>
      </c>
      <c r="X10" s="1571"/>
      <c r="Y10" s="3351"/>
      <c r="Z10" s="1150" t="str">
        <f t="shared" si="7"/>
        <v>土地使用年限（年）</v>
      </c>
      <c r="AA10" s="1572">
        <f t="shared" si="3"/>
        <v>1</v>
      </c>
      <c r="AB10" s="1572">
        <f t="shared" si="4"/>
        <v>1</v>
      </c>
      <c r="AC10" s="1572">
        <f t="shared" si="5"/>
        <v>1</v>
      </c>
    </row>
    <row r="11" spans="1:29" ht="15">
      <c r="A11" s="2916"/>
      <c r="B11" s="2920"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4"/>
      <c r="Q11" s="1151" t="str">
        <f t="shared" si="6"/>
        <v>容积率</v>
      </c>
      <c r="R11" s="1569" t="s">
        <v>8</v>
      </c>
      <c r="S11" s="1570" t="e">
        <f t="shared" si="0"/>
        <v>#N/A</v>
      </c>
      <c r="T11" s="1569" t="s">
        <v>8</v>
      </c>
      <c r="U11" s="1570" t="e">
        <f t="shared" si="1"/>
        <v>#N/A</v>
      </c>
      <c r="V11" s="1569" t="s">
        <v>8</v>
      </c>
      <c r="W11" s="1570" t="e">
        <f t="shared" si="2"/>
        <v>#N/A</v>
      </c>
      <c r="X11" s="1571"/>
      <c r="Y11" s="335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4"/>
      <c r="Q12" s="1151">
        <f t="shared" si="6"/>
        <v>111</v>
      </c>
      <c r="R12" s="1569" t="s">
        <v>8</v>
      </c>
      <c r="S12" s="1570">
        <f t="shared" si="0"/>
        <v>100</v>
      </c>
      <c r="T12" s="1569" t="s">
        <v>8</v>
      </c>
      <c r="U12" s="1570">
        <f t="shared" si="1"/>
        <v>100</v>
      </c>
      <c r="V12" s="1569" t="s">
        <v>8</v>
      </c>
      <c r="W12" s="1570">
        <f t="shared" si="2"/>
        <v>100</v>
      </c>
      <c r="X12" s="1571"/>
      <c r="Y12" s="3351"/>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4"/>
      <c r="Q13" s="1151">
        <f t="shared" si="6"/>
        <v>111</v>
      </c>
      <c r="R13" s="1569" t="s">
        <v>8</v>
      </c>
      <c r="S13" s="1570">
        <f t="shared" si="0"/>
        <v>100</v>
      </c>
      <c r="T13" s="1569" t="s">
        <v>8</v>
      </c>
      <c r="U13" s="1570">
        <f t="shared" si="1"/>
        <v>100</v>
      </c>
      <c r="V13" s="1569" t="s">
        <v>8</v>
      </c>
      <c r="W13" s="1570">
        <f t="shared" si="2"/>
        <v>100</v>
      </c>
      <c r="X13" s="1571"/>
      <c r="Y13" s="3351"/>
      <c r="Z13" s="1150">
        <f t="shared" si="7"/>
        <v>111</v>
      </c>
      <c r="AA13" s="1572">
        <f t="shared" si="3"/>
        <v>1</v>
      </c>
      <c r="AB13" s="1572">
        <f t="shared" si="4"/>
        <v>1</v>
      </c>
      <c r="AC13" s="1572">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4"/>
      <c r="Q14" s="1151">
        <f t="shared" si="6"/>
        <v>111</v>
      </c>
      <c r="R14" s="1569" t="s">
        <v>8</v>
      </c>
      <c r="S14" s="1570">
        <f t="shared" si="0"/>
        <v>100</v>
      </c>
      <c r="T14" s="1569" t="s">
        <v>8</v>
      </c>
      <c r="U14" s="1570">
        <f t="shared" si="1"/>
        <v>100</v>
      </c>
      <c r="V14" s="1569" t="s">
        <v>8</v>
      </c>
      <c r="W14" s="1570">
        <f t="shared" si="2"/>
        <v>100</v>
      </c>
      <c r="X14" s="1571"/>
      <c r="Y14" s="3351"/>
      <c r="Z14" s="1150">
        <f t="shared" si="7"/>
        <v>111</v>
      </c>
      <c r="AA14" s="1572">
        <f t="shared" si="3"/>
        <v>1</v>
      </c>
      <c r="AB14" s="1572">
        <f t="shared" si="4"/>
        <v>1</v>
      </c>
      <c r="AC14" s="1572">
        <f t="shared" si="5"/>
        <v>1</v>
      </c>
    </row>
    <row r="15" spans="1:29" ht="82.8">
      <c r="A15" s="2910"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6" t="s">
        <v>539</v>
      </c>
      <c r="Q15" s="1573" t="str">
        <f t="shared" si="6"/>
        <v>办公集聚程度</v>
      </c>
      <c r="R15" s="1574" t="s">
        <v>8</v>
      </c>
      <c r="S15" s="1575">
        <f t="shared" si="0"/>
        <v>100</v>
      </c>
      <c r="T15" s="1574" t="s">
        <v>8</v>
      </c>
      <c r="U15" s="1575">
        <f t="shared" si="1"/>
        <v>100</v>
      </c>
      <c r="V15" s="1574" t="s">
        <v>8</v>
      </c>
      <c r="W15" s="1575">
        <f t="shared" si="2"/>
        <v>100</v>
      </c>
      <c r="X15" s="1568"/>
      <c r="Y15" s="3396"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97"/>
      <c r="Q16" s="1573"/>
      <c r="R16" s="1574"/>
      <c r="S16" s="1575"/>
      <c r="T16" s="1574"/>
      <c r="U16" s="1575"/>
      <c r="V16" s="1574"/>
      <c r="W16" s="1575"/>
      <c r="X16" s="1568"/>
      <c r="Y16" s="3397"/>
      <c r="Z16" s="1576"/>
      <c r="AA16" s="1577">
        <v>1</v>
      </c>
      <c r="AB16" s="1577">
        <v>1</v>
      </c>
      <c r="AC16" s="1577">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97"/>
      <c r="Q18" s="1573"/>
      <c r="R18" s="1574"/>
      <c r="S18" s="1575"/>
      <c r="T18" s="1574"/>
      <c r="U18" s="1575"/>
      <c r="V18" s="1574"/>
      <c r="W18" s="1575"/>
      <c r="X18" s="1568"/>
      <c r="Y18" s="3397"/>
      <c r="Z18" s="1576"/>
      <c r="AA18" s="1577">
        <v>1</v>
      </c>
      <c r="AB18" s="1577">
        <v>1</v>
      </c>
      <c r="AC18" s="1577">
        <v>1</v>
      </c>
    </row>
    <row r="19" spans="1:29" ht="41.4">
      <c r="A19" s="532"/>
      <c r="B19" s="260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97"/>
      <c r="Q20" s="1573"/>
      <c r="R20" s="1574"/>
      <c r="S20" s="1575"/>
      <c r="T20" s="1574"/>
      <c r="U20" s="1575"/>
      <c r="V20" s="1574"/>
      <c r="W20" s="1575"/>
      <c r="X20" s="1568"/>
      <c r="Y20" s="3397"/>
      <c r="Z20" s="1576"/>
      <c r="AA20" s="1577">
        <v>1</v>
      </c>
      <c r="AB20" s="1577">
        <v>1</v>
      </c>
      <c r="AC20" s="1577">
        <v>1</v>
      </c>
    </row>
    <row r="21" spans="1:29" ht="41.4">
      <c r="A21" s="532"/>
      <c r="B21" s="259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7"/>
      <c r="Q21" s="2579" t="str">
        <f>B21</f>
        <v>基础设施水平</v>
      </c>
      <c r="R21" s="1574" t="s">
        <v>8</v>
      </c>
      <c r="S21" s="1575">
        <f>F21</f>
        <v>100</v>
      </c>
      <c r="T21" s="1574" t="s">
        <v>8</v>
      </c>
      <c r="U21" s="1575">
        <f>H21</f>
        <v>100</v>
      </c>
      <c r="V21" s="1574" t="s">
        <v>8</v>
      </c>
      <c r="W21" s="1575">
        <f>J21</f>
        <v>100</v>
      </c>
      <c r="X21" s="2581"/>
      <c r="Y21" s="3397"/>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397"/>
      <c r="Q22" s="2579"/>
      <c r="R22" s="1574"/>
      <c r="S22" s="1575"/>
      <c r="T22" s="1574"/>
      <c r="U22" s="1575"/>
      <c r="V22" s="1574"/>
      <c r="W22" s="1575"/>
      <c r="X22" s="2581"/>
      <c r="Y22" s="3397"/>
      <c r="Z22" s="2580"/>
      <c r="AA22" s="1577">
        <v>1</v>
      </c>
      <c r="AB22" s="1577">
        <v>1</v>
      </c>
      <c r="AC22" s="1577">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97"/>
      <c r="Q24" s="1573"/>
      <c r="R24" s="1574"/>
      <c r="S24" s="1575"/>
      <c r="T24" s="1574"/>
      <c r="U24" s="1575"/>
      <c r="V24" s="1574"/>
      <c r="W24" s="1575"/>
      <c r="X24" s="1568"/>
      <c r="Y24" s="3397"/>
      <c r="Z24" s="1576"/>
      <c r="AA24" s="1577">
        <v>1</v>
      </c>
      <c r="AB24" s="1577">
        <v>1</v>
      </c>
      <c r="AC24" s="1577">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97"/>
      <c r="Q26" s="1573"/>
      <c r="R26" s="1574"/>
      <c r="S26" s="1575"/>
      <c r="T26" s="1574"/>
      <c r="U26" s="1575"/>
      <c r="V26" s="1574"/>
      <c r="W26" s="1575"/>
      <c r="X26" s="1568"/>
      <c r="Y26" s="3397"/>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7"/>
      <c r="Q28" s="1151" t="str">
        <f t="shared" si="11"/>
        <v>朝向</v>
      </c>
      <c r="R28" s="1569" t="s">
        <v>8</v>
      </c>
      <c r="S28" s="1570">
        <f>F28</f>
        <v>100</v>
      </c>
      <c r="T28" s="1569" t="s">
        <v>8</v>
      </c>
      <c r="U28" s="1570">
        <f>H28</f>
        <v>100</v>
      </c>
      <c r="V28" s="1569" t="s">
        <v>8</v>
      </c>
      <c r="W28" s="1570">
        <f>J28</f>
        <v>100</v>
      </c>
      <c r="X28" s="1571"/>
      <c r="Y28" s="339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907" t="s">
        <v>2756</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8" t="s">
        <v>549</v>
      </c>
      <c r="Q33" s="1573" t="str">
        <f t="shared" si="11"/>
        <v>建筑类型</v>
      </c>
      <c r="R33" s="1574" t="s">
        <v>8</v>
      </c>
      <c r="S33" s="1575">
        <f t="shared" si="12"/>
        <v>100</v>
      </c>
      <c r="T33" s="1574" t="s">
        <v>8</v>
      </c>
      <c r="U33" s="1575">
        <f t="shared" si="13"/>
        <v>100</v>
      </c>
      <c r="V33" s="1574" t="s">
        <v>8</v>
      </c>
      <c r="W33" s="1575">
        <f t="shared" si="14"/>
        <v>100</v>
      </c>
      <c r="X33" s="1568"/>
      <c r="Y33" s="3399"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9"/>
      <c r="Q38" s="1151" t="str">
        <f t="shared" si="11"/>
        <v>写字楼等级</v>
      </c>
      <c r="R38" s="1569" t="s">
        <v>8</v>
      </c>
      <c r="S38" s="1570">
        <f t="shared" si="12"/>
        <v>100</v>
      </c>
      <c r="T38" s="1569" t="s">
        <v>8</v>
      </c>
      <c r="U38" s="1570">
        <f t="shared" si="13"/>
        <v>100</v>
      </c>
      <c r="V38" s="1569" t="s">
        <v>8</v>
      </c>
      <c r="W38" s="1570">
        <f t="shared" si="14"/>
        <v>100</v>
      </c>
      <c r="X38" s="1571"/>
      <c r="Y38" s="3399"/>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9" t="s">
        <v>549</v>
      </c>
      <c r="Q39" s="1573" t="str">
        <f t="shared" si="11"/>
        <v>物业管理</v>
      </c>
      <c r="R39" s="1574" t="s">
        <v>8</v>
      </c>
      <c r="S39" s="1575">
        <f t="shared" si="12"/>
        <v>100</v>
      </c>
      <c r="T39" s="1574" t="s">
        <v>8</v>
      </c>
      <c r="U39" s="1575">
        <f t="shared" si="13"/>
        <v>100</v>
      </c>
      <c r="V39" s="1574" t="s">
        <v>8</v>
      </c>
      <c r="W39" s="1575">
        <f t="shared" si="14"/>
        <v>100</v>
      </c>
      <c r="X39" s="1568"/>
      <c r="Y39" s="3399" t="s">
        <v>549</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9"/>
      <c r="Q45" s="1151">
        <f t="shared" si="11"/>
        <v>111</v>
      </c>
      <c r="R45" s="1569" t="s">
        <v>8</v>
      </c>
      <c r="S45" s="1570">
        <f t="shared" si="12"/>
        <v>100</v>
      </c>
      <c r="T45" s="1569" t="s">
        <v>8</v>
      </c>
      <c r="U45" s="1570">
        <f t="shared" si="13"/>
        <v>100</v>
      </c>
      <c r="V45" s="1569" t="s">
        <v>8</v>
      </c>
      <c r="W45" s="1570">
        <f t="shared" si="14"/>
        <v>100</v>
      </c>
      <c r="X45" s="1571"/>
      <c r="Y45" s="339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4.4">
      <c r="A48" s="607" t="s">
        <v>735</v>
      </c>
      <c r="B48" s="887"/>
      <c r="C48" s="2627" t="s">
        <v>1</v>
      </c>
      <c r="D48" s="2628"/>
      <c r="E48" s="2629"/>
      <c r="F48" s="2630"/>
      <c r="G48" s="2631"/>
      <c r="H48" s="2632"/>
      <c r="I48" s="2629"/>
      <c r="J48" s="2632"/>
      <c r="K48" s="1612"/>
      <c r="L48" s="2144"/>
      <c r="M48" s="2134"/>
      <c r="N48" s="2134"/>
      <c r="O48" s="2134"/>
      <c r="P48" s="3416" t="str">
        <f>A48</f>
        <v>成交单价（元/平方米）</v>
      </c>
      <c r="Q48" s="3394"/>
      <c r="R48" s="3496">
        <f>E48</f>
        <v>0</v>
      </c>
      <c r="S48" s="3496"/>
      <c r="T48" s="3496">
        <f>G48</f>
        <v>0</v>
      </c>
      <c r="U48" s="3496"/>
      <c r="V48" s="3496">
        <f>I48</f>
        <v>0</v>
      </c>
      <c r="W48" s="3496"/>
      <c r="X48" s="1560"/>
      <c r="Y48" s="1582"/>
      <c r="Z48" s="1560"/>
      <c r="AA48" s="1560"/>
      <c r="AB48" s="1560"/>
      <c r="AC48" s="1560"/>
    </row>
    <row r="49" spans="1:29" ht="15" thickBot="1">
      <c r="A49" s="615" t="s">
        <v>2761</v>
      </c>
      <c r="B49" s="888"/>
      <c r="C49" s="2633" t="e">
        <f>R50</f>
        <v>#DIV/0!</v>
      </c>
      <c r="D49" s="2634"/>
      <c r="E49" s="2635" t="e">
        <f>R49</f>
        <v>#DIV/0!</v>
      </c>
      <c r="F49" s="2635"/>
      <c r="G49" s="2633" t="e">
        <f>T49</f>
        <v>#DIV/0!</v>
      </c>
      <c r="H49" s="2634"/>
      <c r="I49" s="2635" t="e">
        <f>V49</f>
        <v>#DIV/0!</v>
      </c>
      <c r="J49" s="2634"/>
      <c r="K49" s="1613"/>
      <c r="L49" s="2144"/>
      <c r="M49" s="2134"/>
      <c r="N49" s="2134"/>
      <c r="O49" s="2134"/>
      <c r="P49" s="3416" t="str">
        <f>A49</f>
        <v>比较价格（元/平方米）</v>
      </c>
      <c r="Q49" s="3394"/>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 thickBot="1">
      <c r="A50" s="621" t="s">
        <v>2933</v>
      </c>
      <c r="B50" s="622"/>
      <c r="C50" s="2636" t="e">
        <f>R50</f>
        <v>#DIV/0!</v>
      </c>
      <c r="D50" s="2636"/>
      <c r="E50" s="2636"/>
      <c r="F50" s="2636"/>
      <c r="G50" s="2636"/>
      <c r="H50" s="2636"/>
      <c r="I50" s="2636"/>
      <c r="J50" s="2636"/>
      <c r="K50" s="1614"/>
      <c r="L50" s="2144"/>
      <c r="M50" s="2134"/>
      <c r="N50" s="2134"/>
      <c r="O50" s="2134"/>
      <c r="P50" s="3501" t="str">
        <f>A50</f>
        <v>估价对象XX用房的比较价格（楼面单价，元/平方米）</v>
      </c>
      <c r="Q50" s="3416"/>
      <c r="R50" s="3495" t="e">
        <f>IF(F1="售价",ROUND(AVERAGE(R49:V49),0),ROUND(AVERAGE(R49:V49),1))</f>
        <v>#DIV/0!</v>
      </c>
      <c r="S50" s="3495"/>
      <c r="T50" s="3495"/>
      <c r="U50" s="3495"/>
      <c r="V50" s="3495"/>
      <c r="W50" s="3495"/>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5" t="s">
        <v>573</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2019-11</v>
      </c>
      <c r="D59" s="2804">
        <f>EDATE(C59,-1)</f>
        <v>43739</v>
      </c>
      <c r="E59" s="2804">
        <f t="shared" ref="E59:O59" si="16">EDATE(D59,-1)</f>
        <v>43709</v>
      </c>
      <c r="F59" s="2804">
        <f t="shared" si="16"/>
        <v>43678</v>
      </c>
      <c r="G59" s="2804">
        <f t="shared" si="16"/>
        <v>43647</v>
      </c>
      <c r="H59" s="2804">
        <f t="shared" si="16"/>
        <v>43617</v>
      </c>
      <c r="I59" s="2804">
        <f t="shared" si="16"/>
        <v>43586</v>
      </c>
      <c r="J59" s="2804">
        <f t="shared" si="16"/>
        <v>43556</v>
      </c>
      <c r="K59" s="2804">
        <f t="shared" si="16"/>
        <v>43525</v>
      </c>
      <c r="L59" s="2804">
        <f t="shared" si="16"/>
        <v>43497</v>
      </c>
      <c r="M59" s="2804">
        <f t="shared" si="16"/>
        <v>43466</v>
      </c>
      <c r="N59" s="2804">
        <f t="shared" si="16"/>
        <v>43435</v>
      </c>
      <c r="O59" s="2804">
        <f t="shared" si="16"/>
        <v>43405</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8"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2559</v>
      </c>
      <c r="C83" s="2598" t="s">
        <v>2560</v>
      </c>
      <c r="D83" s="2598" t="s">
        <v>2561</v>
      </c>
      <c r="E83" s="2598" t="s">
        <v>2562</v>
      </c>
      <c r="F83" s="2598" t="s">
        <v>2563</v>
      </c>
      <c r="G83" s="2598" t="s">
        <v>2564</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520</v>
      </c>
      <c r="B4" s="513"/>
      <c r="C4" s="3400" t="s">
        <v>521</v>
      </c>
      <c r="D4" s="3401"/>
      <c r="E4" s="3424" t="s">
        <v>522</v>
      </c>
      <c r="F4" s="3425"/>
      <c r="G4" s="3400" t="s">
        <v>523</v>
      </c>
      <c r="H4" s="3401"/>
      <c r="I4" s="3400" t="s">
        <v>524</v>
      </c>
      <c r="J4" s="3401"/>
      <c r="K4" s="514" t="s">
        <v>525</v>
      </c>
      <c r="L4" s="2133"/>
      <c r="M4" s="2134"/>
      <c r="N4" s="2134"/>
      <c r="O4" s="2134"/>
      <c r="P4" s="3402" t="s">
        <v>526</v>
      </c>
      <c r="Q4" s="3403"/>
      <c r="R4" s="3388" t="s">
        <v>522</v>
      </c>
      <c r="S4" s="3389"/>
      <c r="T4" s="3388" t="s">
        <v>523</v>
      </c>
      <c r="U4" s="3389"/>
      <c r="V4" s="3408" t="s">
        <v>524</v>
      </c>
      <c r="W4" s="3408"/>
      <c r="X4" s="1568"/>
      <c r="Y4" s="3388" t="s">
        <v>526</v>
      </c>
      <c r="Z4" s="3389"/>
      <c r="AA4" s="3383" t="s">
        <v>522</v>
      </c>
      <c r="AB4" s="3384" t="s">
        <v>523</v>
      </c>
      <c r="AC4" s="3383" t="s">
        <v>524</v>
      </c>
    </row>
    <row r="5" spans="1:29">
      <c r="A5" s="515"/>
      <c r="B5" s="516"/>
      <c r="C5" s="3428" t="s">
        <v>2927</v>
      </c>
      <c r="D5" s="3412"/>
      <c r="E5" s="3426" t="s">
        <v>2928</v>
      </c>
      <c r="F5" s="3427"/>
      <c r="G5" s="3428" t="s">
        <v>2929</v>
      </c>
      <c r="H5" s="3412"/>
      <c r="I5" s="3428" t="s">
        <v>2930</v>
      </c>
      <c r="J5" s="3412"/>
      <c r="K5" s="514"/>
      <c r="L5" s="2133"/>
      <c r="M5" s="2134"/>
      <c r="N5" s="2134"/>
      <c r="O5" s="2134"/>
      <c r="P5" s="3404"/>
      <c r="Q5" s="3405"/>
      <c r="R5" s="3390"/>
      <c r="S5" s="3391"/>
      <c r="T5" s="3390"/>
      <c r="U5" s="3391"/>
      <c r="V5" s="3408"/>
      <c r="W5" s="3408"/>
      <c r="X5" s="1568"/>
      <c r="Y5" s="3390"/>
      <c r="Z5" s="3391"/>
      <c r="AA5" s="3384"/>
      <c r="AB5" s="3384"/>
      <c r="AC5" s="3384"/>
    </row>
    <row r="6" spans="1:29" ht="15" thickBot="1">
      <c r="A6" s="517"/>
      <c r="B6" s="518"/>
      <c r="C6" s="3409" t="s">
        <v>2931</v>
      </c>
      <c r="D6" s="3410"/>
      <c r="E6" s="3429" t="s">
        <v>2931</v>
      </c>
      <c r="F6" s="3430"/>
      <c r="G6" s="3409" t="s">
        <v>2931</v>
      </c>
      <c r="H6" s="3410"/>
      <c r="I6" s="3409" t="s">
        <v>2931</v>
      </c>
      <c r="J6" s="3410"/>
      <c r="K6" s="514" t="s">
        <v>527</v>
      </c>
      <c r="L6" s="2133"/>
      <c r="M6" s="2134"/>
      <c r="N6" s="2134"/>
      <c r="O6" s="2134"/>
      <c r="P6" s="3406"/>
      <c r="Q6" s="3407"/>
      <c r="R6" s="3390"/>
      <c r="S6" s="3391"/>
      <c r="T6" s="3392"/>
      <c r="U6" s="3393"/>
      <c r="V6" s="3408"/>
      <c r="W6" s="3408"/>
      <c r="X6" s="1568"/>
      <c r="Y6" s="3392"/>
      <c r="Z6" s="3393"/>
      <c r="AA6" s="3385"/>
      <c r="AB6" s="3385"/>
      <c r="AC6" s="3385"/>
    </row>
    <row r="7" spans="1:29" s="1220" customFormat="1" ht="15" thickBot="1">
      <c r="A7" s="2912"/>
      <c r="B7" s="2919" t="s">
        <v>528</v>
      </c>
      <c r="C7" s="519">
        <f>'数据-取费表'!B2</f>
        <v>43780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6" t="s">
        <v>529</v>
      </c>
      <c r="Q7" s="3395"/>
      <c r="R7" s="1569" t="s">
        <v>8</v>
      </c>
      <c r="S7" s="1570">
        <f t="shared" ref="S7:S15" si="0">F7</f>
        <v>0</v>
      </c>
      <c r="T7" s="1569" t="s">
        <v>8</v>
      </c>
      <c r="U7" s="1570">
        <f t="shared" ref="U7:U15" si="1">H7</f>
        <v>0</v>
      </c>
      <c r="V7" s="1569" t="s">
        <v>8</v>
      </c>
      <c r="W7" s="1570">
        <f t="shared" ref="W7:W15" si="2">J7</f>
        <v>0</v>
      </c>
      <c r="X7" s="1571"/>
      <c r="Y7" s="3386" t="s">
        <v>529</v>
      </c>
      <c r="Z7" s="3387"/>
      <c r="AA7" s="1572" t="e">
        <f>D7/F7</f>
        <v>#DIV/0!</v>
      </c>
      <c r="AB7" s="1572" t="e">
        <f>D7/H7</f>
        <v>#DIV/0!</v>
      </c>
      <c r="AC7" s="1572"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6" t="s">
        <v>532</v>
      </c>
      <c r="Q8" s="3387"/>
      <c r="R8" s="1569" t="s">
        <v>8</v>
      </c>
      <c r="S8" s="1570">
        <f t="shared" si="0"/>
        <v>0</v>
      </c>
      <c r="T8" s="1569" t="s">
        <v>8</v>
      </c>
      <c r="U8" s="1570">
        <f t="shared" si="1"/>
        <v>0</v>
      </c>
      <c r="V8" s="1569" t="s">
        <v>8</v>
      </c>
      <c r="W8" s="1570">
        <f t="shared" si="2"/>
        <v>0</v>
      </c>
      <c r="X8" s="1571"/>
      <c r="Y8" s="3386" t="s">
        <v>532</v>
      </c>
      <c r="Z8" s="3387"/>
      <c r="AA8" s="1572" t="e">
        <f t="shared" ref="AA8:AA40" si="3">D8/F8</f>
        <v>#DIV/0!</v>
      </c>
      <c r="AB8" s="1572" t="e">
        <f t="shared" ref="AB8:AB40" si="4">D8/H8</f>
        <v>#DIV/0!</v>
      </c>
      <c r="AC8" s="1572" t="e">
        <f t="shared" ref="AC8:AC40" si="5">D8/J8</f>
        <v>#DIV/0!</v>
      </c>
    </row>
    <row r="9" spans="1:29" s="1220" customFormat="1" ht="14.4">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4" t="s">
        <v>534</v>
      </c>
      <c r="Q9" s="1151" t="str">
        <f t="shared" ref="Q9:Q15" si="6">B9</f>
        <v>用途</v>
      </c>
      <c r="R9" s="1569" t="s">
        <v>8</v>
      </c>
      <c r="S9" s="1570">
        <f t="shared" si="0"/>
        <v>100</v>
      </c>
      <c r="T9" s="1569" t="s">
        <v>8</v>
      </c>
      <c r="U9" s="1570">
        <f t="shared" si="1"/>
        <v>100</v>
      </c>
      <c r="V9" s="1569" t="s">
        <v>8</v>
      </c>
      <c r="W9" s="1570">
        <f t="shared" si="2"/>
        <v>100</v>
      </c>
      <c r="X9" s="1571"/>
      <c r="Y9" s="3351" t="s">
        <v>535</v>
      </c>
      <c r="Z9" s="1150" t="str">
        <f t="shared" ref="Z9:Z15" si="7">Q9</f>
        <v>用途</v>
      </c>
      <c r="AA9" s="1572">
        <f t="shared" si="3"/>
        <v>1</v>
      </c>
      <c r="AB9" s="1572">
        <f t="shared" si="4"/>
        <v>1</v>
      </c>
      <c r="AC9" s="1572">
        <f t="shared" si="5"/>
        <v>1</v>
      </c>
    </row>
    <row r="10" spans="1:29" s="1338" customFormat="1" ht="28.8">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4"/>
      <c r="Q10" s="1151" t="str">
        <f t="shared" si="6"/>
        <v>土地使用年限（年）</v>
      </c>
      <c r="R10" s="1569" t="s">
        <v>8</v>
      </c>
      <c r="S10" s="1570">
        <f t="shared" si="0"/>
        <v>100</v>
      </c>
      <c r="T10" s="1569" t="s">
        <v>8</v>
      </c>
      <c r="U10" s="1570">
        <f t="shared" si="1"/>
        <v>100</v>
      </c>
      <c r="V10" s="1569" t="s">
        <v>8</v>
      </c>
      <c r="W10" s="1570">
        <f t="shared" si="2"/>
        <v>100</v>
      </c>
      <c r="X10" s="1571"/>
      <c r="Y10" s="3351"/>
      <c r="Z10" s="1150" t="str">
        <f t="shared" si="7"/>
        <v>土地使用年限（年）</v>
      </c>
      <c r="AA10" s="1572">
        <f t="shared" si="3"/>
        <v>1</v>
      </c>
      <c r="AB10" s="1572">
        <f t="shared" si="4"/>
        <v>1</v>
      </c>
      <c r="AC10" s="1572">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4"/>
      <c r="Q11" s="1151" t="str">
        <f t="shared" si="6"/>
        <v>容积率</v>
      </c>
      <c r="R11" s="1569" t="s">
        <v>8</v>
      </c>
      <c r="S11" s="1570" t="e">
        <f t="shared" si="0"/>
        <v>#N/A</v>
      </c>
      <c r="T11" s="1569" t="s">
        <v>8</v>
      </c>
      <c r="U11" s="1570" t="e">
        <f t="shared" si="1"/>
        <v>#N/A</v>
      </c>
      <c r="V11" s="1569" t="s">
        <v>8</v>
      </c>
      <c r="W11" s="1570" t="e">
        <f t="shared" si="2"/>
        <v>#N/A</v>
      </c>
      <c r="X11" s="1571"/>
      <c r="Y11" s="335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4"/>
      <c r="Q12" s="1151">
        <f t="shared" si="6"/>
        <v>111</v>
      </c>
      <c r="R12" s="1569" t="s">
        <v>8</v>
      </c>
      <c r="S12" s="1570">
        <f t="shared" si="0"/>
        <v>100</v>
      </c>
      <c r="T12" s="1569" t="s">
        <v>8</v>
      </c>
      <c r="U12" s="1570">
        <f t="shared" si="1"/>
        <v>100</v>
      </c>
      <c r="V12" s="1569" t="s">
        <v>8</v>
      </c>
      <c r="W12" s="1570">
        <f t="shared" si="2"/>
        <v>100</v>
      </c>
      <c r="X12" s="1571"/>
      <c r="Y12" s="3351"/>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4"/>
      <c r="Q13" s="1151">
        <f t="shared" si="6"/>
        <v>111</v>
      </c>
      <c r="R13" s="1569" t="s">
        <v>8</v>
      </c>
      <c r="S13" s="1570">
        <f t="shared" si="0"/>
        <v>100</v>
      </c>
      <c r="T13" s="1569" t="s">
        <v>8</v>
      </c>
      <c r="U13" s="1570">
        <f t="shared" si="1"/>
        <v>100</v>
      </c>
      <c r="V13" s="1569" t="s">
        <v>8</v>
      </c>
      <c r="W13" s="1570">
        <f t="shared" si="2"/>
        <v>100</v>
      </c>
      <c r="X13" s="1571"/>
      <c r="Y13" s="3351"/>
      <c r="Z13" s="1150">
        <f t="shared" si="7"/>
        <v>111</v>
      </c>
      <c r="AA13" s="1572">
        <f t="shared" si="3"/>
        <v>1</v>
      </c>
      <c r="AB13" s="1572">
        <f t="shared" si="4"/>
        <v>1</v>
      </c>
      <c r="AC13" s="1572">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4"/>
      <c r="Q14" s="1151">
        <f t="shared" si="6"/>
        <v>111</v>
      </c>
      <c r="R14" s="1569" t="s">
        <v>8</v>
      </c>
      <c r="S14" s="1570">
        <f t="shared" si="0"/>
        <v>100</v>
      </c>
      <c r="T14" s="1569" t="s">
        <v>8</v>
      </c>
      <c r="U14" s="1570">
        <f t="shared" si="1"/>
        <v>100</v>
      </c>
      <c r="V14" s="1569" t="s">
        <v>8</v>
      </c>
      <c r="W14" s="1570">
        <f t="shared" si="2"/>
        <v>100</v>
      </c>
      <c r="X14" s="1571"/>
      <c r="Y14" s="3351"/>
      <c r="Z14" s="1150">
        <f t="shared" si="7"/>
        <v>111</v>
      </c>
      <c r="AA14" s="1572">
        <f t="shared" si="3"/>
        <v>1</v>
      </c>
      <c r="AB14" s="1572">
        <f t="shared" si="4"/>
        <v>1</v>
      </c>
      <c r="AC14" s="1572">
        <f t="shared" si="5"/>
        <v>1</v>
      </c>
    </row>
    <row r="15" spans="1:29" ht="69">
      <c r="A15" s="2910" t="s">
        <v>2755</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6" t="s">
        <v>539</v>
      </c>
      <c r="Q15" s="1573" t="str">
        <f t="shared" si="6"/>
        <v>产业集聚程度</v>
      </c>
      <c r="R15" s="1574" t="s">
        <v>8</v>
      </c>
      <c r="S15" s="1575">
        <f t="shared" si="0"/>
        <v>100</v>
      </c>
      <c r="T15" s="1574" t="s">
        <v>8</v>
      </c>
      <c r="U15" s="1575">
        <f t="shared" si="1"/>
        <v>100</v>
      </c>
      <c r="V15" s="1574" t="s">
        <v>8</v>
      </c>
      <c r="W15" s="1575">
        <f t="shared" si="2"/>
        <v>100</v>
      </c>
      <c r="X15" s="1568"/>
      <c r="Y15" s="3396"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7"/>
      <c r="Q16" s="1573"/>
      <c r="R16" s="1574"/>
      <c r="S16" s="1575"/>
      <c r="T16" s="1574"/>
      <c r="U16" s="1575"/>
      <c r="V16" s="1574"/>
      <c r="W16" s="1575"/>
      <c r="X16" s="1568"/>
      <c r="Y16" s="3397"/>
      <c r="Z16" s="1576"/>
      <c r="AA16" s="1577">
        <v>1</v>
      </c>
      <c r="AB16" s="1577">
        <v>1</v>
      </c>
      <c r="AC16" s="1577">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7"/>
      <c r="Q18" s="1573"/>
      <c r="R18" s="1574"/>
      <c r="S18" s="1575"/>
      <c r="T18" s="1574"/>
      <c r="U18" s="1575"/>
      <c r="V18" s="1574"/>
      <c r="W18" s="1575"/>
      <c r="X18" s="1568"/>
      <c r="Y18" s="3397"/>
      <c r="Z18" s="1576"/>
      <c r="AA18" s="1577">
        <v>1</v>
      </c>
      <c r="AB18" s="1577">
        <v>1</v>
      </c>
      <c r="AC18" s="1577">
        <v>1</v>
      </c>
    </row>
    <row r="19" spans="1:29" ht="41.4">
      <c r="A19" s="532"/>
      <c r="B19" s="260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97"/>
      <c r="Q20" s="1573"/>
      <c r="R20" s="1574"/>
      <c r="S20" s="1575"/>
      <c r="T20" s="1574"/>
      <c r="U20" s="1575"/>
      <c r="V20" s="1574"/>
      <c r="W20" s="1575"/>
      <c r="X20" s="1568"/>
      <c r="Y20" s="3397"/>
      <c r="Z20" s="1576"/>
      <c r="AA20" s="1577">
        <v>1</v>
      </c>
      <c r="AB20" s="1577">
        <v>1</v>
      </c>
      <c r="AC20" s="1577">
        <v>1</v>
      </c>
    </row>
    <row r="21" spans="1:29" ht="41.4">
      <c r="A21" s="532"/>
      <c r="B21" s="259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7"/>
      <c r="Q21" s="2579" t="str">
        <f>B21</f>
        <v>基础设施水平</v>
      </c>
      <c r="R21" s="1574" t="s">
        <v>8</v>
      </c>
      <c r="S21" s="1575">
        <f>F21</f>
        <v>100</v>
      </c>
      <c r="T21" s="1574" t="s">
        <v>8</v>
      </c>
      <c r="U21" s="1575">
        <f>H21</f>
        <v>100</v>
      </c>
      <c r="V21" s="1574" t="s">
        <v>8</v>
      </c>
      <c r="W21" s="1575">
        <f>J21</f>
        <v>100</v>
      </c>
      <c r="X21" s="2581"/>
      <c r="Y21" s="3397"/>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397"/>
      <c r="Q22" s="2579"/>
      <c r="R22" s="1574"/>
      <c r="S22" s="1575"/>
      <c r="T22" s="1574"/>
      <c r="U22" s="1575"/>
      <c r="V22" s="1574"/>
      <c r="W22" s="1575"/>
      <c r="X22" s="2581"/>
      <c r="Y22" s="3397"/>
      <c r="Z22" s="2580"/>
      <c r="AA22" s="1577">
        <v>1</v>
      </c>
      <c r="AB22" s="1577">
        <v>1</v>
      </c>
      <c r="AC22" s="1577">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7"/>
      <c r="Q27" s="1151">
        <f t="shared" si="11"/>
        <v>111</v>
      </c>
      <c r="R27" s="1569" t="s">
        <v>8</v>
      </c>
      <c r="S27" s="1570">
        <f>F27</f>
        <v>100</v>
      </c>
      <c r="T27" s="1569" t="s">
        <v>8</v>
      </c>
      <c r="U27" s="1570">
        <f>H27</f>
        <v>100</v>
      </c>
      <c r="V27" s="1569" t="s">
        <v>8</v>
      </c>
      <c r="W27" s="1570">
        <f>J27</f>
        <v>100</v>
      </c>
      <c r="X27" s="1571"/>
      <c r="Y27" s="3397"/>
      <c r="Z27" s="1150">
        <f>Q27</f>
        <v>111</v>
      </c>
      <c r="AA27" s="1577">
        <f>D27/F27</f>
        <v>1</v>
      </c>
      <c r="AB27" s="1577">
        <f>D27/H27</f>
        <v>1</v>
      </c>
      <c r="AC27" s="1577">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907" t="s">
        <v>2756</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8" t="s">
        <v>549</v>
      </c>
      <c r="Q29" s="1573" t="str">
        <f t="shared" si="11"/>
        <v>建筑类型</v>
      </c>
      <c r="R29" s="1574" t="s">
        <v>8</v>
      </c>
      <c r="S29" s="1575">
        <f t="shared" si="12"/>
        <v>100</v>
      </c>
      <c r="T29" s="1574" t="s">
        <v>8</v>
      </c>
      <c r="U29" s="1575">
        <f t="shared" si="13"/>
        <v>100</v>
      </c>
      <c r="V29" s="1574" t="s">
        <v>8</v>
      </c>
      <c r="W29" s="1575">
        <f t="shared" si="14"/>
        <v>100</v>
      </c>
      <c r="X29" s="1568"/>
      <c r="Y29" s="3399"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9"/>
      <c r="Q34" s="1151" t="str">
        <f t="shared" si="11"/>
        <v>物业管理</v>
      </c>
      <c r="R34" s="1569" t="s">
        <v>8</v>
      </c>
      <c r="S34" s="1570">
        <f t="shared" si="12"/>
        <v>100</v>
      </c>
      <c r="T34" s="1569" t="s">
        <v>8</v>
      </c>
      <c r="U34" s="1570">
        <f t="shared" si="13"/>
        <v>100</v>
      </c>
      <c r="V34" s="1569" t="s">
        <v>8</v>
      </c>
      <c r="W34" s="1570">
        <f t="shared" si="14"/>
        <v>100</v>
      </c>
      <c r="X34" s="1571"/>
      <c r="Y34" s="3399"/>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9" t="s">
        <v>549</v>
      </c>
      <c r="Q35" s="1573" t="str">
        <f t="shared" si="11"/>
        <v>市政基础设施</v>
      </c>
      <c r="R35" s="1574" t="s">
        <v>8</v>
      </c>
      <c r="S35" s="1575">
        <f t="shared" si="12"/>
        <v>100</v>
      </c>
      <c r="T35" s="1574" t="s">
        <v>8</v>
      </c>
      <c r="U35" s="1575">
        <f t="shared" si="13"/>
        <v>100</v>
      </c>
      <c r="V35" s="1574" t="s">
        <v>8</v>
      </c>
      <c r="W35" s="1575">
        <f t="shared" si="14"/>
        <v>100</v>
      </c>
      <c r="X35" s="1568"/>
      <c r="Y35" s="3399"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4.4">
      <c r="A41" s="607" t="s">
        <v>735</v>
      </c>
      <c r="B41" s="887"/>
      <c r="C41" s="2627" t="s">
        <v>1</v>
      </c>
      <c r="D41" s="2628"/>
      <c r="E41" s="2629"/>
      <c r="F41" s="2630"/>
      <c r="G41" s="2631"/>
      <c r="H41" s="2632"/>
      <c r="I41" s="2629"/>
      <c r="J41" s="2632"/>
      <c r="K41" s="1612"/>
      <c r="L41" s="2144"/>
      <c r="M41" s="2145"/>
      <c r="N41" s="2134"/>
      <c r="O41" s="2145"/>
      <c r="P41" s="3394" t="str">
        <f>A41</f>
        <v>成交单价（元/平方米）</v>
      </c>
      <c r="Q41" s="3394"/>
      <c r="R41" s="3496">
        <f>E41</f>
        <v>0</v>
      </c>
      <c r="S41" s="3496"/>
      <c r="T41" s="3496">
        <f>G41</f>
        <v>0</v>
      </c>
      <c r="U41" s="3496"/>
      <c r="V41" s="3496">
        <f>I41</f>
        <v>0</v>
      </c>
      <c r="W41" s="3496"/>
      <c r="X41" s="1560"/>
      <c r="Y41" s="1582"/>
      <c r="Z41" s="1560"/>
      <c r="AA41" s="1560"/>
      <c r="AB41" s="1560"/>
      <c r="AC41" s="1560"/>
    </row>
    <row r="42" spans="1:29" ht="15" thickBot="1">
      <c r="A42" s="615" t="s">
        <v>2761</v>
      </c>
      <c r="B42" s="888"/>
      <c r="C42" s="2633" t="e">
        <f>R43</f>
        <v>#DIV/0!</v>
      </c>
      <c r="D42" s="2634"/>
      <c r="E42" s="2635" t="e">
        <f>R42</f>
        <v>#DIV/0!</v>
      </c>
      <c r="F42" s="2635"/>
      <c r="G42" s="2633" t="e">
        <f>T42</f>
        <v>#DIV/0!</v>
      </c>
      <c r="H42" s="2634"/>
      <c r="I42" s="2635" t="e">
        <f>V42</f>
        <v>#DIV/0!</v>
      </c>
      <c r="J42" s="2634"/>
      <c r="K42" s="1613"/>
      <c r="L42" s="2144"/>
      <c r="M42" s="2145"/>
      <c r="N42" s="2134"/>
      <c r="O42" s="2145"/>
      <c r="P42" s="3394" t="str">
        <f>A42</f>
        <v>比较价格（元/平方米）</v>
      </c>
      <c r="Q42" s="3394"/>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 thickBot="1">
      <c r="A43" s="621" t="s">
        <v>2933</v>
      </c>
      <c r="B43" s="622"/>
      <c r="C43" s="2636" t="e">
        <f>R43</f>
        <v>#DIV/0!</v>
      </c>
      <c r="D43" s="2636"/>
      <c r="E43" s="2636"/>
      <c r="F43" s="2636"/>
      <c r="G43" s="2636"/>
      <c r="H43" s="2636"/>
      <c r="I43" s="2636"/>
      <c r="J43" s="2636"/>
      <c r="K43" s="1614"/>
      <c r="L43" s="2144"/>
      <c r="M43" s="2145"/>
      <c r="N43" s="2145"/>
      <c r="O43" s="2145"/>
      <c r="P43" s="3415" t="str">
        <f>A43</f>
        <v>估价对象XX用房的比较价格（楼面单价，元/平方米）</v>
      </c>
      <c r="Q43" s="3416"/>
      <c r="R43" s="3495" t="e">
        <f>IF(F1="售价",ROUND(AVERAGE(R42:V42),0),ROUND(AVERAGE(R42:V42),1))</f>
        <v>#DIV/0!</v>
      </c>
      <c r="S43" s="3495"/>
      <c r="T43" s="3495"/>
      <c r="U43" s="3495"/>
      <c r="V43" s="3495"/>
      <c r="W43" s="3495"/>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5" t="s">
        <v>573</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2019-11</v>
      </c>
      <c r="D52" s="2804">
        <f>EDATE(C52,-1)</f>
        <v>43739</v>
      </c>
      <c r="E52" s="2804">
        <f t="shared" ref="E52:O52" si="16">EDATE(D52,-1)</f>
        <v>43709</v>
      </c>
      <c r="F52" s="2804">
        <f t="shared" si="16"/>
        <v>43678</v>
      </c>
      <c r="G52" s="2804">
        <f t="shared" si="16"/>
        <v>43647</v>
      </c>
      <c r="H52" s="2804">
        <f t="shared" si="16"/>
        <v>43617</v>
      </c>
      <c r="I52" s="2804">
        <f t="shared" si="16"/>
        <v>43586</v>
      </c>
      <c r="J52" s="2804">
        <f t="shared" si="16"/>
        <v>43556</v>
      </c>
      <c r="K52" s="2804">
        <f t="shared" si="16"/>
        <v>43525</v>
      </c>
      <c r="L52" s="2804">
        <f t="shared" si="16"/>
        <v>43497</v>
      </c>
      <c r="M52" s="2804">
        <f t="shared" si="16"/>
        <v>43466</v>
      </c>
      <c r="N52" s="2804">
        <f t="shared" si="16"/>
        <v>43435</v>
      </c>
      <c r="O52" s="2804">
        <f t="shared" si="16"/>
        <v>43405</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8"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2559</v>
      </c>
      <c r="C76" s="2598" t="s">
        <v>2560</v>
      </c>
      <c r="D76" s="2598" t="s">
        <v>2561</v>
      </c>
      <c r="E76" s="2598" t="s">
        <v>2562</v>
      </c>
      <c r="F76" s="2598" t="s">
        <v>2563</v>
      </c>
      <c r="G76" s="2598"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796</v>
      </c>
      <c r="B4" s="513"/>
      <c r="C4" s="3400" t="s">
        <v>797</v>
      </c>
      <c r="D4" s="3401"/>
      <c r="E4" s="3400" t="s">
        <v>798</v>
      </c>
      <c r="F4" s="3401"/>
      <c r="G4" s="3400" t="s">
        <v>799</v>
      </c>
      <c r="H4" s="3401"/>
      <c r="I4" s="3400" t="s">
        <v>800</v>
      </c>
      <c r="J4" s="3401"/>
      <c r="K4" s="514" t="s">
        <v>801</v>
      </c>
      <c r="L4" s="2133"/>
      <c r="M4" s="2134"/>
      <c r="N4" s="2134"/>
      <c r="O4" s="2134"/>
      <c r="P4" s="3402" t="s">
        <v>802</v>
      </c>
      <c r="Q4" s="3403"/>
      <c r="R4" s="3388" t="s">
        <v>798</v>
      </c>
      <c r="S4" s="3389"/>
      <c r="T4" s="3388" t="s">
        <v>799</v>
      </c>
      <c r="U4" s="3389"/>
      <c r="V4" s="3408" t="s">
        <v>800</v>
      </c>
      <c r="W4" s="3408"/>
      <c r="X4" s="1568"/>
      <c r="Y4" s="3388" t="s">
        <v>802</v>
      </c>
      <c r="Z4" s="3389"/>
      <c r="AA4" s="3383" t="s">
        <v>798</v>
      </c>
      <c r="AB4" s="3384" t="s">
        <v>799</v>
      </c>
      <c r="AC4" s="3383" t="s">
        <v>800</v>
      </c>
    </row>
    <row r="5" spans="1:29">
      <c r="A5" s="515"/>
      <c r="B5" s="516"/>
      <c r="C5" s="3428" t="s">
        <v>2927</v>
      </c>
      <c r="D5" s="3412"/>
      <c r="E5" s="3428" t="s">
        <v>2928</v>
      </c>
      <c r="F5" s="3412"/>
      <c r="G5" s="3428" t="s">
        <v>2929</v>
      </c>
      <c r="H5" s="3412"/>
      <c r="I5" s="3428" t="s">
        <v>2930</v>
      </c>
      <c r="J5" s="3412"/>
      <c r="K5" s="514"/>
      <c r="L5" s="2133"/>
      <c r="M5" s="2134"/>
      <c r="N5" s="2134"/>
      <c r="O5" s="2134"/>
      <c r="P5" s="3404"/>
      <c r="Q5" s="3405"/>
      <c r="R5" s="3390"/>
      <c r="S5" s="3391"/>
      <c r="T5" s="3390"/>
      <c r="U5" s="3391"/>
      <c r="V5" s="3408"/>
      <c r="W5" s="3408"/>
      <c r="X5" s="1568"/>
      <c r="Y5" s="3390"/>
      <c r="Z5" s="3391"/>
      <c r="AA5" s="3384"/>
      <c r="AB5" s="3384"/>
      <c r="AC5" s="3384"/>
    </row>
    <row r="6" spans="1:29" ht="15" thickBot="1">
      <c r="A6" s="517"/>
      <c r="B6" s="518"/>
      <c r="C6" s="3409" t="s">
        <v>2931</v>
      </c>
      <c r="D6" s="3410"/>
      <c r="E6" s="3413" t="s">
        <v>2931</v>
      </c>
      <c r="F6" s="3414"/>
      <c r="G6" s="3409" t="s">
        <v>2931</v>
      </c>
      <c r="H6" s="3410"/>
      <c r="I6" s="3409" t="s">
        <v>2931</v>
      </c>
      <c r="J6" s="3410"/>
      <c r="K6" s="514" t="s">
        <v>527</v>
      </c>
      <c r="L6" s="2133"/>
      <c r="M6" s="2134"/>
      <c r="N6" s="2134"/>
      <c r="O6" s="2134"/>
      <c r="P6" s="3406"/>
      <c r="Q6" s="3407"/>
      <c r="R6" s="3390"/>
      <c r="S6" s="3391"/>
      <c r="T6" s="3392"/>
      <c r="U6" s="3393"/>
      <c r="V6" s="3408"/>
      <c r="W6" s="3408"/>
      <c r="X6" s="1568"/>
      <c r="Y6" s="3392"/>
      <c r="Z6" s="3393"/>
      <c r="AA6" s="3385"/>
      <c r="AB6" s="3385"/>
      <c r="AC6" s="3385"/>
    </row>
    <row r="7" spans="1:29" s="1220" customFormat="1" ht="15" thickBot="1">
      <c r="A7" s="2912"/>
      <c r="B7" s="2919" t="s">
        <v>528</v>
      </c>
      <c r="C7" s="519">
        <f>'数据-取费表'!B2</f>
        <v>43780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6" t="s">
        <v>529</v>
      </c>
      <c r="Q7" s="3395"/>
      <c r="R7" s="1569" t="s">
        <v>8</v>
      </c>
      <c r="S7" s="1570">
        <f t="shared" ref="S7:S14" si="0">F7</f>
        <v>0</v>
      </c>
      <c r="T7" s="1569" t="s">
        <v>8</v>
      </c>
      <c r="U7" s="1570">
        <f t="shared" ref="U7:U14" si="1">H7</f>
        <v>0</v>
      </c>
      <c r="V7" s="1569" t="s">
        <v>8</v>
      </c>
      <c r="W7" s="1570">
        <f t="shared" ref="W7:W14" si="2">J7</f>
        <v>0</v>
      </c>
      <c r="X7" s="1571"/>
      <c r="Y7" s="3386" t="s">
        <v>529</v>
      </c>
      <c r="Z7" s="3387"/>
      <c r="AA7" s="1572" t="e">
        <f>D7/F7</f>
        <v>#DIV/0!</v>
      </c>
      <c r="AB7" s="1572" t="e">
        <f>D7/H7</f>
        <v>#DIV/0!</v>
      </c>
      <c r="AC7" s="1572"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6" t="s">
        <v>532</v>
      </c>
      <c r="Q8" s="3387"/>
      <c r="R8" s="1569" t="s">
        <v>8</v>
      </c>
      <c r="S8" s="1570">
        <f t="shared" si="0"/>
        <v>0</v>
      </c>
      <c r="T8" s="1569" t="s">
        <v>8</v>
      </c>
      <c r="U8" s="1570">
        <f t="shared" si="1"/>
        <v>0</v>
      </c>
      <c r="V8" s="1569" t="s">
        <v>8</v>
      </c>
      <c r="W8" s="1570">
        <f t="shared" si="2"/>
        <v>0</v>
      </c>
      <c r="X8" s="1571"/>
      <c r="Y8" s="3386" t="s">
        <v>532</v>
      </c>
      <c r="Z8" s="3387"/>
      <c r="AA8" s="1572" t="e">
        <f t="shared" ref="AA8:AA36" si="3">D8/F8</f>
        <v>#DIV/0!</v>
      </c>
      <c r="AB8" s="1572" t="e">
        <f t="shared" ref="AB8:AB36" si="4">D8/H8</f>
        <v>#DIV/0!</v>
      </c>
      <c r="AC8" s="1572" t="e">
        <f t="shared" ref="AC8:AC36" si="5">D8/J8</f>
        <v>#DIV/0!</v>
      </c>
    </row>
    <row r="9" spans="1:29" s="1220" customFormat="1" ht="14.4">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94" t="s">
        <v>534</v>
      </c>
      <c r="Q9" s="1151" t="str">
        <f t="shared" ref="Q9:Q14" si="6">B9</f>
        <v>用途</v>
      </c>
      <c r="R9" s="1569" t="s">
        <v>8</v>
      </c>
      <c r="S9" s="1570">
        <f t="shared" si="0"/>
        <v>100</v>
      </c>
      <c r="T9" s="1569" t="s">
        <v>8</v>
      </c>
      <c r="U9" s="1570">
        <f t="shared" si="1"/>
        <v>100</v>
      </c>
      <c r="V9" s="1569" t="s">
        <v>8</v>
      </c>
      <c r="W9" s="1570">
        <f t="shared" si="2"/>
        <v>100</v>
      </c>
      <c r="X9" s="1571"/>
      <c r="Y9" s="3351" t="s">
        <v>535</v>
      </c>
      <c r="Z9" s="1150" t="str">
        <f t="shared" ref="Z9:Z14" si="7">Q9</f>
        <v>用途</v>
      </c>
      <c r="AA9" s="1572">
        <f t="shared" si="3"/>
        <v>1</v>
      </c>
      <c r="AB9" s="1572">
        <f t="shared" si="4"/>
        <v>1</v>
      </c>
      <c r="AC9" s="1572">
        <f t="shared" si="5"/>
        <v>1</v>
      </c>
    </row>
    <row r="10" spans="1:29" s="1338" customFormat="1" ht="28.8">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94"/>
      <c r="Q10" s="1151" t="str">
        <f t="shared" si="6"/>
        <v>土地使用年限（年）</v>
      </c>
      <c r="R10" s="1569" t="s">
        <v>8</v>
      </c>
      <c r="S10" s="1570">
        <f t="shared" si="0"/>
        <v>100</v>
      </c>
      <c r="T10" s="1569" t="s">
        <v>8</v>
      </c>
      <c r="U10" s="1570">
        <f t="shared" si="1"/>
        <v>100</v>
      </c>
      <c r="V10" s="1569" t="s">
        <v>8</v>
      </c>
      <c r="W10" s="1570">
        <f t="shared" si="2"/>
        <v>100</v>
      </c>
      <c r="X10" s="1571"/>
      <c r="Y10" s="3351"/>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4"/>
      <c r="Q11" s="1151">
        <f t="shared" si="6"/>
        <v>111</v>
      </c>
      <c r="R11" s="1569" t="s">
        <v>8</v>
      </c>
      <c r="S11" s="1570">
        <f t="shared" si="0"/>
        <v>100</v>
      </c>
      <c r="T11" s="1569" t="s">
        <v>8</v>
      </c>
      <c r="U11" s="1570">
        <f t="shared" si="1"/>
        <v>100</v>
      </c>
      <c r="V11" s="1569" t="s">
        <v>8</v>
      </c>
      <c r="W11" s="1570">
        <f t="shared" si="2"/>
        <v>100</v>
      </c>
      <c r="X11" s="1571"/>
      <c r="Y11" s="3351"/>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4"/>
      <c r="Q12" s="1151">
        <f t="shared" si="6"/>
        <v>111</v>
      </c>
      <c r="R12" s="1569" t="s">
        <v>8</v>
      </c>
      <c r="S12" s="1570">
        <f t="shared" si="0"/>
        <v>100</v>
      </c>
      <c r="T12" s="1569" t="s">
        <v>8</v>
      </c>
      <c r="U12" s="1570">
        <f t="shared" si="1"/>
        <v>100</v>
      </c>
      <c r="V12" s="1569" t="s">
        <v>8</v>
      </c>
      <c r="W12" s="1570">
        <f t="shared" si="2"/>
        <v>100</v>
      </c>
      <c r="X12" s="1571"/>
      <c r="Y12" s="3351"/>
      <c r="Z12" s="1150">
        <f t="shared" si="7"/>
        <v>111</v>
      </c>
      <c r="AA12" s="1572">
        <f>D12/F12</f>
        <v>1</v>
      </c>
      <c r="AB12" s="1572">
        <f>D12/H12</f>
        <v>1</v>
      </c>
      <c r="AC12" s="1572">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4"/>
      <c r="Q13" s="1151">
        <f t="shared" si="6"/>
        <v>111</v>
      </c>
      <c r="R13" s="1569" t="s">
        <v>8</v>
      </c>
      <c r="S13" s="1570">
        <f t="shared" si="0"/>
        <v>100</v>
      </c>
      <c r="T13" s="1569" t="s">
        <v>8</v>
      </c>
      <c r="U13" s="1570">
        <f t="shared" si="1"/>
        <v>100</v>
      </c>
      <c r="V13" s="1569" t="s">
        <v>8</v>
      </c>
      <c r="W13" s="1570">
        <f t="shared" si="2"/>
        <v>100</v>
      </c>
      <c r="X13" s="1571"/>
      <c r="Y13" s="3351"/>
      <c r="Z13" s="1150">
        <f t="shared" si="7"/>
        <v>111</v>
      </c>
      <c r="AA13" s="1572">
        <f t="shared" si="3"/>
        <v>1</v>
      </c>
      <c r="AB13" s="1572">
        <f t="shared" si="4"/>
        <v>1</v>
      </c>
      <c r="AC13" s="1572">
        <f t="shared" si="5"/>
        <v>1</v>
      </c>
    </row>
    <row r="14" spans="1:29" ht="96.6">
      <c r="A14" s="2910" t="s">
        <v>2755</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6" t="s">
        <v>539</v>
      </c>
      <c r="Q14" s="1573" t="str">
        <f t="shared" si="6"/>
        <v>交通便捷度</v>
      </c>
      <c r="R14" s="1574" t="s">
        <v>8</v>
      </c>
      <c r="S14" s="1575">
        <f t="shared" si="0"/>
        <v>100</v>
      </c>
      <c r="T14" s="1574" t="s">
        <v>8</v>
      </c>
      <c r="U14" s="1575">
        <f t="shared" si="1"/>
        <v>100</v>
      </c>
      <c r="V14" s="1574" t="s">
        <v>8</v>
      </c>
      <c r="W14" s="1575">
        <f t="shared" si="2"/>
        <v>100</v>
      </c>
      <c r="X14" s="1568"/>
      <c r="Y14" s="3396"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97"/>
      <c r="Q15" s="1573"/>
      <c r="R15" s="1574"/>
      <c r="S15" s="1575"/>
      <c r="T15" s="1574"/>
      <c r="U15" s="1575"/>
      <c r="V15" s="1574"/>
      <c r="W15" s="1575"/>
      <c r="X15" s="1568"/>
      <c r="Y15" s="3397"/>
      <c r="Z15" s="1576"/>
      <c r="AA15" s="1577">
        <v>1</v>
      </c>
      <c r="AB15" s="1577">
        <v>1</v>
      </c>
      <c r="AC15" s="1577">
        <v>1</v>
      </c>
    </row>
    <row r="16" spans="1:29" ht="41.4">
      <c r="A16" s="515"/>
      <c r="B16" s="260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97"/>
      <c r="Q17" s="1573"/>
      <c r="R17" s="1574"/>
      <c r="S17" s="1575"/>
      <c r="T17" s="1574"/>
      <c r="U17" s="1575"/>
      <c r="V17" s="1574"/>
      <c r="W17" s="1575"/>
      <c r="X17" s="1568"/>
      <c r="Y17" s="3397"/>
      <c r="Z17" s="1576"/>
      <c r="AA17" s="1577">
        <v>1</v>
      </c>
      <c r="AB17" s="1577">
        <v>1</v>
      </c>
      <c r="AC17" s="1577">
        <v>1</v>
      </c>
    </row>
    <row r="18" spans="1:29" ht="41.4">
      <c r="A18" s="515"/>
      <c r="B18" s="259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7"/>
      <c r="Q18" s="2579" t="str">
        <f>B18</f>
        <v>基础设施水平</v>
      </c>
      <c r="R18" s="1574" t="s">
        <v>8</v>
      </c>
      <c r="S18" s="1575">
        <f>F18</f>
        <v>100</v>
      </c>
      <c r="T18" s="1574" t="s">
        <v>8</v>
      </c>
      <c r="U18" s="1575">
        <f>H18</f>
        <v>100</v>
      </c>
      <c r="V18" s="1574" t="s">
        <v>8</v>
      </c>
      <c r="W18" s="1575">
        <f>J18</f>
        <v>100</v>
      </c>
      <c r="X18" s="2581"/>
      <c r="Y18" s="3397"/>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397"/>
      <c r="Q19" s="2579"/>
      <c r="R19" s="1574"/>
      <c r="S19" s="1575"/>
      <c r="T19" s="1574"/>
      <c r="U19" s="1575"/>
      <c r="V19" s="1574"/>
      <c r="W19" s="1575"/>
      <c r="X19" s="2581"/>
      <c r="Y19" s="3397"/>
      <c r="Z19" s="2580"/>
      <c r="AA19" s="1577">
        <v>1</v>
      </c>
      <c r="AB19" s="1577">
        <v>1</v>
      </c>
      <c r="AC19" s="1577">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97"/>
      <c r="Q21" s="1573"/>
      <c r="R21" s="1574"/>
      <c r="S21" s="1575"/>
      <c r="T21" s="1574"/>
      <c r="U21" s="1575"/>
      <c r="V21" s="1574"/>
      <c r="W21" s="1575"/>
      <c r="X21" s="1568"/>
      <c r="Y21" s="3397"/>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7"/>
      <c r="Q24" s="1573">
        <f t="shared" ref="Q24:Q36"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07" t="s">
        <v>2756</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8"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9"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9"/>
      <c r="Q29" s="1573" t="str">
        <f t="shared" si="11"/>
        <v>成新率</v>
      </c>
      <c r="R29" s="1574" t="s">
        <v>8</v>
      </c>
      <c r="S29" s="1575" t="e">
        <f t="shared" si="12"/>
        <v>#N/A</v>
      </c>
      <c r="T29" s="1574" t="s">
        <v>8</v>
      </c>
      <c r="U29" s="1575" t="e">
        <f t="shared" si="13"/>
        <v>#N/A</v>
      </c>
      <c r="V29" s="1574" t="s">
        <v>8</v>
      </c>
      <c r="W29" s="1575" t="e">
        <f t="shared" si="14"/>
        <v>#N/A</v>
      </c>
      <c r="X29" s="1568"/>
      <c r="Y29" s="3399"/>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9"/>
      <c r="Q31" s="1151" t="str">
        <f t="shared" si="11"/>
        <v>停车位面积</v>
      </c>
      <c r="R31" s="1569" t="s">
        <v>8</v>
      </c>
      <c r="S31" s="1570" t="e">
        <f t="shared" si="12"/>
        <v>#N/A</v>
      </c>
      <c r="T31" s="1569" t="s">
        <v>8</v>
      </c>
      <c r="U31" s="1570" t="e">
        <f t="shared" si="13"/>
        <v>#N/A</v>
      </c>
      <c r="V31" s="1569" t="s">
        <v>8</v>
      </c>
      <c r="W31" s="1570" t="e">
        <f t="shared" si="14"/>
        <v>#N/A</v>
      </c>
      <c r="X31" s="1571"/>
      <c r="Y31" s="3399"/>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9" t="s">
        <v>549</v>
      </c>
      <c r="Q32" s="1573" t="str">
        <f t="shared" si="11"/>
        <v>车位类型</v>
      </c>
      <c r="R32" s="1574" t="s">
        <v>8</v>
      </c>
      <c r="S32" s="1575">
        <f t="shared" si="12"/>
        <v>100</v>
      </c>
      <c r="T32" s="1574" t="s">
        <v>8</v>
      </c>
      <c r="U32" s="1575">
        <f t="shared" si="13"/>
        <v>100</v>
      </c>
      <c r="V32" s="1574" t="s">
        <v>8</v>
      </c>
      <c r="W32" s="1575">
        <f t="shared" si="14"/>
        <v>100</v>
      </c>
      <c r="X32" s="1568"/>
      <c r="Y32" s="3399"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9"/>
      <c r="Q35" s="1606">
        <f t="shared" si="11"/>
        <v>111</v>
      </c>
      <c r="R35" s="1578" t="s">
        <v>8</v>
      </c>
      <c r="S35" s="1579">
        <f t="shared" si="12"/>
        <v>100</v>
      </c>
      <c r="T35" s="1578" t="s">
        <v>8</v>
      </c>
      <c r="U35" s="1579">
        <f t="shared" si="13"/>
        <v>100</v>
      </c>
      <c r="V35" s="1578" t="s">
        <v>8</v>
      </c>
      <c r="W35" s="1579">
        <f t="shared" si="14"/>
        <v>100</v>
      </c>
      <c r="X35" s="1580"/>
      <c r="Y35" s="3399"/>
      <c r="Z35" s="1581">
        <f t="shared" si="15"/>
        <v>111</v>
      </c>
      <c r="AA35" s="1577">
        <f t="shared" si="3"/>
        <v>1</v>
      </c>
      <c r="AB35" s="1577">
        <f t="shared" si="4"/>
        <v>1</v>
      </c>
      <c r="AC35" s="1577">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9"/>
      <c r="Q36" s="1573">
        <f t="shared" si="11"/>
        <v>111</v>
      </c>
      <c r="R36" s="1574" t="s">
        <v>8</v>
      </c>
      <c r="S36" s="1575">
        <f t="shared" si="12"/>
        <v>100</v>
      </c>
      <c r="T36" s="1574" t="s">
        <v>8</v>
      </c>
      <c r="U36" s="1575">
        <f t="shared" si="13"/>
        <v>100</v>
      </c>
      <c r="V36" s="1574" t="s">
        <v>8</v>
      </c>
      <c r="W36" s="1575">
        <f t="shared" si="14"/>
        <v>100</v>
      </c>
      <c r="X36" s="1568"/>
      <c r="Y36" s="3399"/>
      <c r="Z36" s="1576">
        <f t="shared" si="15"/>
        <v>111</v>
      </c>
      <c r="AA36" s="1577">
        <f t="shared" si="3"/>
        <v>1</v>
      </c>
      <c r="AB36" s="1577">
        <f t="shared" si="4"/>
        <v>1</v>
      </c>
      <c r="AC36" s="1577">
        <f t="shared" si="5"/>
        <v>1</v>
      </c>
    </row>
    <row r="37" spans="1:29" ht="14.4">
      <c r="A37" s="1848" t="s">
        <v>2078</v>
      </c>
      <c r="B37" s="1849" t="s">
        <v>2079</v>
      </c>
      <c r="C37" s="2627" t="s">
        <v>1</v>
      </c>
      <c r="D37" s="2628"/>
      <c r="E37" s="2629"/>
      <c r="F37" s="2630"/>
      <c r="G37" s="2631"/>
      <c r="H37" s="2632"/>
      <c r="I37" s="2629"/>
      <c r="J37" s="2632"/>
      <c r="K37" s="1612"/>
      <c r="L37" s="2144"/>
      <c r="M37" s="2145"/>
      <c r="N37" s="2134"/>
      <c r="O37" s="2145"/>
      <c r="P37" s="3394" t="str">
        <f>A37</f>
        <v>成交单价</v>
      </c>
      <c r="Q37" s="3394"/>
      <c r="R37" s="3496">
        <f>E37</f>
        <v>0</v>
      </c>
      <c r="S37" s="3496"/>
      <c r="T37" s="3496">
        <f>G37</f>
        <v>0</v>
      </c>
      <c r="U37" s="3496"/>
      <c r="V37" s="3496">
        <f>I37</f>
        <v>0</v>
      </c>
      <c r="W37" s="3496"/>
      <c r="X37" s="1560"/>
      <c r="Y37" s="1582"/>
      <c r="Z37" s="1560"/>
      <c r="AA37" s="1560"/>
      <c r="AB37" s="1560"/>
      <c r="AC37" s="1560"/>
    </row>
    <row r="38" spans="1:29" ht="15" thickBot="1">
      <c r="A38" s="615" t="s">
        <v>2761</v>
      </c>
      <c r="B38" s="888"/>
      <c r="C38" s="2633" t="e">
        <f>R39</f>
        <v>#DIV/0!</v>
      </c>
      <c r="D38" s="2634"/>
      <c r="E38" s="2635" t="e">
        <f>R38</f>
        <v>#DIV/0!</v>
      </c>
      <c r="F38" s="2635"/>
      <c r="G38" s="2633" t="e">
        <f>T38</f>
        <v>#DIV/0!</v>
      </c>
      <c r="H38" s="2634"/>
      <c r="I38" s="2635" t="e">
        <f>V38</f>
        <v>#DIV/0!</v>
      </c>
      <c r="J38" s="2634"/>
      <c r="K38" s="1613"/>
      <c r="L38" s="2144"/>
      <c r="M38" s="2145"/>
      <c r="N38" s="2145"/>
      <c r="O38" s="2145"/>
      <c r="P38" s="3394" t="str">
        <f>A38</f>
        <v>比较价格（元/平方米）</v>
      </c>
      <c r="Q38" s="3394"/>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 thickBot="1">
      <c r="A39" s="621" t="s">
        <v>2933</v>
      </c>
      <c r="B39" s="622"/>
      <c r="C39" s="2636" t="e">
        <f>R39</f>
        <v>#DIV/0!</v>
      </c>
      <c r="D39" s="2636"/>
      <c r="E39" s="2636"/>
      <c r="F39" s="2636"/>
      <c r="G39" s="2636"/>
      <c r="H39" s="2636"/>
      <c r="I39" s="2636"/>
      <c r="J39" s="2636"/>
      <c r="K39" s="1614"/>
      <c r="L39" s="2144"/>
      <c r="M39" s="2145"/>
      <c r="N39" s="2145"/>
      <c r="O39" s="2145"/>
      <c r="P39" s="3415" t="str">
        <f>A39</f>
        <v>估价对象XX用房的比较价格（楼面单价，元/平方米）</v>
      </c>
      <c r="Q39" s="3416"/>
      <c r="R39" s="3495" t="e">
        <f>IF(F1="售价",ROUND(AVERAGE(R38:V38),0),ROUND(AVERAGE(R38:V38),1))</f>
        <v>#DIV/0!</v>
      </c>
      <c r="S39" s="3495"/>
      <c r="T39" s="3495"/>
      <c r="U39" s="3495"/>
      <c r="V39" s="3495"/>
      <c r="W39" s="3495"/>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5" t="s">
        <v>573</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2019-11</v>
      </c>
      <c r="D48" s="2804">
        <f>EDATE(C48,-1)</f>
        <v>43739</v>
      </c>
      <c r="E48" s="2804">
        <f t="shared" ref="E48:O48" si="16">EDATE(D48,-1)</f>
        <v>43709</v>
      </c>
      <c r="F48" s="2804">
        <f t="shared" si="16"/>
        <v>43678</v>
      </c>
      <c r="G48" s="2804">
        <f t="shared" si="16"/>
        <v>43647</v>
      </c>
      <c r="H48" s="2804">
        <f t="shared" si="16"/>
        <v>43617</v>
      </c>
      <c r="I48" s="2804">
        <f t="shared" si="16"/>
        <v>43586</v>
      </c>
      <c r="J48" s="2804">
        <f t="shared" si="16"/>
        <v>43556</v>
      </c>
      <c r="K48" s="2804">
        <f t="shared" si="16"/>
        <v>43525</v>
      </c>
      <c r="L48" s="2804">
        <f t="shared" si="16"/>
        <v>43497</v>
      </c>
      <c r="M48" s="2804">
        <f t="shared" si="16"/>
        <v>43466</v>
      </c>
      <c r="N48" s="2804">
        <f t="shared" si="16"/>
        <v>43435</v>
      </c>
      <c r="O48" s="2804">
        <f t="shared" si="16"/>
        <v>43405</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8"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2559</v>
      </c>
      <c r="C67" s="2598" t="s">
        <v>2560</v>
      </c>
      <c r="D67" s="2598" t="s">
        <v>2561</v>
      </c>
      <c r="E67" s="2598" t="s">
        <v>2562</v>
      </c>
      <c r="F67" s="2598" t="s">
        <v>2563</v>
      </c>
      <c r="G67" s="2598" t="s">
        <v>2564</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796</v>
      </c>
      <c r="B4" s="513"/>
      <c r="C4" s="3400" t="s">
        <v>797</v>
      </c>
      <c r="D4" s="3401"/>
      <c r="E4" s="3424" t="s">
        <v>798</v>
      </c>
      <c r="F4" s="3425"/>
      <c r="G4" s="3400" t="s">
        <v>799</v>
      </c>
      <c r="H4" s="3401"/>
      <c r="I4" s="3400" t="s">
        <v>800</v>
      </c>
      <c r="J4" s="3401"/>
      <c r="K4" s="514" t="s">
        <v>801</v>
      </c>
      <c r="L4" s="2133"/>
      <c r="M4" s="2134"/>
      <c r="N4" s="2134"/>
      <c r="O4" s="2134"/>
      <c r="P4" s="3402" t="s">
        <v>802</v>
      </c>
      <c r="Q4" s="3403"/>
      <c r="R4" s="3388" t="s">
        <v>798</v>
      </c>
      <c r="S4" s="3389"/>
      <c r="T4" s="3388" t="s">
        <v>799</v>
      </c>
      <c r="U4" s="3389"/>
      <c r="V4" s="3408" t="s">
        <v>800</v>
      </c>
      <c r="W4" s="3408"/>
      <c r="X4" s="1568"/>
      <c r="Y4" s="3388" t="s">
        <v>802</v>
      </c>
      <c r="Z4" s="3389"/>
      <c r="AA4" s="3383" t="s">
        <v>798</v>
      </c>
      <c r="AB4" s="3384" t="s">
        <v>799</v>
      </c>
      <c r="AC4" s="3383" t="s">
        <v>800</v>
      </c>
    </row>
    <row r="5" spans="1:29">
      <c r="A5" s="515"/>
      <c r="B5" s="516"/>
      <c r="C5" s="3428" t="s">
        <v>2927</v>
      </c>
      <c r="D5" s="3412"/>
      <c r="E5" s="3426" t="s">
        <v>2928</v>
      </c>
      <c r="F5" s="3427"/>
      <c r="G5" s="3428" t="s">
        <v>2929</v>
      </c>
      <c r="H5" s="3412"/>
      <c r="I5" s="3428" t="s">
        <v>2930</v>
      </c>
      <c r="J5" s="3412"/>
      <c r="K5" s="514"/>
      <c r="L5" s="2133"/>
      <c r="M5" s="2134"/>
      <c r="N5" s="2134"/>
      <c r="O5" s="2134"/>
      <c r="P5" s="3404"/>
      <c r="Q5" s="3405"/>
      <c r="R5" s="3390"/>
      <c r="S5" s="3391"/>
      <c r="T5" s="3390"/>
      <c r="U5" s="3391"/>
      <c r="V5" s="3408"/>
      <c r="W5" s="3408"/>
      <c r="X5" s="1568"/>
      <c r="Y5" s="3390"/>
      <c r="Z5" s="3391"/>
      <c r="AA5" s="3384"/>
      <c r="AB5" s="3384"/>
      <c r="AC5" s="3384"/>
    </row>
    <row r="6" spans="1:29" ht="15" thickBot="1">
      <c r="A6" s="517"/>
      <c r="B6" s="518"/>
      <c r="C6" s="3409" t="s">
        <v>2931</v>
      </c>
      <c r="D6" s="3410"/>
      <c r="E6" s="3429" t="s">
        <v>2931</v>
      </c>
      <c r="F6" s="3430"/>
      <c r="G6" s="3409" t="s">
        <v>2931</v>
      </c>
      <c r="H6" s="3410"/>
      <c r="I6" s="3409" t="s">
        <v>2931</v>
      </c>
      <c r="J6" s="3410"/>
      <c r="K6" s="514" t="s">
        <v>527</v>
      </c>
      <c r="L6" s="2133"/>
      <c r="M6" s="2134"/>
      <c r="N6" s="2134"/>
      <c r="O6" s="2134"/>
      <c r="P6" s="3406"/>
      <c r="Q6" s="3407"/>
      <c r="R6" s="3390"/>
      <c r="S6" s="3391"/>
      <c r="T6" s="3392"/>
      <c r="U6" s="3393"/>
      <c r="V6" s="3408"/>
      <c r="W6" s="3408"/>
      <c r="X6" s="1568"/>
      <c r="Y6" s="3392"/>
      <c r="Z6" s="3393"/>
      <c r="AA6" s="3385"/>
      <c r="AB6" s="3385"/>
      <c r="AC6" s="3385"/>
    </row>
    <row r="7" spans="1:29" s="1220" customFormat="1" ht="15" thickBot="1">
      <c r="A7" s="2912"/>
      <c r="B7" s="2919" t="s">
        <v>528</v>
      </c>
      <c r="C7" s="519">
        <f>'数据-取费表'!B2</f>
        <v>43780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6" t="s">
        <v>529</v>
      </c>
      <c r="Q7" s="3395"/>
      <c r="R7" s="1569" t="s">
        <v>8</v>
      </c>
      <c r="S7" s="1570">
        <f t="shared" ref="S7:S14" si="0">F7</f>
        <v>0</v>
      </c>
      <c r="T7" s="1569" t="s">
        <v>8</v>
      </c>
      <c r="U7" s="1570">
        <f t="shared" ref="U7:U14" si="1">H7</f>
        <v>0</v>
      </c>
      <c r="V7" s="1569" t="s">
        <v>8</v>
      </c>
      <c r="W7" s="1570">
        <f t="shared" ref="W7:W14" si="2">J7</f>
        <v>0</v>
      </c>
      <c r="X7" s="1571"/>
      <c r="Y7" s="3386" t="s">
        <v>529</v>
      </c>
      <c r="Z7" s="3387"/>
      <c r="AA7" s="1572" t="e">
        <f>D7/F7</f>
        <v>#DIV/0!</v>
      </c>
      <c r="AB7" s="1572" t="e">
        <f>D7/H7</f>
        <v>#DIV/0!</v>
      </c>
      <c r="AC7" s="1572"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6" t="s">
        <v>532</v>
      </c>
      <c r="Q8" s="3387"/>
      <c r="R8" s="1569" t="s">
        <v>8</v>
      </c>
      <c r="S8" s="1570">
        <f t="shared" si="0"/>
        <v>0</v>
      </c>
      <c r="T8" s="1569" t="s">
        <v>8</v>
      </c>
      <c r="U8" s="1570">
        <f t="shared" si="1"/>
        <v>0</v>
      </c>
      <c r="V8" s="1569" t="s">
        <v>8</v>
      </c>
      <c r="W8" s="1570">
        <f t="shared" si="2"/>
        <v>0</v>
      </c>
      <c r="X8" s="1571"/>
      <c r="Y8" s="3386" t="s">
        <v>532</v>
      </c>
      <c r="Z8" s="3387"/>
      <c r="AA8" s="1572" t="e">
        <f t="shared" ref="AA8:AA34" si="3">D8/F8</f>
        <v>#DIV/0!</v>
      </c>
      <c r="AB8" s="1572" t="e">
        <f t="shared" ref="AB8:AB34" si="4">D8/H8</f>
        <v>#DIV/0!</v>
      </c>
      <c r="AC8" s="1572" t="e">
        <f t="shared" ref="AC8:AC34" si="5">D8/J8</f>
        <v>#DIV/0!</v>
      </c>
    </row>
    <row r="9" spans="1:29" s="1220" customFormat="1" ht="14.4">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4" t="s">
        <v>534</v>
      </c>
      <c r="Q9" s="1151" t="str">
        <f t="shared" ref="Q9:Q14" si="6">B9</f>
        <v>用途</v>
      </c>
      <c r="R9" s="1569" t="s">
        <v>8</v>
      </c>
      <c r="S9" s="1570">
        <f t="shared" si="0"/>
        <v>100</v>
      </c>
      <c r="T9" s="1569" t="s">
        <v>8</v>
      </c>
      <c r="U9" s="1570">
        <f t="shared" si="1"/>
        <v>100</v>
      </c>
      <c r="V9" s="1569" t="s">
        <v>8</v>
      </c>
      <c r="W9" s="1570">
        <f t="shared" si="2"/>
        <v>100</v>
      </c>
      <c r="X9" s="1571"/>
      <c r="Y9" s="3351" t="s">
        <v>535</v>
      </c>
      <c r="Z9" s="1150" t="str">
        <f t="shared" ref="Z9:Z14" si="7">Q9</f>
        <v>用途</v>
      </c>
      <c r="AA9" s="1572">
        <f t="shared" si="3"/>
        <v>1</v>
      </c>
      <c r="AB9" s="1572">
        <f t="shared" si="4"/>
        <v>1</v>
      </c>
      <c r="AC9" s="1572">
        <f t="shared" si="5"/>
        <v>1</v>
      </c>
    </row>
    <row r="10" spans="1:29" s="1338" customFormat="1" ht="28.8">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4"/>
      <c r="Q10" s="1151" t="str">
        <f t="shared" si="6"/>
        <v>土地使用年限（年）</v>
      </c>
      <c r="R10" s="1569" t="s">
        <v>8</v>
      </c>
      <c r="S10" s="1570">
        <f t="shared" si="0"/>
        <v>100</v>
      </c>
      <c r="T10" s="1569" t="s">
        <v>8</v>
      </c>
      <c r="U10" s="1570">
        <f t="shared" si="1"/>
        <v>100</v>
      </c>
      <c r="V10" s="1569" t="s">
        <v>8</v>
      </c>
      <c r="W10" s="1570">
        <f t="shared" si="2"/>
        <v>100</v>
      </c>
      <c r="X10" s="1571"/>
      <c r="Y10" s="3351"/>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4"/>
      <c r="Q11" s="1151">
        <f t="shared" si="6"/>
        <v>111</v>
      </c>
      <c r="R11" s="1569" t="s">
        <v>8</v>
      </c>
      <c r="S11" s="1570">
        <f t="shared" si="0"/>
        <v>100</v>
      </c>
      <c r="T11" s="1569" t="s">
        <v>8</v>
      </c>
      <c r="U11" s="1570">
        <f t="shared" si="1"/>
        <v>100</v>
      </c>
      <c r="V11" s="1569" t="s">
        <v>8</v>
      </c>
      <c r="W11" s="1570">
        <f t="shared" si="2"/>
        <v>100</v>
      </c>
      <c r="X11" s="1571"/>
      <c r="Y11" s="3351"/>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4"/>
      <c r="Q12" s="1151">
        <f t="shared" si="6"/>
        <v>111</v>
      </c>
      <c r="R12" s="1569" t="s">
        <v>8</v>
      </c>
      <c r="S12" s="1570">
        <f t="shared" si="0"/>
        <v>100</v>
      </c>
      <c r="T12" s="1569" t="s">
        <v>8</v>
      </c>
      <c r="U12" s="1570">
        <f t="shared" si="1"/>
        <v>100</v>
      </c>
      <c r="V12" s="1569" t="s">
        <v>8</v>
      </c>
      <c r="W12" s="1570">
        <f t="shared" si="2"/>
        <v>100</v>
      </c>
      <c r="X12" s="1571"/>
      <c r="Y12" s="3351"/>
      <c r="Z12" s="1150">
        <f t="shared" si="7"/>
        <v>111</v>
      </c>
      <c r="AA12" s="1572">
        <f>D12/F12</f>
        <v>1</v>
      </c>
      <c r="AB12" s="1572">
        <f>D12/H12</f>
        <v>1</v>
      </c>
      <c r="AC12" s="1572">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4"/>
      <c r="Q13" s="1151">
        <f t="shared" si="6"/>
        <v>111</v>
      </c>
      <c r="R13" s="1569" t="s">
        <v>8</v>
      </c>
      <c r="S13" s="1570">
        <f t="shared" si="0"/>
        <v>100</v>
      </c>
      <c r="T13" s="1569" t="s">
        <v>8</v>
      </c>
      <c r="U13" s="1570">
        <f t="shared" si="1"/>
        <v>100</v>
      </c>
      <c r="V13" s="1569" t="s">
        <v>8</v>
      </c>
      <c r="W13" s="1570">
        <f t="shared" si="2"/>
        <v>100</v>
      </c>
      <c r="X13" s="1571"/>
      <c r="Y13" s="3351"/>
      <c r="Z13" s="1150">
        <f t="shared" si="7"/>
        <v>111</v>
      </c>
      <c r="AA13" s="1572">
        <f t="shared" si="3"/>
        <v>1</v>
      </c>
      <c r="AB13" s="1572">
        <f t="shared" si="4"/>
        <v>1</v>
      </c>
      <c r="AC13" s="1572">
        <f t="shared" si="5"/>
        <v>1</v>
      </c>
    </row>
    <row r="14" spans="1:29" ht="96.6">
      <c r="A14" s="2910" t="s">
        <v>2755</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6" t="s">
        <v>539</v>
      </c>
      <c r="Q14" s="1573" t="str">
        <f t="shared" si="6"/>
        <v>交通便捷度</v>
      </c>
      <c r="R14" s="1574" t="s">
        <v>8</v>
      </c>
      <c r="S14" s="1575">
        <f t="shared" si="0"/>
        <v>100</v>
      </c>
      <c r="T14" s="1574" t="s">
        <v>8</v>
      </c>
      <c r="U14" s="1575">
        <f t="shared" si="1"/>
        <v>100</v>
      </c>
      <c r="V14" s="1574" t="s">
        <v>8</v>
      </c>
      <c r="W14" s="1575">
        <f t="shared" si="2"/>
        <v>100</v>
      </c>
      <c r="X14" s="1568"/>
      <c r="Y14" s="3396"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97"/>
      <c r="Q15" s="1573"/>
      <c r="R15" s="1574"/>
      <c r="S15" s="1575"/>
      <c r="T15" s="1574"/>
      <c r="U15" s="1575"/>
      <c r="V15" s="1574"/>
      <c r="W15" s="1575"/>
      <c r="X15" s="1568"/>
      <c r="Y15" s="3397"/>
      <c r="Z15" s="1576"/>
      <c r="AA15" s="1577">
        <v>1</v>
      </c>
      <c r="AB15" s="1577">
        <v>1</v>
      </c>
      <c r="AC15" s="1577">
        <v>1</v>
      </c>
    </row>
    <row r="16" spans="1:29" ht="41.4">
      <c r="A16" s="532"/>
      <c r="B16" s="260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97"/>
      <c r="Q17" s="1573"/>
      <c r="R17" s="1574"/>
      <c r="S17" s="1575"/>
      <c r="T17" s="1574"/>
      <c r="U17" s="1575"/>
      <c r="V17" s="1574"/>
      <c r="W17" s="1575"/>
      <c r="X17" s="1568"/>
      <c r="Y17" s="3397"/>
      <c r="Z17" s="1576"/>
      <c r="AA17" s="1577">
        <v>1</v>
      </c>
      <c r="AB17" s="1577">
        <v>1</v>
      </c>
      <c r="AC17" s="1577">
        <v>1</v>
      </c>
    </row>
    <row r="18" spans="1:29" ht="41.4">
      <c r="A18" s="532"/>
      <c r="B18" s="259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7"/>
      <c r="Q18" s="2579" t="str">
        <f>B18</f>
        <v>基础设施水平</v>
      </c>
      <c r="R18" s="1574" t="s">
        <v>8</v>
      </c>
      <c r="S18" s="1575">
        <f>F18</f>
        <v>100</v>
      </c>
      <c r="T18" s="1574" t="s">
        <v>8</v>
      </c>
      <c r="U18" s="1575">
        <f>H18</f>
        <v>100</v>
      </c>
      <c r="V18" s="1574" t="s">
        <v>8</v>
      </c>
      <c r="W18" s="1575">
        <f>J18</f>
        <v>100</v>
      </c>
      <c r="X18" s="2581"/>
      <c r="Y18" s="3397"/>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397"/>
      <c r="Q19" s="2579"/>
      <c r="R19" s="1574"/>
      <c r="S19" s="1575"/>
      <c r="T19" s="1574"/>
      <c r="U19" s="1575"/>
      <c r="V19" s="1574"/>
      <c r="W19" s="1575"/>
      <c r="X19" s="2581"/>
      <c r="Y19" s="3397"/>
      <c r="Z19" s="2580"/>
      <c r="AA19" s="1577">
        <v>1</v>
      </c>
      <c r="AB19" s="1577">
        <v>1</v>
      </c>
      <c r="AC19" s="1577">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97"/>
      <c r="Q21" s="1573"/>
      <c r="R21" s="1574"/>
      <c r="S21" s="1575"/>
      <c r="T21" s="1574"/>
      <c r="U21" s="1575"/>
      <c r="V21" s="1574"/>
      <c r="W21" s="1575"/>
      <c r="X21" s="1568"/>
      <c r="Y21" s="3397"/>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07" t="s">
        <v>2756</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8"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9"/>
      <c r="Q31" s="1151" t="str">
        <f t="shared" si="11"/>
        <v>是否封闭</v>
      </c>
      <c r="R31" s="1569" t="s">
        <v>8</v>
      </c>
      <c r="S31" s="1570">
        <f t="shared" si="12"/>
        <v>100</v>
      </c>
      <c r="T31" s="1569" t="s">
        <v>8</v>
      </c>
      <c r="U31" s="1570">
        <f t="shared" si="13"/>
        <v>100</v>
      </c>
      <c r="V31" s="1569" t="s">
        <v>8</v>
      </c>
      <c r="W31" s="1570">
        <f t="shared" si="14"/>
        <v>100</v>
      </c>
      <c r="X31" s="1571"/>
      <c r="Y31" s="339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9" t="s">
        <v>549</v>
      </c>
      <c r="Q32" s="1573">
        <f t="shared" si="11"/>
        <v>111</v>
      </c>
      <c r="R32" s="1574" t="s">
        <v>8</v>
      </c>
      <c r="S32" s="1575">
        <f t="shared" si="12"/>
        <v>100</v>
      </c>
      <c r="T32" s="1574" t="s">
        <v>8</v>
      </c>
      <c r="U32" s="1575">
        <f t="shared" si="13"/>
        <v>100</v>
      </c>
      <c r="V32" s="1574" t="s">
        <v>8</v>
      </c>
      <c r="W32" s="1575">
        <f t="shared" si="14"/>
        <v>100</v>
      </c>
      <c r="X32" s="1568"/>
      <c r="Y32" s="3399"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4.4">
      <c r="A35" s="607" t="s">
        <v>735</v>
      </c>
      <c r="B35" s="887"/>
      <c r="C35" s="2627" t="s">
        <v>1</v>
      </c>
      <c r="D35" s="2628"/>
      <c r="E35" s="2629"/>
      <c r="F35" s="2630"/>
      <c r="G35" s="2631"/>
      <c r="H35" s="2632"/>
      <c r="I35" s="2629"/>
      <c r="J35" s="2632"/>
      <c r="K35" s="1612"/>
      <c r="L35" s="2144"/>
      <c r="M35" s="2145"/>
      <c r="N35" s="2134"/>
      <c r="O35" s="2145"/>
      <c r="P35" s="3394" t="str">
        <f>A35</f>
        <v>成交单价（元/平方米）</v>
      </c>
      <c r="Q35" s="3394"/>
      <c r="R35" s="3496">
        <f>E35</f>
        <v>0</v>
      </c>
      <c r="S35" s="3496"/>
      <c r="T35" s="3496">
        <f>G35</f>
        <v>0</v>
      </c>
      <c r="U35" s="3496"/>
      <c r="V35" s="3496">
        <f>I35</f>
        <v>0</v>
      </c>
      <c r="W35" s="3496"/>
      <c r="X35" s="1560"/>
      <c r="Y35" s="1582"/>
      <c r="Z35" s="1560"/>
      <c r="AA35" s="1560"/>
      <c r="AB35" s="1560"/>
      <c r="AC35" s="1560"/>
    </row>
    <row r="36" spans="1:29" ht="15" thickBot="1">
      <c r="A36" s="615" t="s">
        <v>2761</v>
      </c>
      <c r="B36" s="888"/>
      <c r="C36" s="2633" t="e">
        <f>R37</f>
        <v>#DIV/0!</v>
      </c>
      <c r="D36" s="2634"/>
      <c r="E36" s="2635" t="e">
        <f>R36</f>
        <v>#DIV/0!</v>
      </c>
      <c r="F36" s="2635"/>
      <c r="G36" s="2633" t="e">
        <f>T36</f>
        <v>#DIV/0!</v>
      </c>
      <c r="H36" s="2634"/>
      <c r="I36" s="2635" t="e">
        <f>V36</f>
        <v>#DIV/0!</v>
      </c>
      <c r="J36" s="2634"/>
      <c r="K36" s="1613"/>
      <c r="L36" s="2144"/>
      <c r="M36" s="2145"/>
      <c r="N36" s="2134"/>
      <c r="O36" s="2145"/>
      <c r="P36" s="3394" t="str">
        <f>A36</f>
        <v>比较价格（元/平方米）</v>
      </c>
      <c r="Q36" s="3394"/>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 thickBot="1">
      <c r="A37" s="621" t="s">
        <v>2933</v>
      </c>
      <c r="B37" s="622"/>
      <c r="C37" s="2636" t="e">
        <f>R37</f>
        <v>#DIV/0!</v>
      </c>
      <c r="D37" s="2636"/>
      <c r="E37" s="2636"/>
      <c r="F37" s="2636"/>
      <c r="G37" s="2636"/>
      <c r="H37" s="2636"/>
      <c r="I37" s="2636"/>
      <c r="J37" s="2636"/>
      <c r="K37" s="1614"/>
      <c r="L37" s="2144"/>
      <c r="M37" s="2145"/>
      <c r="N37" s="2145"/>
      <c r="O37" s="2145"/>
      <c r="P37" s="3415" t="str">
        <f>A37</f>
        <v>估价对象XX用房的比较价格（楼面单价，元/平方米）</v>
      </c>
      <c r="Q37" s="3416"/>
      <c r="R37" s="3495" t="e">
        <f>IF(F1="售价",ROUND(AVERAGE(R36:V36),0),ROUND(AVERAGE(R36:V36),1))</f>
        <v>#DIV/0!</v>
      </c>
      <c r="S37" s="3495"/>
      <c r="T37" s="3495"/>
      <c r="U37" s="3495"/>
      <c r="V37" s="3495"/>
      <c r="W37" s="3495"/>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5" t="s">
        <v>573</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2019-11</v>
      </c>
      <c r="D46" s="2804">
        <f>EDATE(C46,-1)</f>
        <v>43739</v>
      </c>
      <c r="E46" s="2804">
        <f t="shared" ref="E46:O46" si="16">EDATE(D46,-1)</f>
        <v>43709</v>
      </c>
      <c r="F46" s="2804">
        <f t="shared" si="16"/>
        <v>43678</v>
      </c>
      <c r="G46" s="2804">
        <f t="shared" si="16"/>
        <v>43647</v>
      </c>
      <c r="H46" s="2804">
        <f t="shared" si="16"/>
        <v>43617</v>
      </c>
      <c r="I46" s="2804">
        <f t="shared" si="16"/>
        <v>43586</v>
      </c>
      <c r="J46" s="2804">
        <f t="shared" si="16"/>
        <v>43556</v>
      </c>
      <c r="K46" s="2804">
        <f t="shared" si="16"/>
        <v>43525</v>
      </c>
      <c r="L46" s="2804">
        <f t="shared" si="16"/>
        <v>43497</v>
      </c>
      <c r="M46" s="2804">
        <f t="shared" si="16"/>
        <v>43466</v>
      </c>
      <c r="N46" s="2804">
        <f t="shared" si="16"/>
        <v>43435</v>
      </c>
      <c r="O46" s="2804">
        <f t="shared" si="16"/>
        <v>43405</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8"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2559</v>
      </c>
      <c r="C65" s="2598" t="s">
        <v>2560</v>
      </c>
      <c r="D65" s="2598" t="s">
        <v>2561</v>
      </c>
      <c r="E65" s="2598" t="s">
        <v>2562</v>
      </c>
      <c r="F65" s="2598" t="s">
        <v>2563</v>
      </c>
      <c r="G65" s="2598" t="s">
        <v>2564</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L24" sqref="L24:L30"/>
    </sheetView>
  </sheetViews>
  <sheetFormatPr defaultColWidth="9" defaultRowHeight="13.2"/>
  <cols>
    <col min="1" max="1" width="11.44140625" style="1250" customWidth="1"/>
    <col min="2" max="2" width="9.21875" style="1218" customWidth="1"/>
    <col min="3" max="3" width="5" style="1218" customWidth="1"/>
    <col min="4" max="4" width="9" style="1218"/>
    <col min="5" max="5" width="10.21875" style="1218" customWidth="1"/>
    <col min="6" max="6" width="9" style="1218"/>
    <col min="7" max="7" width="7.88671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505" t="s">
        <v>2305</v>
      </c>
      <c r="D1" s="3506"/>
      <c r="E1" s="3506"/>
      <c r="F1" s="3506"/>
      <c r="G1" s="3506"/>
      <c r="H1" s="3506"/>
      <c r="I1" s="3506"/>
      <c r="J1" s="3506"/>
      <c r="K1" s="3506"/>
      <c r="L1" s="3506"/>
      <c r="M1" s="3506"/>
      <c r="N1" s="3506"/>
      <c r="O1" s="3506"/>
      <c r="P1" s="3506"/>
      <c r="Q1" s="3506"/>
      <c r="R1" s="3506"/>
      <c r="S1" s="3507"/>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9.6">
      <c r="A2" s="2235"/>
      <c r="B2" s="949" t="s">
        <v>2307</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85" t="s">
        <v>3057</v>
      </c>
      <c r="C5" s="3183" t="s">
        <v>3052</v>
      </c>
      <c r="D5" s="3184" t="s">
        <v>3053</v>
      </c>
      <c r="E5" s="3184" t="s">
        <v>3055</v>
      </c>
      <c r="F5" s="3184" t="s">
        <v>3056</v>
      </c>
      <c r="G5" s="3184"/>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24">
      <c r="A7" s="2251"/>
      <c r="B7" s="3186" t="s">
        <v>3061</v>
      </c>
      <c r="C7" s="3187" t="s">
        <v>3058</v>
      </c>
      <c r="D7" s="3188" t="s">
        <v>3059</v>
      </c>
      <c r="E7" s="3188" t="s">
        <v>3054</v>
      </c>
      <c r="F7" s="3188" t="s">
        <v>3060</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24">
      <c r="A9" s="2251"/>
      <c r="B9" s="3186" t="s">
        <v>3062</v>
      </c>
      <c r="C9" s="3187" t="s">
        <v>3011</v>
      </c>
      <c r="D9" s="3188" t="s">
        <v>3012</v>
      </c>
      <c r="E9" s="3188" t="s">
        <v>3013</v>
      </c>
      <c r="F9" s="3188" t="s">
        <v>3014</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9"/>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c r="A11" s="2251"/>
      <c r="B11" s="3185" t="s">
        <v>3063</v>
      </c>
      <c r="C11" s="3187" t="s">
        <v>3011</v>
      </c>
      <c r="D11" s="3188" t="s">
        <v>3012</v>
      </c>
      <c r="E11" s="3188" t="s">
        <v>3013</v>
      </c>
      <c r="F11" s="3188" t="s">
        <v>3014</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63.6">
      <c r="A13" s="2251"/>
      <c r="B13" s="3185" t="s">
        <v>3064</v>
      </c>
      <c r="C13" s="954" t="s">
        <v>3065</v>
      </c>
      <c r="D13" s="955" t="s">
        <v>3077</v>
      </c>
      <c r="E13" s="955" t="s">
        <v>3080</v>
      </c>
      <c r="F13" s="955" t="s">
        <v>3081</v>
      </c>
      <c r="G13" s="955" t="s">
        <v>3078</v>
      </c>
      <c r="H13" s="955" t="s">
        <v>3079</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5"/>
      <c r="C14" s="2245">
        <v>95</v>
      </c>
      <c r="D14" s="2246">
        <v>96</v>
      </c>
      <c r="E14" s="2246">
        <v>97</v>
      </c>
      <c r="F14" s="2246">
        <v>98</v>
      </c>
      <c r="G14" s="2246">
        <v>99</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24">
      <c r="A15" s="2251"/>
      <c r="B15" s="3185" t="s">
        <v>3082</v>
      </c>
      <c r="C15" s="2252">
        <f>'数据-取费表'!F6</f>
        <v>65.69</v>
      </c>
      <c r="D15" s="2253">
        <v>68.39</v>
      </c>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v>1</v>
      </c>
      <c r="D16" s="2246">
        <v>1</v>
      </c>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79">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6.4">
      <c r="A23" s="17" t="s">
        <v>830</v>
      </c>
      <c r="B23" s="17" t="s">
        <v>831</v>
      </c>
      <c r="C23" s="17" t="s">
        <v>832</v>
      </c>
      <c r="D23" s="17" t="str">
        <f>B5</f>
        <v>宗地形状</v>
      </c>
      <c r="E23" s="17" t="s">
        <v>832</v>
      </c>
      <c r="F23" s="17" t="str">
        <f>B7</f>
        <v>社区成熟度</v>
      </c>
      <c r="G23" s="17" t="s">
        <v>832</v>
      </c>
      <c r="H23" s="17" t="str">
        <f>B9</f>
        <v>交通便捷度</v>
      </c>
      <c r="I23" s="17" t="s">
        <v>832</v>
      </c>
      <c r="J23" s="17" t="str">
        <f>B11</f>
        <v>公共配套设施</v>
      </c>
      <c r="K23" s="17" t="s">
        <v>832</v>
      </c>
      <c r="L23" s="17" t="str">
        <f>B13</f>
        <v>土地面积</v>
      </c>
      <c r="M23" s="17" t="s">
        <v>832</v>
      </c>
      <c r="N23" s="17" t="str">
        <f>B15</f>
        <v>土地剩余年限</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c r="B24" s="3200"/>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c r="U27" s="257" t="s">
        <v>3066</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80" customWidth="1"/>
    <col min="2" max="2" width="9" style="1780"/>
    <col min="3" max="4" width="9.6640625" style="1780" customWidth="1"/>
    <col min="5" max="16384" width="9" style="1780"/>
  </cols>
  <sheetData>
    <row r="1" spans="1:4" ht="22.2">
      <c r="A1" s="1779" t="s">
        <v>1903</v>
      </c>
    </row>
    <row r="2" spans="1:4">
      <c r="A2" s="1781"/>
    </row>
    <row r="3" spans="1:4" ht="17.399999999999999">
      <c r="A3" s="1799" t="str">
        <f>项目基本情况!B5&amp;"："</f>
        <v>：</v>
      </c>
    </row>
    <row r="4" spans="1:4" ht="34.799999999999997">
      <c r="A4" s="1793" t="str">
        <f>"受贵公司委托，我公司对"&amp;项目基本情况!K2&amp;项目基本情况!B9&amp;"进行了预评估。"</f>
        <v>受贵公司委托，我公司对贵州省普定县穿洞街道金马新村出让国有建设用地使用权抵押价格进行了预评估。</v>
      </c>
    </row>
    <row r="5" spans="1:4" ht="17.399999999999999">
      <c r="A5" s="1796" t="s">
        <v>1904</v>
      </c>
    </row>
    <row r="6" spans="1:4" ht="69.599999999999994">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13984.89平方米。根据《建设工程规划许可证》[]、《出让合同》[]，估价对象规划建筑面积为42003平方米。</v>
      </c>
    </row>
    <row r="7" spans="1:4" ht="87">
      <c r="A7" s="2873" t="s">
        <v>2749</v>
      </c>
    </row>
    <row r="8" spans="1:4" ht="17.399999999999999">
      <c r="A8" s="1796" t="s">
        <v>1905</v>
      </c>
    </row>
    <row r="9" spans="1:4" ht="34.799999999999997">
      <c r="A9" s="1798" t="str">
        <f>IF(项目基本情况!B8="抵押",IF(项目基本情况!B5=项目基本情况!B6,定义!C51,定义!B51),定义!D51)</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9" t="s">
        <v>2027</v>
      </c>
    </row>
    <row r="11" spans="1:4" ht="17.399999999999999">
      <c r="A11" s="1782" t="str">
        <f>TEXT(项目基本情况!D3,"yyyy年m月d日;;")&amp;IF(项目基本情况!B3=项目基本情况!D3,"（评估专业人员勘察现场之日）","")</f>
        <v>2019年11月11日（评估专业人员勘察现场之日）</v>
      </c>
    </row>
    <row r="12" spans="1:4" ht="17.399999999999999">
      <c r="A12" s="1799" t="s">
        <v>2026</v>
      </c>
    </row>
    <row r="13" spans="1:4" ht="17.399999999999999">
      <c r="A13" s="1793" t="s">
        <v>2072</v>
      </c>
    </row>
    <row r="14" spans="1:4" ht="17.399999999999999">
      <c r="A14" s="1793" t="str">
        <f>"根据"&amp;项目基本情况!F12&amp;"，本次评估估价对象证载（地类）用途为"&amp;项目基本情况!B12&amp;"。"</f>
        <v>根据《国有土地使用证》[]，本次评估估价对象证载（地类）用途为。</v>
      </c>
      <c r="C14" s="1783"/>
      <c r="D14" s="1784"/>
    </row>
    <row r="15" spans="1:4" ht="17.399999999999999">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7.399999999999999">
      <c r="A16" s="1793" t="s">
        <v>2073</v>
      </c>
    </row>
    <row r="17" spans="1:1" ht="69.599999999999994">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2.2">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3"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根据《国有土地使用证》[]，估价对象（分摊）出让国有建设用地使用权面积为13984.89平方米。根据《建设工程规划许可证》[]、《出让合同》[]，估价对象规划建筑面积为42003平方米。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3" t="s">
        <v>2075</v>
      </c>
    </row>
    <row r="23" spans="1:1" ht="17.399999999999999">
      <c r="A23" s="2875" t="s">
        <v>2750</v>
      </c>
    </row>
    <row r="24" spans="1:1" ht="17.399999999999999">
      <c r="A24" s="1793" t="s">
        <v>2076</v>
      </c>
    </row>
    <row r="25" spans="1:1" ht="87">
      <c r="A25" s="1793"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平整，设定用途为，剩余土地使用年限为的出让国有建设用地使用权价格。</v>
      </c>
    </row>
    <row r="26" spans="1:1" ht="87">
      <c r="A26" s="1793"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7.399999999999999">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9" t="s">
        <v>2028</v>
      </c>
    </row>
    <row r="30" spans="1:1" ht="69.599999999999994">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7.399999999999999">
      <c r="A32" s="1801"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2789</v>
      </c>
      <c r="C1" s="3004">
        <f>项目基本情况!D3</f>
        <v>43780</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2820</v>
      </c>
      <c r="C2" s="3005">
        <f>'数据-取费表'!B22</f>
        <v>1.5</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zoomScale="70" zoomScaleNormal="70" workbookViewId="0">
      <selection activeCell="Q3" sqref="Q3:Q44"/>
    </sheetView>
  </sheetViews>
  <sheetFormatPr defaultRowHeight="14.4"/>
  <cols>
    <col min="1" max="1" width="29.109375" customWidth="1"/>
    <col min="2" max="2" width="21.109375" customWidth="1"/>
  </cols>
  <sheetData>
    <row r="1" spans="1:17">
      <c r="A1" s="3201" t="s">
        <v>3023</v>
      </c>
      <c r="B1" s="3201" t="s">
        <v>3024</v>
      </c>
      <c r="C1" s="3201" t="s">
        <v>3025</v>
      </c>
      <c r="D1" s="3201" t="s">
        <v>3026</v>
      </c>
      <c r="E1" s="3201" t="s">
        <v>3027</v>
      </c>
      <c r="F1" s="3201" t="s">
        <v>2033</v>
      </c>
      <c r="G1" s="3201" t="s">
        <v>3028</v>
      </c>
      <c r="H1" s="3201" t="s">
        <v>3029</v>
      </c>
      <c r="I1" s="3201" t="s">
        <v>3030</v>
      </c>
      <c r="J1" s="3201" t="s">
        <v>3031</v>
      </c>
      <c r="K1" s="3201" t="s">
        <v>3032</v>
      </c>
      <c r="L1" s="3201" t="s">
        <v>3033</v>
      </c>
      <c r="M1" s="3201" t="s">
        <v>3034</v>
      </c>
    </row>
    <row r="2" spans="1:17" s="3192" customFormat="1">
      <c r="A2" s="3202" t="s">
        <v>3085</v>
      </c>
      <c r="B2" s="3202" t="s">
        <v>3086</v>
      </c>
      <c r="C2" s="3202" t="s">
        <v>3035</v>
      </c>
      <c r="D2" s="3202">
        <v>41505</v>
      </c>
      <c r="E2" s="3202">
        <v>83010</v>
      </c>
      <c r="F2" s="3202" t="s">
        <v>3087</v>
      </c>
      <c r="G2" s="3202" t="s">
        <v>3036</v>
      </c>
      <c r="H2" s="3202" t="s">
        <v>3037</v>
      </c>
      <c r="I2" s="3202">
        <v>31130</v>
      </c>
      <c r="J2" s="3202">
        <v>47630</v>
      </c>
      <c r="K2" s="3202">
        <v>5737.85</v>
      </c>
      <c r="L2" s="3202">
        <v>53</v>
      </c>
      <c r="M2" s="3202" t="s">
        <v>3088</v>
      </c>
      <c r="Q2" s="3192">
        <f>J2/(D2/666.67)</f>
        <v>765.05221298638719</v>
      </c>
    </row>
    <row r="3" spans="1:17">
      <c r="A3" s="3201" t="s">
        <v>3089</v>
      </c>
      <c r="B3" s="3201" t="s">
        <v>3086</v>
      </c>
      <c r="C3" s="3201" t="s">
        <v>3035</v>
      </c>
      <c r="D3" s="3201">
        <v>4857</v>
      </c>
      <c r="E3" s="3201">
        <v>10685.4</v>
      </c>
      <c r="F3" s="3201" t="s">
        <v>3090</v>
      </c>
      <c r="G3" s="3201" t="s">
        <v>3036</v>
      </c>
      <c r="H3" s="3201" t="s">
        <v>3037</v>
      </c>
      <c r="I3" s="3201">
        <v>2620</v>
      </c>
      <c r="J3" s="3201">
        <v>2620</v>
      </c>
      <c r="K3" s="3201">
        <v>2451.94</v>
      </c>
      <c r="L3" s="3201">
        <v>0</v>
      </c>
      <c r="M3" s="3201" t="s">
        <v>3091</v>
      </c>
      <c r="Q3">
        <f t="shared" ref="Q3:Q44" si="0">J3/(D3/666.67)</f>
        <v>359.62021824171296</v>
      </c>
    </row>
    <row r="4" spans="1:17" s="3192" customFormat="1">
      <c r="A4" s="3202" t="s">
        <v>3092</v>
      </c>
      <c r="B4" s="3202" t="s">
        <v>3086</v>
      </c>
      <c r="C4" s="3202" t="s">
        <v>3035</v>
      </c>
      <c r="D4" s="3202">
        <v>22487</v>
      </c>
      <c r="E4" s="3202">
        <v>49471.4</v>
      </c>
      <c r="F4" s="3202" t="s">
        <v>3090</v>
      </c>
      <c r="G4" s="3202" t="s">
        <v>3036</v>
      </c>
      <c r="H4" s="3202" t="s">
        <v>3037</v>
      </c>
      <c r="I4" s="3202">
        <v>16200</v>
      </c>
      <c r="J4" s="3202">
        <v>23600</v>
      </c>
      <c r="K4" s="3202">
        <v>4770.43</v>
      </c>
      <c r="L4" s="3202">
        <v>45.68</v>
      </c>
      <c r="M4" s="3202" t="s">
        <v>3093</v>
      </c>
      <c r="Q4" s="3192">
        <f t="shared" si="0"/>
        <v>699.66700760439358</v>
      </c>
    </row>
    <row r="5" spans="1:17" s="3181" customFormat="1" ht="12.75" customHeight="1">
      <c r="A5" s="3204" t="s">
        <v>3094</v>
      </c>
      <c r="B5" s="3204" t="s">
        <v>3086</v>
      </c>
      <c r="C5" s="3204" t="s">
        <v>3035</v>
      </c>
      <c r="D5" s="3204">
        <v>2524</v>
      </c>
      <c r="E5" s="3204">
        <v>8834</v>
      </c>
      <c r="F5" s="3204" t="s">
        <v>3095</v>
      </c>
      <c r="G5" s="3204" t="s">
        <v>3036</v>
      </c>
      <c r="H5" s="3204" t="s">
        <v>3096</v>
      </c>
      <c r="I5" s="3204">
        <v>3030</v>
      </c>
      <c r="J5" s="3204">
        <v>3030</v>
      </c>
      <c r="K5" s="3204">
        <v>3429.92</v>
      </c>
      <c r="L5" s="3204">
        <v>0</v>
      </c>
      <c r="M5" s="3204" t="s">
        <v>3097</v>
      </c>
      <c r="Q5" s="3181">
        <f t="shared" si="0"/>
        <v>800.32095879556255</v>
      </c>
    </row>
    <row r="6" spans="1:17" s="3182" customFormat="1">
      <c r="A6" s="3203" t="s">
        <v>3098</v>
      </c>
      <c r="B6" s="3203" t="s">
        <v>3086</v>
      </c>
      <c r="C6" s="3203" t="s">
        <v>3035</v>
      </c>
      <c r="D6" s="3203">
        <v>793</v>
      </c>
      <c r="E6" s="3203">
        <v>1982.5</v>
      </c>
      <c r="F6" s="3203" t="s">
        <v>3099</v>
      </c>
      <c r="G6" s="3203" t="s">
        <v>3036</v>
      </c>
      <c r="H6" s="3203" t="s">
        <v>3096</v>
      </c>
      <c r="I6" s="3203">
        <v>670</v>
      </c>
      <c r="J6" s="3203">
        <v>670</v>
      </c>
      <c r="K6" s="3203">
        <v>3379.57</v>
      </c>
      <c r="L6" s="3203">
        <v>0</v>
      </c>
      <c r="M6" s="3203" t="s">
        <v>3100</v>
      </c>
      <c r="Q6" s="3182">
        <f t="shared" si="0"/>
        <v>563.26469104665819</v>
      </c>
    </row>
    <row r="7" spans="1:17" s="3181" customFormat="1">
      <c r="A7" s="3201" t="s">
        <v>3101</v>
      </c>
      <c r="B7" s="3201" t="s">
        <v>3086</v>
      </c>
      <c r="C7" s="3201" t="s">
        <v>3035</v>
      </c>
      <c r="D7" s="3201">
        <v>13765</v>
      </c>
      <c r="E7" s="3201">
        <v>27530</v>
      </c>
      <c r="F7" s="3201" t="s">
        <v>3087</v>
      </c>
      <c r="G7" s="3201" t="s">
        <v>3036</v>
      </c>
      <c r="H7" s="3201" t="s">
        <v>3096</v>
      </c>
      <c r="I7" s="3201">
        <v>2478</v>
      </c>
      <c r="J7" s="3201">
        <v>2478</v>
      </c>
      <c r="K7" s="3201">
        <v>900.11</v>
      </c>
      <c r="L7" s="3201">
        <v>0</v>
      </c>
      <c r="M7" s="3201" t="s">
        <v>3102</v>
      </c>
      <c r="Q7" s="3181">
        <f t="shared" si="0"/>
        <v>120.0151296767163</v>
      </c>
    </row>
    <row r="8" spans="1:17" s="3181" customFormat="1">
      <c r="A8" s="3204" t="s">
        <v>3098</v>
      </c>
      <c r="B8" s="3204" t="s">
        <v>3086</v>
      </c>
      <c r="C8" s="3204" t="s">
        <v>3035</v>
      </c>
      <c r="D8" s="3204">
        <v>10799</v>
      </c>
      <c r="E8" s="3204">
        <v>26997.5</v>
      </c>
      <c r="F8" s="3204" t="s">
        <v>3099</v>
      </c>
      <c r="G8" s="3204" t="s">
        <v>3036</v>
      </c>
      <c r="H8" s="3204" t="s">
        <v>3096</v>
      </c>
      <c r="I8" s="3204">
        <v>9080</v>
      </c>
      <c r="J8" s="3204">
        <v>9080</v>
      </c>
      <c r="K8" s="3204">
        <v>3363.26</v>
      </c>
      <c r="L8" s="3204">
        <v>0</v>
      </c>
      <c r="M8" s="3204" t="s">
        <v>3100</v>
      </c>
      <c r="Q8" s="3181">
        <f t="shared" si="0"/>
        <v>560.5485322715067</v>
      </c>
    </row>
    <row r="9" spans="1:17" s="3182" customFormat="1">
      <c r="A9" s="3203" t="s">
        <v>3103</v>
      </c>
      <c r="B9" s="3203" t="s">
        <v>3086</v>
      </c>
      <c r="C9" s="3203" t="s">
        <v>3035</v>
      </c>
      <c r="D9" s="3203">
        <v>69847</v>
      </c>
      <c r="E9" s="3203">
        <v>153663.4</v>
      </c>
      <c r="F9" s="3203" t="s">
        <v>3090</v>
      </c>
      <c r="G9" s="3203" t="s">
        <v>3036</v>
      </c>
      <c r="H9" s="3203" t="s">
        <v>3096</v>
      </c>
      <c r="I9" s="3203">
        <v>41910</v>
      </c>
      <c r="J9" s="3203">
        <v>41910</v>
      </c>
      <c r="K9" s="3203">
        <v>2727.38</v>
      </c>
      <c r="L9" s="3203">
        <v>0</v>
      </c>
      <c r="M9" s="3203" t="s">
        <v>3091</v>
      </c>
      <c r="Q9" s="3182">
        <f t="shared" si="0"/>
        <v>400.01918049450938</v>
      </c>
    </row>
    <row r="10" spans="1:17" s="3181" customFormat="1">
      <c r="A10" s="3204" t="s">
        <v>3104</v>
      </c>
      <c r="B10" s="3204" t="s">
        <v>3086</v>
      </c>
      <c r="C10" s="3204" t="s">
        <v>3035</v>
      </c>
      <c r="D10" s="3204">
        <v>24054</v>
      </c>
      <c r="E10" s="3204">
        <v>36081</v>
      </c>
      <c r="F10" s="3204" t="s">
        <v>3105</v>
      </c>
      <c r="G10" s="3204" t="s">
        <v>3036</v>
      </c>
      <c r="H10" s="3204" t="s">
        <v>3096</v>
      </c>
      <c r="I10" s="3204">
        <v>13720</v>
      </c>
      <c r="J10" s="3204">
        <v>13920</v>
      </c>
      <c r="K10" s="3204">
        <v>3857.98</v>
      </c>
      <c r="L10" s="3204">
        <v>1.46</v>
      </c>
      <c r="M10" s="3204" t="s">
        <v>3106</v>
      </c>
      <c r="Q10" s="3181">
        <f t="shared" si="0"/>
        <v>385.80054876527811</v>
      </c>
    </row>
    <row r="11" spans="1:17">
      <c r="A11" s="3201" t="s">
        <v>3107</v>
      </c>
      <c r="B11" s="3201" t="s">
        <v>3086</v>
      </c>
      <c r="C11" s="3201" t="s">
        <v>3035</v>
      </c>
      <c r="D11" s="3201">
        <v>2615</v>
      </c>
      <c r="E11" s="3201">
        <v>6537.5</v>
      </c>
      <c r="F11" s="3201" t="s">
        <v>3108</v>
      </c>
      <c r="G11" s="3201" t="s">
        <v>3036</v>
      </c>
      <c r="H11" s="3201" t="s">
        <v>3109</v>
      </c>
      <c r="I11" s="3201">
        <v>1180</v>
      </c>
      <c r="J11" s="3201">
        <v>1180</v>
      </c>
      <c r="K11" s="3201">
        <v>1804.97</v>
      </c>
      <c r="L11" s="3201">
        <v>0</v>
      </c>
      <c r="M11" s="3201" t="s">
        <v>3110</v>
      </c>
      <c r="Q11">
        <f t="shared" si="0"/>
        <v>300.83005736137665</v>
      </c>
    </row>
    <row r="12" spans="1:17">
      <c r="A12" s="3201" t="s">
        <v>3111</v>
      </c>
      <c r="B12" s="3201" t="s">
        <v>3086</v>
      </c>
      <c r="C12" s="3201" t="s">
        <v>3035</v>
      </c>
      <c r="D12" s="3201">
        <v>30365</v>
      </c>
      <c r="E12" s="3201">
        <v>39474.5</v>
      </c>
      <c r="F12" s="3201" t="s">
        <v>3112</v>
      </c>
      <c r="G12" s="3201" t="s">
        <v>3036</v>
      </c>
      <c r="H12" s="3201" t="s">
        <v>3109</v>
      </c>
      <c r="I12" s="3201">
        <v>2280</v>
      </c>
      <c r="J12" s="3201">
        <v>2280</v>
      </c>
      <c r="K12" s="3201">
        <v>577.59</v>
      </c>
      <c r="L12" s="3201">
        <v>0</v>
      </c>
      <c r="M12" s="3201" t="s">
        <v>3113</v>
      </c>
      <c r="Q12">
        <f t="shared" si="0"/>
        <v>50.057882430429771</v>
      </c>
    </row>
    <row r="13" spans="1:17">
      <c r="A13" s="3201" t="s">
        <v>3111</v>
      </c>
      <c r="B13" s="3201" t="s">
        <v>3086</v>
      </c>
      <c r="C13" s="3201" t="s">
        <v>3035</v>
      </c>
      <c r="D13" s="3201">
        <v>29560</v>
      </c>
      <c r="E13" s="3201">
        <v>38428</v>
      </c>
      <c r="F13" s="3201" t="s">
        <v>3112</v>
      </c>
      <c r="G13" s="3201" t="s">
        <v>3036</v>
      </c>
      <c r="H13" s="3201" t="s">
        <v>3109</v>
      </c>
      <c r="I13" s="3201">
        <v>2220</v>
      </c>
      <c r="J13" s="3201">
        <v>2220</v>
      </c>
      <c r="K13" s="3201">
        <v>577.70000000000005</v>
      </c>
      <c r="L13" s="3201">
        <v>0</v>
      </c>
      <c r="M13" s="3201" t="s">
        <v>3113</v>
      </c>
      <c r="Q13">
        <f t="shared" si="0"/>
        <v>50.06790933694181</v>
      </c>
    </row>
    <row r="14" spans="1:17">
      <c r="A14" s="3201" t="s">
        <v>3114</v>
      </c>
      <c r="B14" s="3201" t="s">
        <v>3086</v>
      </c>
      <c r="C14" s="3201" t="s">
        <v>3035</v>
      </c>
      <c r="D14" s="3201">
        <v>44892</v>
      </c>
      <c r="E14" s="3201">
        <v>80805.600000000006</v>
      </c>
      <c r="F14" s="3201" t="s">
        <v>3115</v>
      </c>
      <c r="G14" s="3201" t="s">
        <v>3036</v>
      </c>
      <c r="H14" s="3201" t="s">
        <v>3109</v>
      </c>
      <c r="I14" s="3201">
        <v>5390</v>
      </c>
      <c r="J14" s="3201">
        <v>5390</v>
      </c>
      <c r="K14" s="3201">
        <v>667.02</v>
      </c>
      <c r="L14" s="3201">
        <v>0</v>
      </c>
      <c r="M14" s="3201" t="s">
        <v>3110</v>
      </c>
      <c r="Q14">
        <f t="shared" si="0"/>
        <v>80.044357569277381</v>
      </c>
    </row>
    <row r="15" spans="1:17">
      <c r="A15" s="3201" t="s">
        <v>3116</v>
      </c>
      <c r="B15" s="3201" t="s">
        <v>3086</v>
      </c>
      <c r="C15" s="3201" t="s">
        <v>3035</v>
      </c>
      <c r="D15" s="3201">
        <v>9505</v>
      </c>
      <c r="E15" s="3201">
        <v>23762.5</v>
      </c>
      <c r="F15" s="3201" t="s">
        <v>3108</v>
      </c>
      <c r="G15" s="3201" t="s">
        <v>3036</v>
      </c>
      <c r="H15" s="3201" t="s">
        <v>3109</v>
      </c>
      <c r="I15" s="3201">
        <v>2140</v>
      </c>
      <c r="J15" s="3201">
        <v>2140</v>
      </c>
      <c r="K15" s="3201">
        <v>900.58</v>
      </c>
      <c r="L15" s="3201">
        <v>0</v>
      </c>
      <c r="M15" s="3201" t="s">
        <v>3117</v>
      </c>
      <c r="Q15">
        <f t="shared" si="0"/>
        <v>150.09719095213046</v>
      </c>
    </row>
    <row r="16" spans="1:17">
      <c r="A16" s="3201" t="s">
        <v>3118</v>
      </c>
      <c r="B16" s="3201" t="s">
        <v>3086</v>
      </c>
      <c r="C16" s="3201" t="s">
        <v>3035</v>
      </c>
      <c r="D16" s="3201">
        <v>29970</v>
      </c>
      <c r="E16" s="3201">
        <v>89910</v>
      </c>
      <c r="F16" s="3201" t="s">
        <v>3119</v>
      </c>
      <c r="G16" s="3201" t="s">
        <v>3036</v>
      </c>
      <c r="H16" s="3201" t="s">
        <v>3109</v>
      </c>
      <c r="I16" s="3201">
        <v>11240</v>
      </c>
      <c r="J16" s="3201">
        <v>11240</v>
      </c>
      <c r="K16" s="3201">
        <v>1250.1400000000001</v>
      </c>
      <c r="L16" s="3201">
        <v>0</v>
      </c>
      <c r="M16" s="3201" t="s">
        <v>3110</v>
      </c>
      <c r="Q16">
        <f t="shared" si="0"/>
        <v>250.02905572238905</v>
      </c>
    </row>
    <row r="17" spans="1:17">
      <c r="A17" s="3201" t="s">
        <v>3120</v>
      </c>
      <c r="B17" s="3201" t="s">
        <v>3086</v>
      </c>
      <c r="C17" s="3201" t="s">
        <v>3035</v>
      </c>
      <c r="D17" s="3201">
        <v>2904</v>
      </c>
      <c r="E17" s="3201">
        <v>7260</v>
      </c>
      <c r="F17" s="3201" t="s">
        <v>3108</v>
      </c>
      <c r="G17" s="3201" t="s">
        <v>3036</v>
      </c>
      <c r="H17" s="3201" t="s">
        <v>3109</v>
      </c>
      <c r="I17" s="3201">
        <v>1530</v>
      </c>
      <c r="J17" s="3201">
        <v>1530</v>
      </c>
      <c r="K17" s="3201">
        <v>2107.44</v>
      </c>
      <c r="L17" s="3201">
        <v>0</v>
      </c>
      <c r="M17" s="3201" t="s">
        <v>3110</v>
      </c>
      <c r="Q17">
        <f t="shared" si="0"/>
        <v>351.24142561983473</v>
      </c>
    </row>
    <row r="18" spans="1:17">
      <c r="A18" s="3201" t="s">
        <v>3121</v>
      </c>
      <c r="B18" s="3201" t="s">
        <v>3086</v>
      </c>
      <c r="C18" s="3201" t="s">
        <v>3035</v>
      </c>
      <c r="D18" s="3201">
        <v>58092</v>
      </c>
      <c r="E18" s="3201">
        <v>127802.4</v>
      </c>
      <c r="F18" s="3201" t="s">
        <v>3122</v>
      </c>
      <c r="G18" s="3201" t="s">
        <v>3036</v>
      </c>
      <c r="H18" s="3201" t="s">
        <v>3123</v>
      </c>
      <c r="I18" s="3201">
        <v>30500</v>
      </c>
      <c r="J18" s="3201">
        <v>31300</v>
      </c>
      <c r="K18" s="3201">
        <v>2449.09</v>
      </c>
      <c r="L18" s="3201">
        <v>2.62</v>
      </c>
      <c r="M18" s="3201" t="s">
        <v>3091</v>
      </c>
      <c r="Q18">
        <f t="shared" si="0"/>
        <v>359.20214487364871</v>
      </c>
    </row>
    <row r="19" spans="1:17">
      <c r="A19" s="3201" t="s">
        <v>3124</v>
      </c>
      <c r="B19" s="3201" t="s">
        <v>3086</v>
      </c>
      <c r="C19" s="3201" t="s">
        <v>3035</v>
      </c>
      <c r="D19" s="3201">
        <v>10590</v>
      </c>
      <c r="E19" s="3201">
        <v>37065</v>
      </c>
      <c r="F19" s="3201" t="s">
        <v>3125</v>
      </c>
      <c r="G19" s="3201" t="s">
        <v>3036</v>
      </c>
      <c r="H19" s="3201" t="s">
        <v>3123</v>
      </c>
      <c r="I19" s="3201">
        <v>4770</v>
      </c>
      <c r="J19" s="3201">
        <v>6070</v>
      </c>
      <c r="K19" s="3201">
        <v>1637.66</v>
      </c>
      <c r="L19" s="3201">
        <v>27.25</v>
      </c>
      <c r="M19" s="3201" t="s">
        <v>3126</v>
      </c>
      <c r="Q19">
        <f t="shared" si="0"/>
        <v>382.12340887629836</v>
      </c>
    </row>
    <row r="20" spans="1:17">
      <c r="A20" s="3201" t="s">
        <v>3121</v>
      </c>
      <c r="B20" s="3201" t="s">
        <v>3086</v>
      </c>
      <c r="C20" s="3201" t="s">
        <v>3035</v>
      </c>
      <c r="D20" s="3201">
        <v>69062</v>
      </c>
      <c r="E20" s="3201">
        <v>151936.4</v>
      </c>
      <c r="F20" s="3201" t="s">
        <v>3122</v>
      </c>
      <c r="G20" s="3201" t="s">
        <v>3036</v>
      </c>
      <c r="H20" s="3201" t="s">
        <v>3123</v>
      </c>
      <c r="I20" s="3201">
        <v>36260</v>
      </c>
      <c r="J20" s="3201">
        <v>36860</v>
      </c>
      <c r="K20" s="3201">
        <v>2426.0100000000002</v>
      </c>
      <c r="L20" s="3201">
        <v>1.65</v>
      </c>
      <c r="M20" s="3201" t="s">
        <v>3127</v>
      </c>
      <c r="Q20">
        <f t="shared" si="0"/>
        <v>355.81732646028206</v>
      </c>
    </row>
    <row r="21" spans="1:17">
      <c r="A21" s="3201" t="s">
        <v>3128</v>
      </c>
      <c r="B21" s="3201" t="s">
        <v>3086</v>
      </c>
      <c r="C21" s="3201" t="s">
        <v>3035</v>
      </c>
      <c r="D21" s="3201">
        <v>88498</v>
      </c>
      <c r="E21" s="3201">
        <v>221245</v>
      </c>
      <c r="F21" s="3201" t="s">
        <v>3129</v>
      </c>
      <c r="G21" s="3201" t="s">
        <v>3036</v>
      </c>
      <c r="H21" s="3201" t="s">
        <v>3123</v>
      </c>
      <c r="I21" s="3201">
        <v>53100</v>
      </c>
      <c r="J21" s="3201">
        <v>54700</v>
      </c>
      <c r="K21" s="3201">
        <v>2472.36</v>
      </c>
      <c r="L21" s="3201">
        <v>3.01</v>
      </c>
      <c r="M21" s="3201" t="s">
        <v>3130</v>
      </c>
      <c r="Q21">
        <f t="shared" si="0"/>
        <v>412.06410314357385</v>
      </c>
    </row>
    <row r="22" spans="1:17" s="3181" customFormat="1">
      <c r="A22" s="3201" t="s">
        <v>3131</v>
      </c>
      <c r="B22" s="3201" t="s">
        <v>3086</v>
      </c>
      <c r="C22" s="3201" t="s">
        <v>3035</v>
      </c>
      <c r="D22" s="3201">
        <v>37399</v>
      </c>
      <c r="E22" s="3201">
        <v>93497.5</v>
      </c>
      <c r="F22" s="3201" t="s">
        <v>3108</v>
      </c>
      <c r="G22" s="3201" t="s">
        <v>3036</v>
      </c>
      <c r="H22" s="3201" t="s">
        <v>3132</v>
      </c>
      <c r="I22" s="3201">
        <v>13470</v>
      </c>
      <c r="J22" s="3201">
        <v>33770</v>
      </c>
      <c r="K22" s="3201">
        <v>3611.86</v>
      </c>
      <c r="L22" s="3201">
        <v>150.71</v>
      </c>
      <c r="M22" s="3201" t="s">
        <v>3133</v>
      </c>
      <c r="Q22" s="3181">
        <f t="shared" si="0"/>
        <v>601.97988983662663</v>
      </c>
    </row>
    <row r="23" spans="1:17" s="3192" customFormat="1">
      <c r="A23" s="3202" t="s">
        <v>3134</v>
      </c>
      <c r="B23" s="3202" t="s">
        <v>3086</v>
      </c>
      <c r="C23" s="3202" t="s">
        <v>3035</v>
      </c>
      <c r="D23" s="3202">
        <v>33491</v>
      </c>
      <c r="E23" s="3202">
        <v>83727.5</v>
      </c>
      <c r="F23" s="3202" t="s">
        <v>3108</v>
      </c>
      <c r="G23" s="3202" t="s">
        <v>3036</v>
      </c>
      <c r="H23" s="3202" t="s">
        <v>3132</v>
      </c>
      <c r="I23" s="3202">
        <v>12060</v>
      </c>
      <c r="J23" s="3202">
        <v>42960</v>
      </c>
      <c r="K23" s="3202">
        <v>5130.93</v>
      </c>
      <c r="L23" s="3202">
        <v>256.22000000000003</v>
      </c>
      <c r="M23" s="3202" t="s">
        <v>3133</v>
      </c>
      <c r="Q23" s="3192">
        <f t="shared" si="0"/>
        <v>855.15939207548286</v>
      </c>
    </row>
    <row r="24" spans="1:17">
      <c r="A24" s="3201" t="s">
        <v>3135</v>
      </c>
      <c r="B24" s="3201" t="s">
        <v>3086</v>
      </c>
      <c r="C24" s="3201" t="s">
        <v>3035</v>
      </c>
      <c r="D24" s="3201">
        <v>58122</v>
      </c>
      <c r="E24" s="3201">
        <v>174366</v>
      </c>
      <c r="F24" s="3201" t="s">
        <v>3136</v>
      </c>
      <c r="G24" s="3201" t="s">
        <v>3036</v>
      </c>
      <c r="H24" s="3201" t="s">
        <v>3132</v>
      </c>
      <c r="I24" s="3201">
        <v>5240</v>
      </c>
      <c r="J24" s="3201">
        <v>5240</v>
      </c>
      <c r="K24" s="3201">
        <v>300.51</v>
      </c>
      <c r="L24" s="3201">
        <v>0</v>
      </c>
      <c r="M24" s="3201" t="s">
        <v>3137</v>
      </c>
      <c r="Q24">
        <f t="shared" si="0"/>
        <v>60.10376105433398</v>
      </c>
    </row>
    <row r="25" spans="1:17">
      <c r="A25" s="3201" t="s">
        <v>3138</v>
      </c>
      <c r="B25" s="3201" t="s">
        <v>3086</v>
      </c>
      <c r="C25" s="3201" t="s">
        <v>3035</v>
      </c>
      <c r="D25" s="3201">
        <v>15590</v>
      </c>
      <c r="E25" s="3201">
        <v>46770</v>
      </c>
      <c r="F25" s="3201" t="s">
        <v>3136</v>
      </c>
      <c r="G25" s="3201" t="s">
        <v>3036</v>
      </c>
      <c r="H25" s="3201" t="s">
        <v>3132</v>
      </c>
      <c r="I25" s="3201">
        <v>3510</v>
      </c>
      <c r="J25" s="3201">
        <v>3510</v>
      </c>
      <c r="K25" s="3201">
        <v>750.48</v>
      </c>
      <c r="L25" s="3201">
        <v>0</v>
      </c>
      <c r="M25" s="3201" t="s">
        <v>3139</v>
      </c>
      <c r="Q25">
        <f t="shared" si="0"/>
        <v>150.09696600384859</v>
      </c>
    </row>
    <row r="26" spans="1:17">
      <c r="A26" s="3201" t="s">
        <v>3134</v>
      </c>
      <c r="B26" s="3201" t="s">
        <v>3086</v>
      </c>
      <c r="C26" s="3201" t="s">
        <v>3035</v>
      </c>
      <c r="D26" s="3201">
        <v>62381</v>
      </c>
      <c r="E26" s="3201">
        <v>155952.5</v>
      </c>
      <c r="F26" s="3201" t="s">
        <v>3108</v>
      </c>
      <c r="G26" s="3201" t="s">
        <v>3036</v>
      </c>
      <c r="H26" s="3201" t="s">
        <v>3132</v>
      </c>
      <c r="I26" s="3201">
        <v>21740</v>
      </c>
      <c r="J26" s="3201">
        <v>52640</v>
      </c>
      <c r="K26" s="3201">
        <v>3375.38</v>
      </c>
      <c r="L26" s="3201">
        <v>142.13</v>
      </c>
      <c r="M26" s="3201" t="s">
        <v>3133</v>
      </c>
      <c r="Q26">
        <f t="shared" si="0"/>
        <v>562.56726887994739</v>
      </c>
    </row>
    <row r="27" spans="1:17" s="3182" customFormat="1">
      <c r="A27" s="3201" t="s">
        <v>3135</v>
      </c>
      <c r="B27" s="3201" t="s">
        <v>3086</v>
      </c>
      <c r="C27" s="3201" t="s">
        <v>3035</v>
      </c>
      <c r="D27" s="3201">
        <v>61337</v>
      </c>
      <c r="E27" s="3201">
        <v>184011</v>
      </c>
      <c r="F27" s="3201" t="s">
        <v>3136</v>
      </c>
      <c r="G27" s="3201" t="s">
        <v>3036</v>
      </c>
      <c r="H27" s="3201" t="s">
        <v>3132</v>
      </c>
      <c r="I27" s="3201">
        <v>5530</v>
      </c>
      <c r="J27" s="3201">
        <v>5530</v>
      </c>
      <c r="K27" s="3201">
        <v>300.52</v>
      </c>
      <c r="L27" s="3201">
        <v>0</v>
      </c>
      <c r="M27" s="3201" t="s">
        <v>3137</v>
      </c>
      <c r="Q27" s="3182">
        <f t="shared" si="0"/>
        <v>60.105402937867844</v>
      </c>
    </row>
    <row r="28" spans="1:17">
      <c r="A28" s="3201" t="s">
        <v>3140</v>
      </c>
      <c r="B28" s="3201" t="s">
        <v>3086</v>
      </c>
      <c r="C28" s="3201" t="s">
        <v>3035</v>
      </c>
      <c r="D28" s="3201">
        <v>17218</v>
      </c>
      <c r="E28" s="3201">
        <v>27548.799999999999</v>
      </c>
      <c r="F28" s="3201" t="s">
        <v>3141</v>
      </c>
      <c r="G28" s="3201" t="s">
        <v>3036</v>
      </c>
      <c r="H28" s="3201" t="s">
        <v>3132</v>
      </c>
      <c r="I28" s="3201">
        <v>5170</v>
      </c>
      <c r="J28" s="3201">
        <v>5170</v>
      </c>
      <c r="K28" s="3201">
        <v>1876.67</v>
      </c>
      <c r="L28" s="3201">
        <v>0</v>
      </c>
      <c r="M28" s="3201" t="s">
        <v>3110</v>
      </c>
      <c r="Q28">
        <f t="shared" si="0"/>
        <v>200.17910907190148</v>
      </c>
    </row>
    <row r="29" spans="1:17">
      <c r="A29" s="3201" t="s">
        <v>3135</v>
      </c>
      <c r="B29" s="3201" t="s">
        <v>3086</v>
      </c>
      <c r="C29" s="3201" t="s">
        <v>3035</v>
      </c>
      <c r="D29" s="3201">
        <v>41871</v>
      </c>
      <c r="E29" s="3201">
        <v>125613</v>
      </c>
      <c r="F29" s="3201" t="s">
        <v>3136</v>
      </c>
      <c r="G29" s="3201" t="s">
        <v>3036</v>
      </c>
      <c r="H29" s="3201" t="s">
        <v>3132</v>
      </c>
      <c r="I29" s="3201">
        <v>3770</v>
      </c>
      <c r="J29" s="3201">
        <v>3770</v>
      </c>
      <c r="K29" s="3201">
        <v>300.12</v>
      </c>
      <c r="L29" s="3201">
        <v>0</v>
      </c>
      <c r="M29" s="3201" t="s">
        <v>3137</v>
      </c>
      <c r="Q29">
        <f t="shared" si="0"/>
        <v>60.025934417616007</v>
      </c>
    </row>
    <row r="30" spans="1:17">
      <c r="A30" s="3201" t="s">
        <v>3134</v>
      </c>
      <c r="B30" s="3201" t="s">
        <v>3086</v>
      </c>
      <c r="C30" s="3201" t="s">
        <v>3035</v>
      </c>
      <c r="D30" s="3201">
        <v>58070</v>
      </c>
      <c r="E30" s="3201">
        <v>145175</v>
      </c>
      <c r="F30" s="3201" t="s">
        <v>3108</v>
      </c>
      <c r="G30" s="3201" t="s">
        <v>3036</v>
      </c>
      <c r="H30" s="3201" t="s">
        <v>3132</v>
      </c>
      <c r="I30" s="3201">
        <v>20910</v>
      </c>
      <c r="J30" s="3201">
        <v>51810</v>
      </c>
      <c r="K30" s="3201">
        <v>3568.8</v>
      </c>
      <c r="L30" s="3201">
        <v>147.78</v>
      </c>
      <c r="M30" s="3201" t="s">
        <v>3133</v>
      </c>
      <c r="Q30">
        <f t="shared" si="0"/>
        <v>594.80235405545034</v>
      </c>
    </row>
    <row r="31" spans="1:17">
      <c r="A31" s="3201" t="s">
        <v>3131</v>
      </c>
      <c r="B31" s="3201" t="s">
        <v>3086</v>
      </c>
      <c r="C31" s="3201" t="s">
        <v>3035</v>
      </c>
      <c r="D31" s="3201">
        <v>44718</v>
      </c>
      <c r="E31" s="3201">
        <v>111795</v>
      </c>
      <c r="F31" s="3201" t="s">
        <v>3108</v>
      </c>
      <c r="G31" s="3201" t="s">
        <v>3036</v>
      </c>
      <c r="H31" s="3201" t="s">
        <v>3132</v>
      </c>
      <c r="I31" s="3201">
        <v>16100</v>
      </c>
      <c r="J31" s="3201">
        <v>36400</v>
      </c>
      <c r="K31" s="3201">
        <v>3255.96</v>
      </c>
      <c r="L31" s="3201">
        <v>126.09</v>
      </c>
      <c r="M31" s="3201" t="s">
        <v>3133</v>
      </c>
      <c r="Q31">
        <f t="shared" si="0"/>
        <v>542.66264144192496</v>
      </c>
    </row>
    <row r="32" spans="1:17">
      <c r="A32" s="3201" t="s">
        <v>3135</v>
      </c>
      <c r="B32" s="3201" t="s">
        <v>3086</v>
      </c>
      <c r="C32" s="3201" t="s">
        <v>3035</v>
      </c>
      <c r="D32" s="3201">
        <v>53544</v>
      </c>
      <c r="E32" s="3201">
        <v>160632</v>
      </c>
      <c r="F32" s="3201" t="s">
        <v>3136</v>
      </c>
      <c r="G32" s="3201" t="s">
        <v>3036</v>
      </c>
      <c r="H32" s="3201" t="s">
        <v>3132</v>
      </c>
      <c r="I32" s="3201">
        <v>4820</v>
      </c>
      <c r="J32" s="3201">
        <v>4820</v>
      </c>
      <c r="K32" s="3201">
        <v>300.06</v>
      </c>
      <c r="L32" s="3201">
        <v>0</v>
      </c>
      <c r="M32" s="3201" t="s">
        <v>3137</v>
      </c>
      <c r="Q32">
        <f t="shared" si="0"/>
        <v>60.013248916778721</v>
      </c>
    </row>
    <row r="33" spans="1:17">
      <c r="A33" s="3201" t="s">
        <v>3135</v>
      </c>
      <c r="B33" s="3201" t="s">
        <v>3086</v>
      </c>
      <c r="C33" s="3201" t="s">
        <v>3035</v>
      </c>
      <c r="D33" s="3201">
        <v>42448</v>
      </c>
      <c r="E33" s="3201">
        <v>127344</v>
      </c>
      <c r="F33" s="3201" t="s">
        <v>3136</v>
      </c>
      <c r="G33" s="3201" t="s">
        <v>3036</v>
      </c>
      <c r="H33" s="3201" t="s">
        <v>3132</v>
      </c>
      <c r="I33" s="3201">
        <v>3830</v>
      </c>
      <c r="J33" s="3201">
        <v>3830</v>
      </c>
      <c r="K33" s="3201">
        <v>300.75</v>
      </c>
      <c r="L33" s="3201">
        <v>0</v>
      </c>
      <c r="M33" s="3201" t="s">
        <v>3137</v>
      </c>
      <c r="Q33">
        <f t="shared" si="0"/>
        <v>60.15232990953637</v>
      </c>
    </row>
    <row r="34" spans="1:17">
      <c r="A34" s="3201" t="s">
        <v>3103</v>
      </c>
      <c r="B34" s="3201" t="s">
        <v>3086</v>
      </c>
      <c r="C34" s="3201" t="s">
        <v>3035</v>
      </c>
      <c r="D34" s="3201">
        <v>9271</v>
      </c>
      <c r="E34" s="3201">
        <v>27813</v>
      </c>
      <c r="F34" s="3201" t="s">
        <v>3136</v>
      </c>
      <c r="G34" s="3201" t="s">
        <v>3036</v>
      </c>
      <c r="H34" s="3201" t="s">
        <v>3142</v>
      </c>
      <c r="I34" s="3201">
        <v>3340</v>
      </c>
      <c r="J34" s="3201">
        <v>4440</v>
      </c>
      <c r="K34" s="3201">
        <v>1596.38</v>
      </c>
      <c r="L34" s="3201">
        <v>32.93</v>
      </c>
      <c r="M34" s="3201" t="s">
        <v>3143</v>
      </c>
      <c r="Q34">
        <f t="shared" si="0"/>
        <v>319.27675547405886</v>
      </c>
    </row>
    <row r="35" spans="1:17">
      <c r="A35" s="3201" t="s">
        <v>3120</v>
      </c>
      <c r="B35" s="3201" t="s">
        <v>3086</v>
      </c>
      <c r="C35" s="3201" t="s">
        <v>3035</v>
      </c>
      <c r="D35" s="3201">
        <v>10538</v>
      </c>
      <c r="E35" s="3201">
        <v>26345</v>
      </c>
      <c r="F35" s="3201" t="s">
        <v>3108</v>
      </c>
      <c r="G35" s="3201" t="s">
        <v>3036</v>
      </c>
      <c r="H35" s="3201" t="s">
        <v>3142</v>
      </c>
      <c r="I35" s="3201">
        <v>4110</v>
      </c>
      <c r="J35" s="3201">
        <v>4110</v>
      </c>
      <c r="K35" s="3201">
        <v>1560.06</v>
      </c>
      <c r="L35" s="3201">
        <v>0</v>
      </c>
      <c r="M35" s="3201" t="s">
        <v>3110</v>
      </c>
      <c r="Q35">
        <f t="shared" si="0"/>
        <v>260.01268741696714</v>
      </c>
    </row>
    <row r="36" spans="1:17">
      <c r="A36" s="3201" t="s">
        <v>3144</v>
      </c>
      <c r="B36" s="3201" t="s">
        <v>3086</v>
      </c>
      <c r="C36" s="3201" t="s">
        <v>3035</v>
      </c>
      <c r="D36" s="3201">
        <v>32327</v>
      </c>
      <c r="E36" s="3201">
        <v>96981</v>
      </c>
      <c r="F36" s="3201" t="s">
        <v>3136</v>
      </c>
      <c r="G36" s="3201" t="s">
        <v>3036</v>
      </c>
      <c r="H36" s="3201" t="s">
        <v>3142</v>
      </c>
      <c r="I36" s="3201">
        <v>11640</v>
      </c>
      <c r="J36" s="3201">
        <v>14540</v>
      </c>
      <c r="K36" s="3201">
        <v>1499.25</v>
      </c>
      <c r="L36" s="3201">
        <v>24.91</v>
      </c>
      <c r="M36" s="3201" t="s">
        <v>3143</v>
      </c>
      <c r="Q36">
        <f t="shared" si="0"/>
        <v>299.85404770006494</v>
      </c>
    </row>
    <row r="37" spans="1:17">
      <c r="A37" s="3201" t="s">
        <v>3145</v>
      </c>
      <c r="B37" s="3201" t="s">
        <v>3086</v>
      </c>
      <c r="C37" s="3201" t="s">
        <v>3035</v>
      </c>
      <c r="D37" s="3201">
        <v>19135</v>
      </c>
      <c r="E37" s="3201">
        <v>57405</v>
      </c>
      <c r="F37" s="3201" t="s">
        <v>3136</v>
      </c>
      <c r="G37" s="3201" t="s">
        <v>3036</v>
      </c>
      <c r="H37" s="3201" t="s">
        <v>3142</v>
      </c>
      <c r="I37" s="3201">
        <v>6890</v>
      </c>
      <c r="J37" s="3201">
        <v>8690</v>
      </c>
      <c r="K37" s="3201">
        <v>1513.8</v>
      </c>
      <c r="L37" s="3201">
        <v>26.12</v>
      </c>
      <c r="M37" s="3201" t="s">
        <v>3143</v>
      </c>
      <c r="Q37">
        <f t="shared" si="0"/>
        <v>302.76259733472693</v>
      </c>
    </row>
    <row r="38" spans="1:17">
      <c r="A38" s="3201" t="s">
        <v>3103</v>
      </c>
      <c r="B38" s="3201" t="s">
        <v>3086</v>
      </c>
      <c r="C38" s="3201" t="s">
        <v>3035</v>
      </c>
      <c r="D38" s="3201">
        <v>66123</v>
      </c>
      <c r="E38" s="3201">
        <v>198369</v>
      </c>
      <c r="F38" s="3201" t="s">
        <v>3136</v>
      </c>
      <c r="G38" s="3201" t="s">
        <v>3036</v>
      </c>
      <c r="H38" s="3201" t="s">
        <v>3142</v>
      </c>
      <c r="I38" s="3201">
        <v>23810</v>
      </c>
      <c r="J38" s="3201">
        <v>31810</v>
      </c>
      <c r="K38" s="3201">
        <v>1603.57</v>
      </c>
      <c r="L38" s="3201">
        <v>33.6</v>
      </c>
      <c r="M38" s="3201" t="s">
        <v>3143</v>
      </c>
      <c r="Q38">
        <f t="shared" si="0"/>
        <v>320.71703794443687</v>
      </c>
    </row>
    <row r="39" spans="1:17">
      <c r="A39" s="3201" t="s">
        <v>3146</v>
      </c>
      <c r="B39" s="3201" t="s">
        <v>3086</v>
      </c>
      <c r="C39" s="3201" t="s">
        <v>3035</v>
      </c>
      <c r="D39" s="3201">
        <v>7460</v>
      </c>
      <c r="E39" s="3201">
        <v>22380</v>
      </c>
      <c r="F39" s="3201" t="s">
        <v>3136</v>
      </c>
      <c r="G39" s="3201" t="s">
        <v>3036</v>
      </c>
      <c r="H39" s="3201" t="s">
        <v>3142</v>
      </c>
      <c r="I39" s="3201">
        <v>2690</v>
      </c>
      <c r="J39" s="3201">
        <v>3140</v>
      </c>
      <c r="K39" s="3201">
        <v>1403.03</v>
      </c>
      <c r="L39" s="3201">
        <v>16.73</v>
      </c>
      <c r="M39" s="3201" t="s">
        <v>3143</v>
      </c>
      <c r="Q39">
        <f t="shared" si="0"/>
        <v>280.60908847184987</v>
      </c>
    </row>
    <row r="40" spans="1:17">
      <c r="A40" s="3201" t="s">
        <v>3147</v>
      </c>
      <c r="B40" s="3201" t="s">
        <v>3086</v>
      </c>
      <c r="C40" s="3201" t="s">
        <v>3035</v>
      </c>
      <c r="D40" s="3201">
        <v>21371</v>
      </c>
      <c r="E40" s="3201">
        <v>53427.5</v>
      </c>
      <c r="F40" s="3201" t="s">
        <v>3108</v>
      </c>
      <c r="G40" s="3201" t="s">
        <v>3036</v>
      </c>
      <c r="H40" s="3201" t="s">
        <v>3142</v>
      </c>
      <c r="I40" s="3201">
        <v>4810</v>
      </c>
      <c r="J40" s="3201">
        <v>4810</v>
      </c>
      <c r="K40" s="3201">
        <v>900.28</v>
      </c>
      <c r="L40" s="3201">
        <v>0</v>
      </c>
      <c r="M40" s="3201" t="s">
        <v>3117</v>
      </c>
      <c r="Q40">
        <f t="shared" si="0"/>
        <v>150.04832249309811</v>
      </c>
    </row>
    <row r="41" spans="1:17">
      <c r="A41" s="3201" t="s">
        <v>3116</v>
      </c>
      <c r="B41" s="3201" t="s">
        <v>3086</v>
      </c>
      <c r="C41" s="3201" t="s">
        <v>3035</v>
      </c>
      <c r="D41" s="3201">
        <v>10729</v>
      </c>
      <c r="E41" s="3201">
        <v>32187</v>
      </c>
      <c r="F41" s="3201" t="s">
        <v>3119</v>
      </c>
      <c r="G41" s="3201" t="s">
        <v>3036</v>
      </c>
      <c r="H41" s="3201" t="s">
        <v>3148</v>
      </c>
      <c r="I41" s="3201">
        <v>2420</v>
      </c>
      <c r="J41" s="3201">
        <v>2420</v>
      </c>
      <c r="K41" s="3201">
        <v>751.86</v>
      </c>
      <c r="L41" s="3201">
        <v>0</v>
      </c>
      <c r="M41" s="3201" t="s">
        <v>3117</v>
      </c>
      <c r="Q41">
        <f t="shared" si="0"/>
        <v>150.37201975953022</v>
      </c>
    </row>
    <row r="42" spans="1:17">
      <c r="A42" s="3201" t="s">
        <v>3116</v>
      </c>
      <c r="B42" s="3201" t="s">
        <v>3086</v>
      </c>
      <c r="C42" s="3201" t="s">
        <v>3035</v>
      </c>
      <c r="D42" s="3201">
        <v>32484</v>
      </c>
      <c r="E42" s="3201">
        <v>97452</v>
      </c>
      <c r="F42" s="3201" t="s">
        <v>3119</v>
      </c>
      <c r="G42" s="3201" t="s">
        <v>3036</v>
      </c>
      <c r="H42" s="3201" t="s">
        <v>3148</v>
      </c>
      <c r="I42" s="3201">
        <v>7310</v>
      </c>
      <c r="J42" s="3201">
        <v>7310</v>
      </c>
      <c r="K42" s="3201">
        <v>750.11</v>
      </c>
      <c r="L42" s="3201">
        <v>0</v>
      </c>
      <c r="M42" s="3201" t="s">
        <v>3117</v>
      </c>
      <c r="Q42">
        <f t="shared" si="0"/>
        <v>150.02332532939292</v>
      </c>
    </row>
    <row r="43" spans="1:17">
      <c r="A43" s="3201" t="s">
        <v>3116</v>
      </c>
      <c r="B43" s="3201" t="s">
        <v>3086</v>
      </c>
      <c r="C43" s="3201" t="s">
        <v>3035</v>
      </c>
      <c r="D43" s="3201">
        <v>42183</v>
      </c>
      <c r="E43" s="3201">
        <v>126549</v>
      </c>
      <c r="F43" s="3201" t="s">
        <v>3119</v>
      </c>
      <c r="G43" s="3201" t="s">
        <v>3036</v>
      </c>
      <c r="H43" s="3201" t="s">
        <v>3148</v>
      </c>
      <c r="I43" s="3201">
        <v>9500</v>
      </c>
      <c r="J43" s="3201">
        <v>9500</v>
      </c>
      <c r="K43" s="3201">
        <v>750.7</v>
      </c>
      <c r="L43" s="3201">
        <v>0</v>
      </c>
      <c r="M43" s="3201" t="s">
        <v>3117</v>
      </c>
      <c r="Q43">
        <f t="shared" si="0"/>
        <v>150.14022236445959</v>
      </c>
    </row>
    <row r="44" spans="1:17">
      <c r="A44" s="3201" t="s">
        <v>3116</v>
      </c>
      <c r="B44" s="3201" t="s">
        <v>3086</v>
      </c>
      <c r="C44" s="3201" t="s">
        <v>3035</v>
      </c>
      <c r="D44" s="3201">
        <v>21232</v>
      </c>
      <c r="E44" s="3201">
        <v>63696</v>
      </c>
      <c r="F44" s="3201" t="s">
        <v>3119</v>
      </c>
      <c r="G44" s="3201" t="s">
        <v>3036</v>
      </c>
      <c r="H44" s="3201" t="s">
        <v>3148</v>
      </c>
      <c r="I44" s="3201">
        <v>4780</v>
      </c>
      <c r="J44" s="3201">
        <v>4780</v>
      </c>
      <c r="K44" s="3201">
        <v>750.44</v>
      </c>
      <c r="L44" s="3201">
        <v>0</v>
      </c>
      <c r="M44" s="3201" t="s">
        <v>3117</v>
      </c>
      <c r="Q44">
        <f t="shared" si="0"/>
        <v>150.08866804822907</v>
      </c>
    </row>
    <row r="45" spans="1:17">
      <c r="A45" s="3201" t="s">
        <v>3116</v>
      </c>
      <c r="B45" s="3201" t="s">
        <v>3086</v>
      </c>
      <c r="C45" s="3201" t="s">
        <v>3035</v>
      </c>
      <c r="D45" s="3201">
        <v>31570</v>
      </c>
      <c r="E45" s="3201">
        <v>94710</v>
      </c>
      <c r="F45" s="3201" t="s">
        <v>3119</v>
      </c>
      <c r="G45" s="3201" t="s">
        <v>3036</v>
      </c>
      <c r="H45" s="3201" t="s">
        <v>3148</v>
      </c>
      <c r="I45" s="3201">
        <v>7110</v>
      </c>
      <c r="J45" s="3201">
        <v>7110</v>
      </c>
      <c r="K45" s="3201">
        <v>750.71</v>
      </c>
      <c r="L45" s="3201">
        <v>0</v>
      </c>
      <c r="M45" s="3201" t="s">
        <v>3117</v>
      </c>
    </row>
    <row r="46" spans="1:17">
      <c r="A46" s="3201" t="s">
        <v>3116</v>
      </c>
      <c r="B46" s="3201" t="s">
        <v>3086</v>
      </c>
      <c r="C46" s="3201" t="s">
        <v>3035</v>
      </c>
      <c r="D46" s="3201">
        <v>66652</v>
      </c>
      <c r="E46" s="3201">
        <v>199956</v>
      </c>
      <c r="F46" s="3201" t="s">
        <v>3119</v>
      </c>
      <c r="G46" s="3201" t="s">
        <v>3036</v>
      </c>
      <c r="H46" s="3201" t="s">
        <v>3148</v>
      </c>
      <c r="I46" s="3201">
        <v>15000</v>
      </c>
      <c r="J46" s="3201">
        <v>15000</v>
      </c>
      <c r="K46" s="3201">
        <v>750.16</v>
      </c>
      <c r="L46" s="3201">
        <v>0</v>
      </c>
      <c r="M46" s="3201" t="s">
        <v>3117</v>
      </c>
    </row>
    <row r="47" spans="1:17">
      <c r="A47" s="3201" t="s">
        <v>3149</v>
      </c>
      <c r="B47" s="3201" t="s">
        <v>3086</v>
      </c>
      <c r="C47" s="3201" t="s">
        <v>3035</v>
      </c>
      <c r="D47" s="3201">
        <v>26701</v>
      </c>
      <c r="E47" s="3201">
        <v>64082.400000000001</v>
      </c>
      <c r="F47" s="3201" t="s">
        <v>3150</v>
      </c>
      <c r="G47" s="3201" t="s">
        <v>3036</v>
      </c>
      <c r="H47" s="3201" t="s">
        <v>3151</v>
      </c>
      <c r="I47" s="3201">
        <v>8020</v>
      </c>
      <c r="J47" s="3201">
        <v>8020</v>
      </c>
      <c r="K47" s="3201">
        <v>1251.5</v>
      </c>
      <c r="L47" s="3201">
        <v>0</v>
      </c>
      <c r="M47" s="3201" t="s">
        <v>3110</v>
      </c>
    </row>
    <row r="48" spans="1:17">
      <c r="A48" s="3201" t="s">
        <v>3152</v>
      </c>
      <c r="B48" s="3201" t="s">
        <v>3086</v>
      </c>
      <c r="C48" s="3201" t="s">
        <v>3035</v>
      </c>
      <c r="D48" s="3201">
        <v>25272</v>
      </c>
      <c r="E48" s="3201">
        <v>50544</v>
      </c>
      <c r="F48" s="3201" t="s">
        <v>3153</v>
      </c>
      <c r="G48" s="3201" t="s">
        <v>3036</v>
      </c>
      <c r="H48" s="3201" t="s">
        <v>3151</v>
      </c>
      <c r="I48" s="3201">
        <v>9100</v>
      </c>
      <c r="J48" s="3201">
        <v>9100</v>
      </c>
      <c r="K48" s="3201">
        <v>1800.41</v>
      </c>
      <c r="L48" s="3201">
        <v>0</v>
      </c>
      <c r="M48" s="3201" t="s">
        <v>3110</v>
      </c>
    </row>
    <row r="49" spans="1:13">
      <c r="A49" s="3201" t="s">
        <v>3101</v>
      </c>
      <c r="B49" s="3201" t="s">
        <v>3086</v>
      </c>
      <c r="C49" s="3201" t="s">
        <v>3035</v>
      </c>
      <c r="D49" s="3201">
        <v>27758</v>
      </c>
      <c r="E49" s="3201">
        <v>66619.199999999997</v>
      </c>
      <c r="F49" s="3201" t="s">
        <v>3150</v>
      </c>
      <c r="G49" s="3201" t="s">
        <v>3036</v>
      </c>
      <c r="H49" s="3201" t="s">
        <v>3151</v>
      </c>
      <c r="I49" s="3201">
        <v>8330</v>
      </c>
      <c r="J49" s="3201">
        <v>8530</v>
      </c>
      <c r="K49" s="3201">
        <v>1280.4100000000001</v>
      </c>
      <c r="L49" s="3201">
        <v>2.4</v>
      </c>
      <c r="M49" s="3201" t="s">
        <v>3110</v>
      </c>
    </row>
    <row r="50" spans="1:13">
      <c r="A50" s="3201" t="s">
        <v>3154</v>
      </c>
      <c r="B50" s="3201" t="s">
        <v>3086</v>
      </c>
      <c r="C50" s="3201" t="s">
        <v>3035</v>
      </c>
      <c r="D50" s="3201">
        <v>27388</v>
      </c>
      <c r="E50" s="3201">
        <v>82164</v>
      </c>
      <c r="F50" s="3201" t="s">
        <v>3119</v>
      </c>
      <c r="G50" s="3201" t="s">
        <v>3036</v>
      </c>
      <c r="H50" s="3201" t="s">
        <v>3151</v>
      </c>
      <c r="I50" s="3201">
        <v>9040</v>
      </c>
      <c r="J50" s="3201">
        <v>9240</v>
      </c>
      <c r="K50" s="3201">
        <v>1124.57</v>
      </c>
      <c r="L50" s="3201">
        <v>2.21</v>
      </c>
      <c r="M50" s="3201" t="s">
        <v>3110</v>
      </c>
    </row>
    <row r="51" spans="1:13">
      <c r="A51" s="3201" t="s">
        <v>3155</v>
      </c>
      <c r="B51" s="3201" t="s">
        <v>3086</v>
      </c>
      <c r="C51" s="3201" t="s">
        <v>3035</v>
      </c>
      <c r="D51" s="3201">
        <v>62518</v>
      </c>
      <c r="E51" s="3201">
        <v>150043.20000000001</v>
      </c>
      <c r="F51" s="3201" t="s">
        <v>3150</v>
      </c>
      <c r="G51" s="3201" t="s">
        <v>3036</v>
      </c>
      <c r="H51" s="3201" t="s">
        <v>3151</v>
      </c>
      <c r="I51" s="3201">
        <v>19700</v>
      </c>
      <c r="J51" s="3201">
        <v>19700</v>
      </c>
      <c r="K51" s="3201">
        <v>1312.96</v>
      </c>
      <c r="L51" s="3201">
        <v>0</v>
      </c>
      <c r="M51" s="3201" t="s">
        <v>3091</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Q28" sqref="Q28"/>
    </sheetView>
  </sheetViews>
  <sheetFormatPr defaultRowHeight="14.4"/>
  <sheetData>
    <row r="8" spans="5:7">
      <c r="G8" t="s">
        <v>3070</v>
      </c>
    </row>
    <row r="12" spans="5:7">
      <c r="E12">
        <v>0</v>
      </c>
    </row>
    <row r="18" spans="1:9">
      <c r="I18" s="3190"/>
    </row>
    <row r="21" spans="1:9">
      <c r="E21" s="3191"/>
    </row>
    <row r="22" spans="1:9">
      <c r="C22" s="3192"/>
      <c r="E22" s="3193"/>
    </row>
    <row r="23" spans="1:9">
      <c r="B23" s="3192"/>
      <c r="C23" s="3192"/>
      <c r="D23" s="3192"/>
      <c r="E23" s="3191"/>
    </row>
    <row r="24" spans="1:9">
      <c r="C24" s="3192"/>
      <c r="E24" s="3193"/>
    </row>
    <row r="25" spans="1:9">
      <c r="B25" s="3192"/>
      <c r="C25" s="3192"/>
      <c r="D25" s="3192"/>
      <c r="E25" s="3191"/>
    </row>
    <row r="26" spans="1:9">
      <c r="B26" s="3192"/>
      <c r="C26" s="3192"/>
      <c r="D26" s="3192"/>
      <c r="E26" s="3191"/>
    </row>
    <row r="27" spans="1:9">
      <c r="B27" s="3192"/>
      <c r="C27" s="3192"/>
      <c r="D27" s="3192"/>
      <c r="E27" s="3191"/>
    </row>
    <row r="28" spans="1:9">
      <c r="B28" s="3192"/>
      <c r="C28" s="3192"/>
      <c r="D28" s="3192"/>
      <c r="E28" s="3191"/>
    </row>
    <row r="29" spans="1:9">
      <c r="A29" s="3190"/>
      <c r="B29" s="3190"/>
      <c r="C29" s="3190"/>
      <c r="D29" s="3190"/>
      <c r="E29" s="3190"/>
      <c r="F29" s="3190"/>
      <c r="G29" s="3190"/>
      <c r="H29" s="3190"/>
      <c r="I29" s="3190"/>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0"/>
  <sheetViews>
    <sheetView topLeftCell="A35" zoomScale="60" zoomScaleNormal="60" workbookViewId="0">
      <selection activeCell="A45" sqref="A45"/>
    </sheetView>
  </sheetViews>
  <sheetFormatPr defaultRowHeight="14.4"/>
  <cols>
    <col min="2" max="6" width="11.6640625" bestFit="1" customWidth="1"/>
    <col min="7" max="7" width="9.44140625" bestFit="1" customWidth="1"/>
  </cols>
  <sheetData>
    <row r="2" spans="1:29">
      <c r="B2" s="3196"/>
      <c r="C2" s="3196"/>
      <c r="D2" s="3196"/>
      <c r="E2" s="3196"/>
      <c r="F2" s="3196"/>
      <c r="G2" s="3196"/>
      <c r="H2" s="3196"/>
      <c r="I2" s="3199"/>
      <c r="J2" s="3199"/>
      <c r="K2" s="3199"/>
    </row>
    <row r="3" spans="1:29">
      <c r="B3" s="3197"/>
      <c r="C3" s="3198"/>
      <c r="D3" s="3198"/>
      <c r="E3" s="3198"/>
      <c r="F3" s="3198"/>
      <c r="G3" s="3198"/>
      <c r="H3" s="3198"/>
      <c r="I3" s="3197"/>
      <c r="J3" s="3197"/>
      <c r="K3" s="3197"/>
      <c r="AC3">
        <v>391.38</v>
      </c>
    </row>
    <row r="4" spans="1:29">
      <c r="B4" s="3197"/>
      <c r="C4" s="3198"/>
      <c r="D4" s="3198"/>
      <c r="E4" s="3198"/>
      <c r="F4" s="3198"/>
      <c r="G4" s="3198"/>
      <c r="H4" s="3198"/>
      <c r="I4" s="3197"/>
      <c r="J4" s="3197"/>
      <c r="K4" s="3197"/>
    </row>
    <row r="5" spans="1:29">
      <c r="B5" s="3197"/>
      <c r="C5" s="3198"/>
      <c r="D5" s="3198"/>
      <c r="E5" s="3198"/>
      <c r="F5" s="3198"/>
      <c r="G5" s="3198"/>
      <c r="H5" s="3198"/>
      <c r="I5" s="3197"/>
      <c r="J5" s="3197"/>
      <c r="K5" s="3197"/>
    </row>
    <row r="6" spans="1:29">
      <c r="B6" s="3197"/>
      <c r="C6" s="3198"/>
      <c r="D6" s="3198"/>
      <c r="E6" s="3198"/>
      <c r="F6" s="3198"/>
      <c r="G6" s="3198"/>
      <c r="H6" s="3198"/>
      <c r="I6" s="3197"/>
      <c r="J6" s="3197"/>
      <c r="K6" s="3197"/>
    </row>
    <row r="7" spans="1:29">
      <c r="B7" s="3197"/>
      <c r="C7" s="3198"/>
      <c r="D7" s="3198"/>
      <c r="E7" s="3198"/>
      <c r="F7" s="3198"/>
      <c r="G7" s="3198"/>
      <c r="H7" s="3198"/>
      <c r="I7" s="3197"/>
      <c r="J7" s="3197"/>
      <c r="K7" s="3197"/>
    </row>
    <row r="8" spans="1:29">
      <c r="B8" s="3197"/>
      <c r="C8" s="3198"/>
      <c r="D8" s="3198"/>
      <c r="E8" s="3198"/>
      <c r="F8" s="3198"/>
      <c r="G8" s="3198"/>
      <c r="H8" s="3198"/>
      <c r="I8" s="3197"/>
      <c r="J8" s="3197"/>
      <c r="K8" s="3197"/>
    </row>
    <row r="9" spans="1:29">
      <c r="B9" s="3197"/>
      <c r="C9" s="3198"/>
      <c r="D9" s="3198"/>
      <c r="E9" s="3198"/>
      <c r="F9" s="3198"/>
      <c r="G9" s="3198"/>
      <c r="H9" s="3198"/>
      <c r="I9" s="3197"/>
      <c r="J9" s="3197"/>
      <c r="K9" s="3197"/>
    </row>
    <row r="10" spans="1:29">
      <c r="A10" s="3195"/>
      <c r="B10" s="3197"/>
      <c r="C10" s="3198"/>
      <c r="D10" s="3197"/>
      <c r="E10" s="3198"/>
      <c r="F10" s="3198"/>
      <c r="G10" s="3197"/>
      <c r="H10" s="3198"/>
      <c r="I10" s="3197"/>
      <c r="J10" s="3197"/>
      <c r="K10" s="3197"/>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0"/>
  <sheetViews>
    <sheetView zoomScale="70" zoomScaleNormal="70" workbookViewId="0">
      <selection activeCell="O10" sqref="O10"/>
    </sheetView>
  </sheetViews>
  <sheetFormatPr defaultRowHeight="14.4"/>
  <sheetData>
    <row r="1" spans="1:1" ht="115.2">
      <c r="A1" s="3205" t="s">
        <v>3160</v>
      </c>
    </row>
    <row r="2" spans="1:1">
      <c r="A2" s="3206" t="s">
        <v>3161</v>
      </c>
    </row>
    <row r="29" spans="1:1" ht="115.2">
      <c r="A29" s="3205" t="s">
        <v>3162</v>
      </c>
    </row>
    <row r="30" spans="1:1">
      <c r="A30" s="3206" t="s">
        <v>3161</v>
      </c>
    </row>
    <row r="59" spans="1:1" ht="198">
      <c r="A59" s="3205" t="s">
        <v>3163</v>
      </c>
    </row>
    <row r="60" spans="1:1">
      <c r="A60" s="3206" t="s">
        <v>3161</v>
      </c>
    </row>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J19" sqref="J19"/>
    </sheetView>
  </sheetViews>
  <sheetFormatPr defaultRowHeight="14.4"/>
  <cols>
    <col min="1" max="1" width="28.44140625" style="2939" customWidth="1"/>
    <col min="2" max="2" width="6.21875" style="2939" customWidth="1"/>
    <col min="3" max="5" width="13.88671875" style="2939" customWidth="1"/>
    <col min="6" max="6" width="19.88671875" style="2939" customWidth="1"/>
    <col min="7" max="7" width="7.88671875" style="2939" customWidth="1"/>
    <col min="8" max="8" width="9" style="2939" customWidth="1"/>
    <col min="9" max="10" width="10.6640625" style="2939" customWidth="1"/>
    <col min="11" max="11" width="14.33203125" style="2939" customWidth="1"/>
    <col min="12" max="12" width="6.21875" style="2939" customWidth="1"/>
    <col min="13" max="13" width="29.33203125" style="2939" customWidth="1"/>
    <col min="14" max="14" width="7.88671875" style="2939" customWidth="1"/>
    <col min="15" max="256" width="9" style="2939"/>
    <col min="257" max="257" width="28.44140625" style="2939" customWidth="1"/>
    <col min="258" max="258" width="6.21875" style="2939" customWidth="1"/>
    <col min="259" max="261" width="13.88671875" style="2939" customWidth="1"/>
    <col min="262" max="262" width="19.88671875" style="2939" customWidth="1"/>
    <col min="263" max="263" width="7.88671875" style="2939" customWidth="1"/>
    <col min="264" max="264" width="9" style="2939" customWidth="1"/>
    <col min="265" max="266" width="10.6640625" style="2939" customWidth="1"/>
    <col min="267" max="267" width="14.33203125" style="2939" customWidth="1"/>
    <col min="268" max="268" width="6.21875" style="2939" customWidth="1"/>
    <col min="269" max="269" width="29.33203125" style="2939" customWidth="1"/>
    <col min="270" max="270" width="7.88671875" style="2939" customWidth="1"/>
    <col min="271" max="512" width="9" style="2939"/>
    <col min="513" max="513" width="28.44140625" style="2939" customWidth="1"/>
    <col min="514" max="514" width="6.21875" style="2939" customWidth="1"/>
    <col min="515" max="517" width="13.88671875" style="2939" customWidth="1"/>
    <col min="518" max="518" width="19.88671875" style="2939" customWidth="1"/>
    <col min="519" max="519" width="7.88671875" style="2939" customWidth="1"/>
    <col min="520" max="520" width="9" style="2939" customWidth="1"/>
    <col min="521" max="522" width="10.6640625" style="2939" customWidth="1"/>
    <col min="523" max="523" width="14.33203125" style="2939" customWidth="1"/>
    <col min="524" max="524" width="6.21875" style="2939" customWidth="1"/>
    <col min="525" max="525" width="29.33203125" style="2939" customWidth="1"/>
    <col min="526" max="526" width="7.88671875" style="2939" customWidth="1"/>
    <col min="527" max="768" width="9" style="2939"/>
    <col min="769" max="769" width="28.44140625" style="2939" customWidth="1"/>
    <col min="770" max="770" width="6.21875" style="2939" customWidth="1"/>
    <col min="771" max="773" width="13.88671875" style="2939" customWidth="1"/>
    <col min="774" max="774" width="19.88671875" style="2939" customWidth="1"/>
    <col min="775" max="775" width="7.88671875" style="2939" customWidth="1"/>
    <col min="776" max="776" width="9" style="2939" customWidth="1"/>
    <col min="777" max="778" width="10.6640625" style="2939" customWidth="1"/>
    <col min="779" max="779" width="14.33203125" style="2939" customWidth="1"/>
    <col min="780" max="780" width="6.21875" style="2939" customWidth="1"/>
    <col min="781" max="781" width="29.33203125" style="2939" customWidth="1"/>
    <col min="782" max="782" width="7.88671875" style="2939" customWidth="1"/>
    <col min="783" max="1024" width="9" style="2939"/>
    <col min="1025" max="1025" width="28.44140625" style="2939" customWidth="1"/>
    <col min="1026" max="1026" width="6.21875" style="2939" customWidth="1"/>
    <col min="1027" max="1029" width="13.88671875" style="2939" customWidth="1"/>
    <col min="1030" max="1030" width="19.88671875" style="2939" customWidth="1"/>
    <col min="1031" max="1031" width="7.88671875" style="2939" customWidth="1"/>
    <col min="1032" max="1032" width="9" style="2939" customWidth="1"/>
    <col min="1033" max="1034" width="10.6640625" style="2939" customWidth="1"/>
    <col min="1035" max="1035" width="14.33203125" style="2939" customWidth="1"/>
    <col min="1036" max="1036" width="6.21875" style="2939" customWidth="1"/>
    <col min="1037" max="1037" width="29.33203125" style="2939" customWidth="1"/>
    <col min="1038" max="1038" width="7.88671875" style="2939" customWidth="1"/>
    <col min="1039" max="1280" width="9" style="2939"/>
    <col min="1281" max="1281" width="28.44140625" style="2939" customWidth="1"/>
    <col min="1282" max="1282" width="6.21875" style="2939" customWidth="1"/>
    <col min="1283" max="1285" width="13.88671875" style="2939" customWidth="1"/>
    <col min="1286" max="1286" width="19.88671875" style="2939" customWidth="1"/>
    <col min="1287" max="1287" width="7.88671875" style="2939" customWidth="1"/>
    <col min="1288" max="1288" width="9" style="2939" customWidth="1"/>
    <col min="1289" max="1290" width="10.6640625" style="2939" customWidth="1"/>
    <col min="1291" max="1291" width="14.33203125" style="2939" customWidth="1"/>
    <col min="1292" max="1292" width="6.21875" style="2939" customWidth="1"/>
    <col min="1293" max="1293" width="29.33203125" style="2939" customWidth="1"/>
    <col min="1294" max="1294" width="7.88671875" style="2939" customWidth="1"/>
    <col min="1295" max="1536" width="9" style="2939"/>
    <col min="1537" max="1537" width="28.44140625" style="2939" customWidth="1"/>
    <col min="1538" max="1538" width="6.21875" style="2939" customWidth="1"/>
    <col min="1539" max="1541" width="13.88671875" style="2939" customWidth="1"/>
    <col min="1542" max="1542" width="19.88671875" style="2939" customWidth="1"/>
    <col min="1543" max="1543" width="7.88671875" style="2939" customWidth="1"/>
    <col min="1544" max="1544" width="9" style="2939" customWidth="1"/>
    <col min="1545" max="1546" width="10.6640625" style="2939" customWidth="1"/>
    <col min="1547" max="1547" width="14.33203125" style="2939" customWidth="1"/>
    <col min="1548" max="1548" width="6.21875" style="2939" customWidth="1"/>
    <col min="1549" max="1549" width="29.33203125" style="2939" customWidth="1"/>
    <col min="1550" max="1550" width="7.88671875" style="2939" customWidth="1"/>
    <col min="1551" max="1792" width="9" style="2939"/>
    <col min="1793" max="1793" width="28.44140625" style="2939" customWidth="1"/>
    <col min="1794" max="1794" width="6.21875" style="2939" customWidth="1"/>
    <col min="1795" max="1797" width="13.88671875" style="2939" customWidth="1"/>
    <col min="1798" max="1798" width="19.88671875" style="2939" customWidth="1"/>
    <col min="1799" max="1799" width="7.88671875" style="2939" customWidth="1"/>
    <col min="1800" max="1800" width="9" style="2939" customWidth="1"/>
    <col min="1801" max="1802" width="10.6640625" style="2939" customWidth="1"/>
    <col min="1803" max="1803" width="14.33203125" style="2939" customWidth="1"/>
    <col min="1804" max="1804" width="6.21875" style="2939" customWidth="1"/>
    <col min="1805" max="1805" width="29.33203125" style="2939" customWidth="1"/>
    <col min="1806" max="1806" width="7.88671875" style="2939" customWidth="1"/>
    <col min="1807" max="2048" width="9" style="2939"/>
    <col min="2049" max="2049" width="28.44140625" style="2939" customWidth="1"/>
    <col min="2050" max="2050" width="6.21875" style="2939" customWidth="1"/>
    <col min="2051" max="2053" width="13.88671875" style="2939" customWidth="1"/>
    <col min="2054" max="2054" width="19.88671875" style="2939" customWidth="1"/>
    <col min="2055" max="2055" width="7.88671875" style="2939" customWidth="1"/>
    <col min="2056" max="2056" width="9" style="2939" customWidth="1"/>
    <col min="2057" max="2058" width="10.6640625" style="2939" customWidth="1"/>
    <col min="2059" max="2059" width="14.33203125" style="2939" customWidth="1"/>
    <col min="2060" max="2060" width="6.21875" style="2939" customWidth="1"/>
    <col min="2061" max="2061" width="29.33203125" style="2939" customWidth="1"/>
    <col min="2062" max="2062" width="7.88671875" style="2939" customWidth="1"/>
    <col min="2063" max="2304" width="9" style="2939"/>
    <col min="2305" max="2305" width="28.44140625" style="2939" customWidth="1"/>
    <col min="2306" max="2306" width="6.21875" style="2939" customWidth="1"/>
    <col min="2307" max="2309" width="13.88671875" style="2939" customWidth="1"/>
    <col min="2310" max="2310" width="19.88671875" style="2939" customWidth="1"/>
    <col min="2311" max="2311" width="7.88671875" style="2939" customWidth="1"/>
    <col min="2312" max="2312" width="9" style="2939" customWidth="1"/>
    <col min="2313" max="2314" width="10.6640625" style="2939" customWidth="1"/>
    <col min="2315" max="2315" width="14.33203125" style="2939" customWidth="1"/>
    <col min="2316" max="2316" width="6.21875" style="2939" customWidth="1"/>
    <col min="2317" max="2317" width="29.33203125" style="2939" customWidth="1"/>
    <col min="2318" max="2318" width="7.88671875" style="2939" customWidth="1"/>
    <col min="2319" max="2560" width="9" style="2939"/>
    <col min="2561" max="2561" width="28.44140625" style="2939" customWidth="1"/>
    <col min="2562" max="2562" width="6.21875" style="2939" customWidth="1"/>
    <col min="2563" max="2565" width="13.88671875" style="2939" customWidth="1"/>
    <col min="2566" max="2566" width="19.88671875" style="2939" customWidth="1"/>
    <col min="2567" max="2567" width="7.88671875" style="2939" customWidth="1"/>
    <col min="2568" max="2568" width="9" style="2939" customWidth="1"/>
    <col min="2569" max="2570" width="10.6640625" style="2939" customWidth="1"/>
    <col min="2571" max="2571" width="14.33203125" style="2939" customWidth="1"/>
    <col min="2572" max="2572" width="6.21875" style="2939" customWidth="1"/>
    <col min="2573" max="2573" width="29.33203125" style="2939" customWidth="1"/>
    <col min="2574" max="2574" width="7.88671875" style="2939" customWidth="1"/>
    <col min="2575" max="2816" width="9" style="2939"/>
    <col min="2817" max="2817" width="28.44140625" style="2939" customWidth="1"/>
    <col min="2818" max="2818" width="6.21875" style="2939" customWidth="1"/>
    <col min="2819" max="2821" width="13.88671875" style="2939" customWidth="1"/>
    <col min="2822" max="2822" width="19.88671875" style="2939" customWidth="1"/>
    <col min="2823" max="2823" width="7.88671875" style="2939" customWidth="1"/>
    <col min="2824" max="2824" width="9" style="2939" customWidth="1"/>
    <col min="2825" max="2826" width="10.6640625" style="2939" customWidth="1"/>
    <col min="2827" max="2827" width="14.33203125" style="2939" customWidth="1"/>
    <col min="2828" max="2828" width="6.21875" style="2939" customWidth="1"/>
    <col min="2829" max="2829" width="29.33203125" style="2939" customWidth="1"/>
    <col min="2830" max="2830" width="7.88671875" style="2939" customWidth="1"/>
    <col min="2831" max="3072" width="9" style="2939"/>
    <col min="3073" max="3073" width="28.44140625" style="2939" customWidth="1"/>
    <col min="3074" max="3074" width="6.21875" style="2939" customWidth="1"/>
    <col min="3075" max="3077" width="13.88671875" style="2939" customWidth="1"/>
    <col min="3078" max="3078" width="19.88671875" style="2939" customWidth="1"/>
    <col min="3079" max="3079" width="7.88671875" style="2939" customWidth="1"/>
    <col min="3080" max="3080" width="9" style="2939" customWidth="1"/>
    <col min="3081" max="3082" width="10.6640625" style="2939" customWidth="1"/>
    <col min="3083" max="3083" width="14.33203125" style="2939" customWidth="1"/>
    <col min="3084" max="3084" width="6.21875" style="2939" customWidth="1"/>
    <col min="3085" max="3085" width="29.33203125" style="2939" customWidth="1"/>
    <col min="3086" max="3086" width="7.88671875" style="2939" customWidth="1"/>
    <col min="3087" max="3328" width="9" style="2939"/>
    <col min="3329" max="3329" width="28.44140625" style="2939" customWidth="1"/>
    <col min="3330" max="3330" width="6.21875" style="2939" customWidth="1"/>
    <col min="3331" max="3333" width="13.88671875" style="2939" customWidth="1"/>
    <col min="3334" max="3334" width="19.88671875" style="2939" customWidth="1"/>
    <col min="3335" max="3335" width="7.88671875" style="2939" customWidth="1"/>
    <col min="3336" max="3336" width="9" style="2939" customWidth="1"/>
    <col min="3337" max="3338" width="10.6640625" style="2939" customWidth="1"/>
    <col min="3339" max="3339" width="14.33203125" style="2939" customWidth="1"/>
    <col min="3340" max="3340" width="6.21875" style="2939" customWidth="1"/>
    <col min="3341" max="3341" width="29.33203125" style="2939" customWidth="1"/>
    <col min="3342" max="3342" width="7.88671875" style="2939" customWidth="1"/>
    <col min="3343" max="3584" width="9" style="2939"/>
    <col min="3585" max="3585" width="28.44140625" style="2939" customWidth="1"/>
    <col min="3586" max="3586" width="6.21875" style="2939" customWidth="1"/>
    <col min="3587" max="3589" width="13.88671875" style="2939" customWidth="1"/>
    <col min="3590" max="3590" width="19.88671875" style="2939" customWidth="1"/>
    <col min="3591" max="3591" width="7.88671875" style="2939" customWidth="1"/>
    <col min="3592" max="3592" width="9" style="2939" customWidth="1"/>
    <col min="3593" max="3594" width="10.6640625" style="2939" customWidth="1"/>
    <col min="3595" max="3595" width="14.33203125" style="2939" customWidth="1"/>
    <col min="3596" max="3596" width="6.21875" style="2939" customWidth="1"/>
    <col min="3597" max="3597" width="29.33203125" style="2939" customWidth="1"/>
    <col min="3598" max="3598" width="7.88671875" style="2939" customWidth="1"/>
    <col min="3599" max="3840" width="9" style="2939"/>
    <col min="3841" max="3841" width="28.44140625" style="2939" customWidth="1"/>
    <col min="3842" max="3842" width="6.21875" style="2939" customWidth="1"/>
    <col min="3843" max="3845" width="13.88671875" style="2939" customWidth="1"/>
    <col min="3846" max="3846" width="19.88671875" style="2939" customWidth="1"/>
    <col min="3847" max="3847" width="7.88671875" style="2939" customWidth="1"/>
    <col min="3848" max="3848" width="9" style="2939" customWidth="1"/>
    <col min="3849" max="3850" width="10.6640625" style="2939" customWidth="1"/>
    <col min="3851" max="3851" width="14.33203125" style="2939" customWidth="1"/>
    <col min="3852" max="3852" width="6.21875" style="2939" customWidth="1"/>
    <col min="3853" max="3853" width="29.33203125" style="2939" customWidth="1"/>
    <col min="3854" max="3854" width="7.88671875" style="2939" customWidth="1"/>
    <col min="3855" max="4096" width="9" style="2939"/>
    <col min="4097" max="4097" width="28.44140625" style="2939" customWidth="1"/>
    <col min="4098" max="4098" width="6.21875" style="2939" customWidth="1"/>
    <col min="4099" max="4101" width="13.88671875" style="2939" customWidth="1"/>
    <col min="4102" max="4102" width="19.88671875" style="2939" customWidth="1"/>
    <col min="4103" max="4103" width="7.88671875" style="2939" customWidth="1"/>
    <col min="4104" max="4104" width="9" style="2939" customWidth="1"/>
    <col min="4105" max="4106" width="10.6640625" style="2939" customWidth="1"/>
    <col min="4107" max="4107" width="14.33203125" style="2939" customWidth="1"/>
    <col min="4108" max="4108" width="6.21875" style="2939" customWidth="1"/>
    <col min="4109" max="4109" width="29.33203125" style="2939" customWidth="1"/>
    <col min="4110" max="4110" width="7.88671875" style="2939" customWidth="1"/>
    <col min="4111" max="4352" width="9" style="2939"/>
    <col min="4353" max="4353" width="28.44140625" style="2939" customWidth="1"/>
    <col min="4354" max="4354" width="6.21875" style="2939" customWidth="1"/>
    <col min="4355" max="4357" width="13.88671875" style="2939" customWidth="1"/>
    <col min="4358" max="4358" width="19.88671875" style="2939" customWidth="1"/>
    <col min="4359" max="4359" width="7.88671875" style="2939" customWidth="1"/>
    <col min="4360" max="4360" width="9" style="2939" customWidth="1"/>
    <col min="4361" max="4362" width="10.6640625" style="2939" customWidth="1"/>
    <col min="4363" max="4363" width="14.33203125" style="2939" customWidth="1"/>
    <col min="4364" max="4364" width="6.21875" style="2939" customWidth="1"/>
    <col min="4365" max="4365" width="29.33203125" style="2939" customWidth="1"/>
    <col min="4366" max="4366" width="7.88671875" style="2939" customWidth="1"/>
    <col min="4367" max="4608" width="9" style="2939"/>
    <col min="4609" max="4609" width="28.44140625" style="2939" customWidth="1"/>
    <col min="4610" max="4610" width="6.21875" style="2939" customWidth="1"/>
    <col min="4611" max="4613" width="13.88671875" style="2939" customWidth="1"/>
    <col min="4614" max="4614" width="19.88671875" style="2939" customWidth="1"/>
    <col min="4615" max="4615" width="7.88671875" style="2939" customWidth="1"/>
    <col min="4616" max="4616" width="9" style="2939" customWidth="1"/>
    <col min="4617" max="4618" width="10.6640625" style="2939" customWidth="1"/>
    <col min="4619" max="4619" width="14.33203125" style="2939" customWidth="1"/>
    <col min="4620" max="4620" width="6.21875" style="2939" customWidth="1"/>
    <col min="4621" max="4621" width="29.33203125" style="2939" customWidth="1"/>
    <col min="4622" max="4622" width="7.88671875" style="2939" customWidth="1"/>
    <col min="4623" max="4864" width="9" style="2939"/>
    <col min="4865" max="4865" width="28.44140625" style="2939" customWidth="1"/>
    <col min="4866" max="4866" width="6.21875" style="2939" customWidth="1"/>
    <col min="4867" max="4869" width="13.88671875" style="2939" customWidth="1"/>
    <col min="4870" max="4870" width="19.88671875" style="2939" customWidth="1"/>
    <col min="4871" max="4871" width="7.88671875" style="2939" customWidth="1"/>
    <col min="4872" max="4872" width="9" style="2939" customWidth="1"/>
    <col min="4873" max="4874" width="10.6640625" style="2939" customWidth="1"/>
    <col min="4875" max="4875" width="14.33203125" style="2939" customWidth="1"/>
    <col min="4876" max="4876" width="6.21875" style="2939" customWidth="1"/>
    <col min="4877" max="4877" width="29.33203125" style="2939" customWidth="1"/>
    <col min="4878" max="4878" width="7.88671875" style="2939" customWidth="1"/>
    <col min="4879" max="5120" width="9" style="2939"/>
    <col min="5121" max="5121" width="28.44140625" style="2939" customWidth="1"/>
    <col min="5122" max="5122" width="6.21875" style="2939" customWidth="1"/>
    <col min="5123" max="5125" width="13.88671875" style="2939" customWidth="1"/>
    <col min="5126" max="5126" width="19.88671875" style="2939" customWidth="1"/>
    <col min="5127" max="5127" width="7.88671875" style="2939" customWidth="1"/>
    <col min="5128" max="5128" width="9" style="2939" customWidth="1"/>
    <col min="5129" max="5130" width="10.6640625" style="2939" customWidth="1"/>
    <col min="5131" max="5131" width="14.33203125" style="2939" customWidth="1"/>
    <col min="5132" max="5132" width="6.21875" style="2939" customWidth="1"/>
    <col min="5133" max="5133" width="29.33203125" style="2939" customWidth="1"/>
    <col min="5134" max="5134" width="7.88671875" style="2939" customWidth="1"/>
    <col min="5135" max="5376" width="9" style="2939"/>
    <col min="5377" max="5377" width="28.44140625" style="2939" customWidth="1"/>
    <col min="5378" max="5378" width="6.21875" style="2939" customWidth="1"/>
    <col min="5379" max="5381" width="13.88671875" style="2939" customWidth="1"/>
    <col min="5382" max="5382" width="19.88671875" style="2939" customWidth="1"/>
    <col min="5383" max="5383" width="7.88671875" style="2939" customWidth="1"/>
    <col min="5384" max="5384" width="9" style="2939" customWidth="1"/>
    <col min="5385" max="5386" width="10.6640625" style="2939" customWidth="1"/>
    <col min="5387" max="5387" width="14.33203125" style="2939" customWidth="1"/>
    <col min="5388" max="5388" width="6.21875" style="2939" customWidth="1"/>
    <col min="5389" max="5389" width="29.33203125" style="2939" customWidth="1"/>
    <col min="5390" max="5390" width="7.88671875" style="2939" customWidth="1"/>
    <col min="5391" max="5632" width="9" style="2939"/>
    <col min="5633" max="5633" width="28.44140625" style="2939" customWidth="1"/>
    <col min="5634" max="5634" width="6.21875" style="2939" customWidth="1"/>
    <col min="5635" max="5637" width="13.88671875" style="2939" customWidth="1"/>
    <col min="5638" max="5638" width="19.88671875" style="2939" customWidth="1"/>
    <col min="5639" max="5639" width="7.88671875" style="2939" customWidth="1"/>
    <col min="5640" max="5640" width="9" style="2939" customWidth="1"/>
    <col min="5641" max="5642" width="10.6640625" style="2939" customWidth="1"/>
    <col min="5643" max="5643" width="14.33203125" style="2939" customWidth="1"/>
    <col min="5644" max="5644" width="6.21875" style="2939" customWidth="1"/>
    <col min="5645" max="5645" width="29.33203125" style="2939" customWidth="1"/>
    <col min="5646" max="5646" width="7.88671875" style="2939" customWidth="1"/>
    <col min="5647" max="5888" width="9" style="2939"/>
    <col min="5889" max="5889" width="28.44140625" style="2939" customWidth="1"/>
    <col min="5890" max="5890" width="6.21875" style="2939" customWidth="1"/>
    <col min="5891" max="5893" width="13.88671875" style="2939" customWidth="1"/>
    <col min="5894" max="5894" width="19.88671875" style="2939" customWidth="1"/>
    <col min="5895" max="5895" width="7.88671875" style="2939" customWidth="1"/>
    <col min="5896" max="5896" width="9" style="2939" customWidth="1"/>
    <col min="5897" max="5898" width="10.6640625" style="2939" customWidth="1"/>
    <col min="5899" max="5899" width="14.33203125" style="2939" customWidth="1"/>
    <col min="5900" max="5900" width="6.21875" style="2939" customWidth="1"/>
    <col min="5901" max="5901" width="29.33203125" style="2939" customWidth="1"/>
    <col min="5902" max="5902" width="7.88671875" style="2939" customWidth="1"/>
    <col min="5903" max="6144" width="9" style="2939"/>
    <col min="6145" max="6145" width="28.44140625" style="2939" customWidth="1"/>
    <col min="6146" max="6146" width="6.21875" style="2939" customWidth="1"/>
    <col min="6147" max="6149" width="13.88671875" style="2939" customWidth="1"/>
    <col min="6150" max="6150" width="19.88671875" style="2939" customWidth="1"/>
    <col min="6151" max="6151" width="7.88671875" style="2939" customWidth="1"/>
    <col min="6152" max="6152" width="9" style="2939" customWidth="1"/>
    <col min="6153" max="6154" width="10.6640625" style="2939" customWidth="1"/>
    <col min="6155" max="6155" width="14.33203125" style="2939" customWidth="1"/>
    <col min="6156" max="6156" width="6.21875" style="2939" customWidth="1"/>
    <col min="6157" max="6157" width="29.33203125" style="2939" customWidth="1"/>
    <col min="6158" max="6158" width="7.88671875" style="2939" customWidth="1"/>
    <col min="6159" max="6400" width="9" style="2939"/>
    <col min="6401" max="6401" width="28.44140625" style="2939" customWidth="1"/>
    <col min="6402" max="6402" width="6.21875" style="2939" customWidth="1"/>
    <col min="6403" max="6405" width="13.88671875" style="2939" customWidth="1"/>
    <col min="6406" max="6406" width="19.88671875" style="2939" customWidth="1"/>
    <col min="6407" max="6407" width="7.88671875" style="2939" customWidth="1"/>
    <col min="6408" max="6408" width="9" style="2939" customWidth="1"/>
    <col min="6409" max="6410" width="10.6640625" style="2939" customWidth="1"/>
    <col min="6411" max="6411" width="14.33203125" style="2939" customWidth="1"/>
    <col min="6412" max="6412" width="6.21875" style="2939" customWidth="1"/>
    <col min="6413" max="6413" width="29.33203125" style="2939" customWidth="1"/>
    <col min="6414" max="6414" width="7.88671875" style="2939" customWidth="1"/>
    <col min="6415" max="6656" width="9" style="2939"/>
    <col min="6657" max="6657" width="28.44140625" style="2939" customWidth="1"/>
    <col min="6658" max="6658" width="6.21875" style="2939" customWidth="1"/>
    <col min="6659" max="6661" width="13.88671875" style="2939" customWidth="1"/>
    <col min="6662" max="6662" width="19.88671875" style="2939" customWidth="1"/>
    <col min="6663" max="6663" width="7.88671875" style="2939" customWidth="1"/>
    <col min="6664" max="6664" width="9" style="2939" customWidth="1"/>
    <col min="6665" max="6666" width="10.6640625" style="2939" customWidth="1"/>
    <col min="6667" max="6667" width="14.33203125" style="2939" customWidth="1"/>
    <col min="6668" max="6668" width="6.21875" style="2939" customWidth="1"/>
    <col min="6669" max="6669" width="29.33203125" style="2939" customWidth="1"/>
    <col min="6670" max="6670" width="7.88671875" style="2939" customWidth="1"/>
    <col min="6671" max="6912" width="9" style="2939"/>
    <col min="6913" max="6913" width="28.44140625" style="2939" customWidth="1"/>
    <col min="6914" max="6914" width="6.21875" style="2939" customWidth="1"/>
    <col min="6915" max="6917" width="13.88671875" style="2939" customWidth="1"/>
    <col min="6918" max="6918" width="19.88671875" style="2939" customWidth="1"/>
    <col min="6919" max="6919" width="7.88671875" style="2939" customWidth="1"/>
    <col min="6920" max="6920" width="9" style="2939" customWidth="1"/>
    <col min="6921" max="6922" width="10.6640625" style="2939" customWidth="1"/>
    <col min="6923" max="6923" width="14.33203125" style="2939" customWidth="1"/>
    <col min="6924" max="6924" width="6.21875" style="2939" customWidth="1"/>
    <col min="6925" max="6925" width="29.33203125" style="2939" customWidth="1"/>
    <col min="6926" max="6926" width="7.88671875" style="2939" customWidth="1"/>
    <col min="6927" max="7168" width="9" style="2939"/>
    <col min="7169" max="7169" width="28.44140625" style="2939" customWidth="1"/>
    <col min="7170" max="7170" width="6.21875" style="2939" customWidth="1"/>
    <col min="7171" max="7173" width="13.88671875" style="2939" customWidth="1"/>
    <col min="7174" max="7174" width="19.88671875" style="2939" customWidth="1"/>
    <col min="7175" max="7175" width="7.88671875" style="2939" customWidth="1"/>
    <col min="7176" max="7176" width="9" style="2939" customWidth="1"/>
    <col min="7177" max="7178" width="10.6640625" style="2939" customWidth="1"/>
    <col min="7179" max="7179" width="14.33203125" style="2939" customWidth="1"/>
    <col min="7180" max="7180" width="6.21875" style="2939" customWidth="1"/>
    <col min="7181" max="7181" width="29.33203125" style="2939" customWidth="1"/>
    <col min="7182" max="7182" width="7.88671875" style="2939" customWidth="1"/>
    <col min="7183" max="7424" width="9" style="2939"/>
    <col min="7425" max="7425" width="28.44140625" style="2939" customWidth="1"/>
    <col min="7426" max="7426" width="6.21875" style="2939" customWidth="1"/>
    <col min="7427" max="7429" width="13.88671875" style="2939" customWidth="1"/>
    <col min="7430" max="7430" width="19.88671875" style="2939" customWidth="1"/>
    <col min="7431" max="7431" width="7.88671875" style="2939" customWidth="1"/>
    <col min="7432" max="7432" width="9" style="2939" customWidth="1"/>
    <col min="7433" max="7434" width="10.6640625" style="2939" customWidth="1"/>
    <col min="7435" max="7435" width="14.33203125" style="2939" customWidth="1"/>
    <col min="7436" max="7436" width="6.21875" style="2939" customWidth="1"/>
    <col min="7437" max="7437" width="29.33203125" style="2939" customWidth="1"/>
    <col min="7438" max="7438" width="7.88671875" style="2939" customWidth="1"/>
    <col min="7439" max="7680" width="9" style="2939"/>
    <col min="7681" max="7681" width="28.44140625" style="2939" customWidth="1"/>
    <col min="7682" max="7682" width="6.21875" style="2939" customWidth="1"/>
    <col min="7683" max="7685" width="13.88671875" style="2939" customWidth="1"/>
    <col min="7686" max="7686" width="19.88671875" style="2939" customWidth="1"/>
    <col min="7687" max="7687" width="7.88671875" style="2939" customWidth="1"/>
    <col min="7688" max="7688" width="9" style="2939" customWidth="1"/>
    <col min="7689" max="7690" width="10.6640625" style="2939" customWidth="1"/>
    <col min="7691" max="7691" width="14.33203125" style="2939" customWidth="1"/>
    <col min="7692" max="7692" width="6.21875" style="2939" customWidth="1"/>
    <col min="7693" max="7693" width="29.33203125" style="2939" customWidth="1"/>
    <col min="7694" max="7694" width="7.88671875" style="2939" customWidth="1"/>
    <col min="7695" max="7936" width="9" style="2939"/>
    <col min="7937" max="7937" width="28.44140625" style="2939" customWidth="1"/>
    <col min="7938" max="7938" width="6.21875" style="2939" customWidth="1"/>
    <col min="7939" max="7941" width="13.88671875" style="2939" customWidth="1"/>
    <col min="7942" max="7942" width="19.88671875" style="2939" customWidth="1"/>
    <col min="7943" max="7943" width="7.88671875" style="2939" customWidth="1"/>
    <col min="7944" max="7944" width="9" style="2939" customWidth="1"/>
    <col min="7945" max="7946" width="10.6640625" style="2939" customWidth="1"/>
    <col min="7947" max="7947" width="14.33203125" style="2939" customWidth="1"/>
    <col min="7948" max="7948" width="6.21875" style="2939" customWidth="1"/>
    <col min="7949" max="7949" width="29.33203125" style="2939" customWidth="1"/>
    <col min="7950" max="7950" width="7.88671875" style="2939" customWidth="1"/>
    <col min="7951" max="8192" width="9" style="2939"/>
    <col min="8193" max="8193" width="28.44140625" style="2939" customWidth="1"/>
    <col min="8194" max="8194" width="6.21875" style="2939" customWidth="1"/>
    <col min="8195" max="8197" width="13.88671875" style="2939" customWidth="1"/>
    <col min="8198" max="8198" width="19.88671875" style="2939" customWidth="1"/>
    <col min="8199" max="8199" width="7.88671875" style="2939" customWidth="1"/>
    <col min="8200" max="8200" width="9" style="2939" customWidth="1"/>
    <col min="8201" max="8202" width="10.6640625" style="2939" customWidth="1"/>
    <col min="8203" max="8203" width="14.33203125" style="2939" customWidth="1"/>
    <col min="8204" max="8204" width="6.21875" style="2939" customWidth="1"/>
    <col min="8205" max="8205" width="29.33203125" style="2939" customWidth="1"/>
    <col min="8206" max="8206" width="7.88671875" style="2939" customWidth="1"/>
    <col min="8207" max="8448" width="9" style="2939"/>
    <col min="8449" max="8449" width="28.44140625" style="2939" customWidth="1"/>
    <col min="8450" max="8450" width="6.21875" style="2939" customWidth="1"/>
    <col min="8451" max="8453" width="13.88671875" style="2939" customWidth="1"/>
    <col min="8454" max="8454" width="19.88671875" style="2939" customWidth="1"/>
    <col min="8455" max="8455" width="7.88671875" style="2939" customWidth="1"/>
    <col min="8456" max="8456" width="9" style="2939" customWidth="1"/>
    <col min="8457" max="8458" width="10.6640625" style="2939" customWidth="1"/>
    <col min="8459" max="8459" width="14.33203125" style="2939" customWidth="1"/>
    <col min="8460" max="8460" width="6.21875" style="2939" customWidth="1"/>
    <col min="8461" max="8461" width="29.33203125" style="2939" customWidth="1"/>
    <col min="8462" max="8462" width="7.88671875" style="2939" customWidth="1"/>
    <col min="8463" max="8704" width="9" style="2939"/>
    <col min="8705" max="8705" width="28.44140625" style="2939" customWidth="1"/>
    <col min="8706" max="8706" width="6.21875" style="2939" customWidth="1"/>
    <col min="8707" max="8709" width="13.88671875" style="2939" customWidth="1"/>
    <col min="8710" max="8710" width="19.88671875" style="2939" customWidth="1"/>
    <col min="8711" max="8711" width="7.88671875" style="2939" customWidth="1"/>
    <col min="8712" max="8712" width="9" style="2939" customWidth="1"/>
    <col min="8713" max="8714" width="10.6640625" style="2939" customWidth="1"/>
    <col min="8715" max="8715" width="14.33203125" style="2939" customWidth="1"/>
    <col min="8716" max="8716" width="6.21875" style="2939" customWidth="1"/>
    <col min="8717" max="8717" width="29.33203125" style="2939" customWidth="1"/>
    <col min="8718" max="8718" width="7.88671875" style="2939" customWidth="1"/>
    <col min="8719" max="8960" width="9" style="2939"/>
    <col min="8961" max="8961" width="28.44140625" style="2939" customWidth="1"/>
    <col min="8962" max="8962" width="6.21875" style="2939" customWidth="1"/>
    <col min="8963" max="8965" width="13.88671875" style="2939" customWidth="1"/>
    <col min="8966" max="8966" width="19.88671875" style="2939" customWidth="1"/>
    <col min="8967" max="8967" width="7.88671875" style="2939" customWidth="1"/>
    <col min="8968" max="8968" width="9" style="2939" customWidth="1"/>
    <col min="8969" max="8970" width="10.6640625" style="2939" customWidth="1"/>
    <col min="8971" max="8971" width="14.33203125" style="2939" customWidth="1"/>
    <col min="8972" max="8972" width="6.21875" style="2939" customWidth="1"/>
    <col min="8973" max="8973" width="29.33203125" style="2939" customWidth="1"/>
    <col min="8974" max="8974" width="7.88671875" style="2939" customWidth="1"/>
    <col min="8975" max="9216" width="9" style="2939"/>
    <col min="9217" max="9217" width="28.44140625" style="2939" customWidth="1"/>
    <col min="9218" max="9218" width="6.21875" style="2939" customWidth="1"/>
    <col min="9219" max="9221" width="13.88671875" style="2939" customWidth="1"/>
    <col min="9222" max="9222" width="19.88671875" style="2939" customWidth="1"/>
    <col min="9223" max="9223" width="7.88671875" style="2939" customWidth="1"/>
    <col min="9224" max="9224" width="9" style="2939" customWidth="1"/>
    <col min="9225" max="9226" width="10.6640625" style="2939" customWidth="1"/>
    <col min="9227" max="9227" width="14.33203125" style="2939" customWidth="1"/>
    <col min="9228" max="9228" width="6.21875" style="2939" customWidth="1"/>
    <col min="9229" max="9229" width="29.33203125" style="2939" customWidth="1"/>
    <col min="9230" max="9230" width="7.88671875" style="2939" customWidth="1"/>
    <col min="9231" max="9472" width="9" style="2939"/>
    <col min="9473" max="9473" width="28.44140625" style="2939" customWidth="1"/>
    <col min="9474" max="9474" width="6.21875" style="2939" customWidth="1"/>
    <col min="9475" max="9477" width="13.88671875" style="2939" customWidth="1"/>
    <col min="9478" max="9478" width="19.88671875" style="2939" customWidth="1"/>
    <col min="9479" max="9479" width="7.88671875" style="2939" customWidth="1"/>
    <col min="9480" max="9480" width="9" style="2939" customWidth="1"/>
    <col min="9481" max="9482" width="10.6640625" style="2939" customWidth="1"/>
    <col min="9483" max="9483" width="14.33203125" style="2939" customWidth="1"/>
    <col min="9484" max="9484" width="6.21875" style="2939" customWidth="1"/>
    <col min="9485" max="9485" width="29.33203125" style="2939" customWidth="1"/>
    <col min="9486" max="9486" width="7.88671875" style="2939" customWidth="1"/>
    <col min="9487" max="9728" width="9" style="2939"/>
    <col min="9729" max="9729" width="28.44140625" style="2939" customWidth="1"/>
    <col min="9730" max="9730" width="6.21875" style="2939" customWidth="1"/>
    <col min="9731" max="9733" width="13.88671875" style="2939" customWidth="1"/>
    <col min="9734" max="9734" width="19.88671875" style="2939" customWidth="1"/>
    <col min="9735" max="9735" width="7.88671875" style="2939" customWidth="1"/>
    <col min="9736" max="9736" width="9" style="2939" customWidth="1"/>
    <col min="9737" max="9738" width="10.6640625" style="2939" customWidth="1"/>
    <col min="9739" max="9739" width="14.33203125" style="2939" customWidth="1"/>
    <col min="9740" max="9740" width="6.21875" style="2939" customWidth="1"/>
    <col min="9741" max="9741" width="29.33203125" style="2939" customWidth="1"/>
    <col min="9742" max="9742" width="7.88671875" style="2939" customWidth="1"/>
    <col min="9743" max="9984" width="9" style="2939"/>
    <col min="9985" max="9985" width="28.44140625" style="2939" customWidth="1"/>
    <col min="9986" max="9986" width="6.21875" style="2939" customWidth="1"/>
    <col min="9987" max="9989" width="13.88671875" style="2939" customWidth="1"/>
    <col min="9990" max="9990" width="19.88671875" style="2939" customWidth="1"/>
    <col min="9991" max="9991" width="7.88671875" style="2939" customWidth="1"/>
    <col min="9992" max="9992" width="9" style="2939" customWidth="1"/>
    <col min="9993" max="9994" width="10.6640625" style="2939" customWidth="1"/>
    <col min="9995" max="9995" width="14.33203125" style="2939" customWidth="1"/>
    <col min="9996" max="9996" width="6.21875" style="2939" customWidth="1"/>
    <col min="9997" max="9997" width="29.33203125" style="2939" customWidth="1"/>
    <col min="9998" max="9998" width="7.88671875" style="2939" customWidth="1"/>
    <col min="9999" max="10240" width="9" style="2939"/>
    <col min="10241" max="10241" width="28.44140625" style="2939" customWidth="1"/>
    <col min="10242" max="10242" width="6.21875" style="2939" customWidth="1"/>
    <col min="10243" max="10245" width="13.88671875" style="2939" customWidth="1"/>
    <col min="10246" max="10246" width="19.88671875" style="2939" customWidth="1"/>
    <col min="10247" max="10247" width="7.88671875" style="2939" customWidth="1"/>
    <col min="10248" max="10248" width="9" style="2939" customWidth="1"/>
    <col min="10249" max="10250" width="10.6640625" style="2939" customWidth="1"/>
    <col min="10251" max="10251" width="14.33203125" style="2939" customWidth="1"/>
    <col min="10252" max="10252" width="6.21875" style="2939" customWidth="1"/>
    <col min="10253" max="10253" width="29.33203125" style="2939" customWidth="1"/>
    <col min="10254" max="10254" width="7.88671875" style="2939" customWidth="1"/>
    <col min="10255" max="10496" width="9" style="2939"/>
    <col min="10497" max="10497" width="28.44140625" style="2939" customWidth="1"/>
    <col min="10498" max="10498" width="6.21875" style="2939" customWidth="1"/>
    <col min="10499" max="10501" width="13.88671875" style="2939" customWidth="1"/>
    <col min="10502" max="10502" width="19.88671875" style="2939" customWidth="1"/>
    <col min="10503" max="10503" width="7.88671875" style="2939" customWidth="1"/>
    <col min="10504" max="10504" width="9" style="2939" customWidth="1"/>
    <col min="10505" max="10506" width="10.6640625" style="2939" customWidth="1"/>
    <col min="10507" max="10507" width="14.33203125" style="2939" customWidth="1"/>
    <col min="10508" max="10508" width="6.21875" style="2939" customWidth="1"/>
    <col min="10509" max="10509" width="29.33203125" style="2939" customWidth="1"/>
    <col min="10510" max="10510" width="7.88671875" style="2939" customWidth="1"/>
    <col min="10511" max="10752" width="9" style="2939"/>
    <col min="10753" max="10753" width="28.44140625" style="2939" customWidth="1"/>
    <col min="10754" max="10754" width="6.21875" style="2939" customWidth="1"/>
    <col min="10755" max="10757" width="13.88671875" style="2939" customWidth="1"/>
    <col min="10758" max="10758" width="19.88671875" style="2939" customWidth="1"/>
    <col min="10759" max="10759" width="7.88671875" style="2939" customWidth="1"/>
    <col min="10760" max="10760" width="9" style="2939" customWidth="1"/>
    <col min="10761" max="10762" width="10.6640625" style="2939" customWidth="1"/>
    <col min="10763" max="10763" width="14.33203125" style="2939" customWidth="1"/>
    <col min="10764" max="10764" width="6.21875" style="2939" customWidth="1"/>
    <col min="10765" max="10765" width="29.33203125" style="2939" customWidth="1"/>
    <col min="10766" max="10766" width="7.88671875" style="2939" customWidth="1"/>
    <col min="10767" max="11008" width="9" style="2939"/>
    <col min="11009" max="11009" width="28.44140625" style="2939" customWidth="1"/>
    <col min="11010" max="11010" width="6.21875" style="2939" customWidth="1"/>
    <col min="11011" max="11013" width="13.88671875" style="2939" customWidth="1"/>
    <col min="11014" max="11014" width="19.88671875" style="2939" customWidth="1"/>
    <col min="11015" max="11015" width="7.88671875" style="2939" customWidth="1"/>
    <col min="11016" max="11016" width="9" style="2939" customWidth="1"/>
    <col min="11017" max="11018" width="10.6640625" style="2939" customWidth="1"/>
    <col min="11019" max="11019" width="14.33203125" style="2939" customWidth="1"/>
    <col min="11020" max="11020" width="6.21875" style="2939" customWidth="1"/>
    <col min="11021" max="11021" width="29.33203125" style="2939" customWidth="1"/>
    <col min="11022" max="11022" width="7.88671875" style="2939" customWidth="1"/>
    <col min="11023" max="11264" width="9" style="2939"/>
    <col min="11265" max="11265" width="28.44140625" style="2939" customWidth="1"/>
    <col min="11266" max="11266" width="6.21875" style="2939" customWidth="1"/>
    <col min="11267" max="11269" width="13.88671875" style="2939" customWidth="1"/>
    <col min="11270" max="11270" width="19.88671875" style="2939" customWidth="1"/>
    <col min="11271" max="11271" width="7.88671875" style="2939" customWidth="1"/>
    <col min="11272" max="11272" width="9" style="2939" customWidth="1"/>
    <col min="11273" max="11274" width="10.6640625" style="2939" customWidth="1"/>
    <col min="11275" max="11275" width="14.33203125" style="2939" customWidth="1"/>
    <col min="11276" max="11276" width="6.21875" style="2939" customWidth="1"/>
    <col min="11277" max="11277" width="29.33203125" style="2939" customWidth="1"/>
    <col min="11278" max="11278" width="7.88671875" style="2939" customWidth="1"/>
    <col min="11279" max="11520" width="9" style="2939"/>
    <col min="11521" max="11521" width="28.44140625" style="2939" customWidth="1"/>
    <col min="11522" max="11522" width="6.21875" style="2939" customWidth="1"/>
    <col min="11523" max="11525" width="13.88671875" style="2939" customWidth="1"/>
    <col min="11526" max="11526" width="19.88671875" style="2939" customWidth="1"/>
    <col min="11527" max="11527" width="7.88671875" style="2939" customWidth="1"/>
    <col min="11528" max="11528" width="9" style="2939" customWidth="1"/>
    <col min="11529" max="11530" width="10.6640625" style="2939" customWidth="1"/>
    <col min="11531" max="11531" width="14.33203125" style="2939" customWidth="1"/>
    <col min="11532" max="11532" width="6.21875" style="2939" customWidth="1"/>
    <col min="11533" max="11533" width="29.33203125" style="2939" customWidth="1"/>
    <col min="11534" max="11534" width="7.88671875" style="2939" customWidth="1"/>
    <col min="11535" max="11776" width="9" style="2939"/>
    <col min="11777" max="11777" width="28.44140625" style="2939" customWidth="1"/>
    <col min="11778" max="11778" width="6.21875" style="2939" customWidth="1"/>
    <col min="11779" max="11781" width="13.88671875" style="2939" customWidth="1"/>
    <col min="11782" max="11782" width="19.88671875" style="2939" customWidth="1"/>
    <col min="11783" max="11783" width="7.88671875" style="2939" customWidth="1"/>
    <col min="11784" max="11784" width="9" style="2939" customWidth="1"/>
    <col min="11785" max="11786" width="10.6640625" style="2939" customWidth="1"/>
    <col min="11787" max="11787" width="14.33203125" style="2939" customWidth="1"/>
    <col min="11788" max="11788" width="6.21875" style="2939" customWidth="1"/>
    <col min="11789" max="11789" width="29.33203125" style="2939" customWidth="1"/>
    <col min="11790" max="11790" width="7.88671875" style="2939" customWidth="1"/>
    <col min="11791" max="12032" width="9" style="2939"/>
    <col min="12033" max="12033" width="28.44140625" style="2939" customWidth="1"/>
    <col min="12034" max="12034" width="6.21875" style="2939" customWidth="1"/>
    <col min="12035" max="12037" width="13.88671875" style="2939" customWidth="1"/>
    <col min="12038" max="12038" width="19.88671875" style="2939" customWidth="1"/>
    <col min="12039" max="12039" width="7.88671875" style="2939" customWidth="1"/>
    <col min="12040" max="12040" width="9" style="2939" customWidth="1"/>
    <col min="12041" max="12042" width="10.6640625" style="2939" customWidth="1"/>
    <col min="12043" max="12043" width="14.33203125" style="2939" customWidth="1"/>
    <col min="12044" max="12044" width="6.21875" style="2939" customWidth="1"/>
    <col min="12045" max="12045" width="29.33203125" style="2939" customWidth="1"/>
    <col min="12046" max="12046" width="7.88671875" style="2939" customWidth="1"/>
    <col min="12047" max="12288" width="9" style="2939"/>
    <col min="12289" max="12289" width="28.44140625" style="2939" customWidth="1"/>
    <col min="12290" max="12290" width="6.21875" style="2939" customWidth="1"/>
    <col min="12291" max="12293" width="13.88671875" style="2939" customWidth="1"/>
    <col min="12294" max="12294" width="19.88671875" style="2939" customWidth="1"/>
    <col min="12295" max="12295" width="7.88671875" style="2939" customWidth="1"/>
    <col min="12296" max="12296" width="9" style="2939" customWidth="1"/>
    <col min="12297" max="12298" width="10.6640625" style="2939" customWidth="1"/>
    <col min="12299" max="12299" width="14.33203125" style="2939" customWidth="1"/>
    <col min="12300" max="12300" width="6.21875" style="2939" customWidth="1"/>
    <col min="12301" max="12301" width="29.33203125" style="2939" customWidth="1"/>
    <col min="12302" max="12302" width="7.88671875" style="2939" customWidth="1"/>
    <col min="12303" max="12544" width="9" style="2939"/>
    <col min="12545" max="12545" width="28.44140625" style="2939" customWidth="1"/>
    <col min="12546" max="12546" width="6.21875" style="2939" customWidth="1"/>
    <col min="12547" max="12549" width="13.88671875" style="2939" customWidth="1"/>
    <col min="12550" max="12550" width="19.88671875" style="2939" customWidth="1"/>
    <col min="12551" max="12551" width="7.88671875" style="2939" customWidth="1"/>
    <col min="12552" max="12552" width="9" style="2939" customWidth="1"/>
    <col min="12553" max="12554" width="10.6640625" style="2939" customWidth="1"/>
    <col min="12555" max="12555" width="14.33203125" style="2939" customWidth="1"/>
    <col min="12556" max="12556" width="6.21875" style="2939" customWidth="1"/>
    <col min="12557" max="12557" width="29.33203125" style="2939" customWidth="1"/>
    <col min="12558" max="12558" width="7.88671875" style="2939" customWidth="1"/>
    <col min="12559" max="12800" width="9" style="2939"/>
    <col min="12801" max="12801" width="28.44140625" style="2939" customWidth="1"/>
    <col min="12802" max="12802" width="6.21875" style="2939" customWidth="1"/>
    <col min="12803" max="12805" width="13.88671875" style="2939" customWidth="1"/>
    <col min="12806" max="12806" width="19.88671875" style="2939" customWidth="1"/>
    <col min="12807" max="12807" width="7.88671875" style="2939" customWidth="1"/>
    <col min="12808" max="12808" width="9" style="2939" customWidth="1"/>
    <col min="12809" max="12810" width="10.6640625" style="2939" customWidth="1"/>
    <col min="12811" max="12811" width="14.33203125" style="2939" customWidth="1"/>
    <col min="12812" max="12812" width="6.21875" style="2939" customWidth="1"/>
    <col min="12813" max="12813" width="29.33203125" style="2939" customWidth="1"/>
    <col min="12814" max="12814" width="7.88671875" style="2939" customWidth="1"/>
    <col min="12815" max="13056" width="9" style="2939"/>
    <col min="13057" max="13057" width="28.44140625" style="2939" customWidth="1"/>
    <col min="13058" max="13058" width="6.21875" style="2939" customWidth="1"/>
    <col min="13059" max="13061" width="13.88671875" style="2939" customWidth="1"/>
    <col min="13062" max="13062" width="19.88671875" style="2939" customWidth="1"/>
    <col min="13063" max="13063" width="7.88671875" style="2939" customWidth="1"/>
    <col min="13064" max="13064" width="9" style="2939" customWidth="1"/>
    <col min="13065" max="13066" width="10.6640625" style="2939" customWidth="1"/>
    <col min="13067" max="13067" width="14.33203125" style="2939" customWidth="1"/>
    <col min="13068" max="13068" width="6.21875" style="2939" customWidth="1"/>
    <col min="13069" max="13069" width="29.33203125" style="2939" customWidth="1"/>
    <col min="13070" max="13070" width="7.88671875" style="2939" customWidth="1"/>
    <col min="13071" max="13312" width="9" style="2939"/>
    <col min="13313" max="13313" width="28.44140625" style="2939" customWidth="1"/>
    <col min="13314" max="13314" width="6.21875" style="2939" customWidth="1"/>
    <col min="13315" max="13317" width="13.88671875" style="2939" customWidth="1"/>
    <col min="13318" max="13318" width="19.88671875" style="2939" customWidth="1"/>
    <col min="13319" max="13319" width="7.88671875" style="2939" customWidth="1"/>
    <col min="13320" max="13320" width="9" style="2939" customWidth="1"/>
    <col min="13321" max="13322" width="10.6640625" style="2939" customWidth="1"/>
    <col min="13323" max="13323" width="14.33203125" style="2939" customWidth="1"/>
    <col min="13324" max="13324" width="6.21875" style="2939" customWidth="1"/>
    <col min="13325" max="13325" width="29.33203125" style="2939" customWidth="1"/>
    <col min="13326" max="13326" width="7.88671875" style="2939" customWidth="1"/>
    <col min="13327" max="13568" width="9" style="2939"/>
    <col min="13569" max="13569" width="28.44140625" style="2939" customWidth="1"/>
    <col min="13570" max="13570" width="6.21875" style="2939" customWidth="1"/>
    <col min="13571" max="13573" width="13.88671875" style="2939" customWidth="1"/>
    <col min="13574" max="13574" width="19.88671875" style="2939" customWidth="1"/>
    <col min="13575" max="13575" width="7.88671875" style="2939" customWidth="1"/>
    <col min="13576" max="13576" width="9" style="2939" customWidth="1"/>
    <col min="13577" max="13578" width="10.6640625" style="2939" customWidth="1"/>
    <col min="13579" max="13579" width="14.33203125" style="2939" customWidth="1"/>
    <col min="13580" max="13580" width="6.21875" style="2939" customWidth="1"/>
    <col min="13581" max="13581" width="29.33203125" style="2939" customWidth="1"/>
    <col min="13582" max="13582" width="7.88671875" style="2939" customWidth="1"/>
    <col min="13583" max="13824" width="9" style="2939"/>
    <col min="13825" max="13825" width="28.44140625" style="2939" customWidth="1"/>
    <col min="13826" max="13826" width="6.21875" style="2939" customWidth="1"/>
    <col min="13827" max="13829" width="13.88671875" style="2939" customWidth="1"/>
    <col min="13830" max="13830" width="19.88671875" style="2939" customWidth="1"/>
    <col min="13831" max="13831" width="7.88671875" style="2939" customWidth="1"/>
    <col min="13832" max="13832" width="9" style="2939" customWidth="1"/>
    <col min="13833" max="13834" width="10.6640625" style="2939" customWidth="1"/>
    <col min="13835" max="13835" width="14.33203125" style="2939" customWidth="1"/>
    <col min="13836" max="13836" width="6.21875" style="2939" customWidth="1"/>
    <col min="13837" max="13837" width="29.33203125" style="2939" customWidth="1"/>
    <col min="13838" max="13838" width="7.88671875" style="2939" customWidth="1"/>
    <col min="13839" max="14080" width="9" style="2939"/>
    <col min="14081" max="14081" width="28.44140625" style="2939" customWidth="1"/>
    <col min="14082" max="14082" width="6.21875" style="2939" customWidth="1"/>
    <col min="14083" max="14085" width="13.88671875" style="2939" customWidth="1"/>
    <col min="14086" max="14086" width="19.88671875" style="2939" customWidth="1"/>
    <col min="14087" max="14087" width="7.88671875" style="2939" customWidth="1"/>
    <col min="14088" max="14088" width="9" style="2939" customWidth="1"/>
    <col min="14089" max="14090" width="10.6640625" style="2939" customWidth="1"/>
    <col min="14091" max="14091" width="14.33203125" style="2939" customWidth="1"/>
    <col min="14092" max="14092" width="6.21875" style="2939" customWidth="1"/>
    <col min="14093" max="14093" width="29.33203125" style="2939" customWidth="1"/>
    <col min="14094" max="14094" width="7.88671875" style="2939" customWidth="1"/>
    <col min="14095" max="14336" width="9" style="2939"/>
    <col min="14337" max="14337" width="28.44140625" style="2939" customWidth="1"/>
    <col min="14338" max="14338" width="6.21875" style="2939" customWidth="1"/>
    <col min="14339" max="14341" width="13.88671875" style="2939" customWidth="1"/>
    <col min="14342" max="14342" width="19.88671875" style="2939" customWidth="1"/>
    <col min="14343" max="14343" width="7.88671875" style="2939" customWidth="1"/>
    <col min="14344" max="14344" width="9" style="2939" customWidth="1"/>
    <col min="14345" max="14346" width="10.6640625" style="2939" customWidth="1"/>
    <col min="14347" max="14347" width="14.33203125" style="2939" customWidth="1"/>
    <col min="14348" max="14348" width="6.21875" style="2939" customWidth="1"/>
    <col min="14349" max="14349" width="29.33203125" style="2939" customWidth="1"/>
    <col min="14350" max="14350" width="7.88671875" style="2939" customWidth="1"/>
    <col min="14351" max="14592" width="9" style="2939"/>
    <col min="14593" max="14593" width="28.44140625" style="2939" customWidth="1"/>
    <col min="14594" max="14594" width="6.21875" style="2939" customWidth="1"/>
    <col min="14595" max="14597" width="13.88671875" style="2939" customWidth="1"/>
    <col min="14598" max="14598" width="19.88671875" style="2939" customWidth="1"/>
    <col min="14599" max="14599" width="7.88671875" style="2939" customWidth="1"/>
    <col min="14600" max="14600" width="9" style="2939" customWidth="1"/>
    <col min="14601" max="14602" width="10.6640625" style="2939" customWidth="1"/>
    <col min="14603" max="14603" width="14.33203125" style="2939" customWidth="1"/>
    <col min="14604" max="14604" width="6.21875" style="2939" customWidth="1"/>
    <col min="14605" max="14605" width="29.33203125" style="2939" customWidth="1"/>
    <col min="14606" max="14606" width="7.88671875" style="2939" customWidth="1"/>
    <col min="14607" max="14848" width="9" style="2939"/>
    <col min="14849" max="14849" width="28.44140625" style="2939" customWidth="1"/>
    <col min="14850" max="14850" width="6.21875" style="2939" customWidth="1"/>
    <col min="14851" max="14853" width="13.88671875" style="2939" customWidth="1"/>
    <col min="14854" max="14854" width="19.88671875" style="2939" customWidth="1"/>
    <col min="14855" max="14855" width="7.88671875" style="2939" customWidth="1"/>
    <col min="14856" max="14856" width="9" style="2939" customWidth="1"/>
    <col min="14857" max="14858" width="10.6640625" style="2939" customWidth="1"/>
    <col min="14859" max="14859" width="14.33203125" style="2939" customWidth="1"/>
    <col min="14860" max="14860" width="6.21875" style="2939" customWidth="1"/>
    <col min="14861" max="14861" width="29.33203125" style="2939" customWidth="1"/>
    <col min="14862" max="14862" width="7.88671875" style="2939" customWidth="1"/>
    <col min="14863" max="15104" width="9" style="2939"/>
    <col min="15105" max="15105" width="28.44140625" style="2939" customWidth="1"/>
    <col min="15106" max="15106" width="6.21875" style="2939" customWidth="1"/>
    <col min="15107" max="15109" width="13.88671875" style="2939" customWidth="1"/>
    <col min="15110" max="15110" width="19.88671875" style="2939" customWidth="1"/>
    <col min="15111" max="15111" width="7.88671875" style="2939" customWidth="1"/>
    <col min="15112" max="15112" width="9" style="2939" customWidth="1"/>
    <col min="15113" max="15114" width="10.6640625" style="2939" customWidth="1"/>
    <col min="15115" max="15115" width="14.33203125" style="2939" customWidth="1"/>
    <col min="15116" max="15116" width="6.21875" style="2939" customWidth="1"/>
    <col min="15117" max="15117" width="29.33203125" style="2939" customWidth="1"/>
    <col min="15118" max="15118" width="7.88671875" style="2939" customWidth="1"/>
    <col min="15119" max="15360" width="9" style="2939"/>
    <col min="15361" max="15361" width="28.44140625" style="2939" customWidth="1"/>
    <col min="15362" max="15362" width="6.21875" style="2939" customWidth="1"/>
    <col min="15363" max="15365" width="13.88671875" style="2939" customWidth="1"/>
    <col min="15366" max="15366" width="19.88671875" style="2939" customWidth="1"/>
    <col min="15367" max="15367" width="7.88671875" style="2939" customWidth="1"/>
    <col min="15368" max="15368" width="9" style="2939" customWidth="1"/>
    <col min="15369" max="15370" width="10.6640625" style="2939" customWidth="1"/>
    <col min="15371" max="15371" width="14.33203125" style="2939" customWidth="1"/>
    <col min="15372" max="15372" width="6.21875" style="2939" customWidth="1"/>
    <col min="15373" max="15373" width="29.33203125" style="2939" customWidth="1"/>
    <col min="15374" max="15374" width="7.88671875" style="2939" customWidth="1"/>
    <col min="15375" max="15616" width="9" style="2939"/>
    <col min="15617" max="15617" width="28.44140625" style="2939" customWidth="1"/>
    <col min="15618" max="15618" width="6.21875" style="2939" customWidth="1"/>
    <col min="15619" max="15621" width="13.88671875" style="2939" customWidth="1"/>
    <col min="15622" max="15622" width="19.88671875" style="2939" customWidth="1"/>
    <col min="15623" max="15623" width="7.88671875" style="2939" customWidth="1"/>
    <col min="15624" max="15624" width="9" style="2939" customWidth="1"/>
    <col min="15625" max="15626" width="10.6640625" style="2939" customWidth="1"/>
    <col min="15627" max="15627" width="14.33203125" style="2939" customWidth="1"/>
    <col min="15628" max="15628" width="6.21875" style="2939" customWidth="1"/>
    <col min="15629" max="15629" width="29.33203125" style="2939" customWidth="1"/>
    <col min="15630" max="15630" width="7.88671875" style="2939" customWidth="1"/>
    <col min="15631" max="15872" width="9" style="2939"/>
    <col min="15873" max="15873" width="28.44140625" style="2939" customWidth="1"/>
    <col min="15874" max="15874" width="6.21875" style="2939" customWidth="1"/>
    <col min="15875" max="15877" width="13.88671875" style="2939" customWidth="1"/>
    <col min="15878" max="15878" width="19.88671875" style="2939" customWidth="1"/>
    <col min="15879" max="15879" width="7.88671875" style="2939" customWidth="1"/>
    <col min="15880" max="15880" width="9" style="2939" customWidth="1"/>
    <col min="15881" max="15882" width="10.6640625" style="2939" customWidth="1"/>
    <col min="15883" max="15883" width="14.33203125" style="2939" customWidth="1"/>
    <col min="15884" max="15884" width="6.21875" style="2939" customWidth="1"/>
    <col min="15885" max="15885" width="29.33203125" style="2939" customWidth="1"/>
    <col min="15886" max="15886" width="7.88671875" style="2939" customWidth="1"/>
    <col min="15887" max="16128" width="9" style="2939"/>
    <col min="16129" max="16129" width="28.44140625" style="2939" customWidth="1"/>
    <col min="16130" max="16130" width="6.21875" style="2939" customWidth="1"/>
    <col min="16131" max="16133" width="13.88671875" style="2939" customWidth="1"/>
    <col min="16134" max="16134" width="19.88671875" style="2939" customWidth="1"/>
    <col min="16135" max="16135" width="7.88671875" style="2939" customWidth="1"/>
    <col min="16136" max="16136" width="9" style="2939" customWidth="1"/>
    <col min="16137" max="16138" width="10.6640625" style="2939" customWidth="1"/>
    <col min="16139" max="16139" width="14.33203125" style="2939" customWidth="1"/>
    <col min="16140" max="16140" width="6.21875" style="2939" customWidth="1"/>
    <col min="16141" max="16141" width="29.33203125" style="2939" customWidth="1"/>
    <col min="16142" max="16142" width="7.88671875" style="2939" customWidth="1"/>
    <col min="16143" max="16384" width="9" style="2939"/>
  </cols>
  <sheetData>
    <row r="1" spans="1:14">
      <c r="A1" s="2939" t="s">
        <v>3023</v>
      </c>
      <c r="B1" s="2939" t="s">
        <v>3024</v>
      </c>
      <c r="C1" s="2939" t="s">
        <v>3025</v>
      </c>
      <c r="D1" s="2939" t="s">
        <v>3026</v>
      </c>
      <c r="E1" s="2939" t="s">
        <v>3027</v>
      </c>
      <c r="F1" s="2939" t="s">
        <v>2033</v>
      </c>
      <c r="G1" s="2939" t="s">
        <v>3028</v>
      </c>
      <c r="H1" s="2939" t="s">
        <v>3029</v>
      </c>
      <c r="I1" s="2939" t="s">
        <v>3030</v>
      </c>
      <c r="J1" s="2939" t="s">
        <v>3031</v>
      </c>
      <c r="K1" s="2939" t="s">
        <v>3032</v>
      </c>
      <c r="L1" s="2939" t="s">
        <v>3033</v>
      </c>
      <c r="M1" s="2939" t="s">
        <v>3034</v>
      </c>
      <c r="N1" s="2939" t="s">
        <v>3181</v>
      </c>
    </row>
    <row r="2" spans="1:14">
      <c r="A2" s="2939" t="s">
        <v>3182</v>
      </c>
      <c r="B2" s="2939" t="s">
        <v>3086</v>
      </c>
      <c r="C2" s="2939" t="s">
        <v>3035</v>
      </c>
      <c r="D2" s="2939">
        <v>1423</v>
      </c>
      <c r="E2" s="2939">
        <v>2134.5</v>
      </c>
      <c r="F2" s="2939" t="s">
        <v>3183</v>
      </c>
      <c r="G2" s="2939" t="s">
        <v>3036</v>
      </c>
      <c r="H2" s="2939" t="s">
        <v>3184</v>
      </c>
      <c r="I2" s="2939">
        <v>310</v>
      </c>
      <c r="J2" s="2939">
        <v>310</v>
      </c>
      <c r="K2" s="2939">
        <v>1452.32</v>
      </c>
      <c r="L2" s="2939">
        <v>0</v>
      </c>
      <c r="M2" s="2939" t="s">
        <v>3185</v>
      </c>
      <c r="N2" s="2939" t="s">
        <v>3186</v>
      </c>
    </row>
    <row r="3" spans="1:14">
      <c r="A3" s="2939" t="s">
        <v>3187</v>
      </c>
      <c r="B3" s="2939" t="s">
        <v>3086</v>
      </c>
      <c r="C3" s="2939" t="s">
        <v>3035</v>
      </c>
      <c r="D3" s="2939">
        <v>5356</v>
      </c>
      <c r="E3" s="2939">
        <v>11783.2</v>
      </c>
      <c r="F3" s="2939" t="s">
        <v>3188</v>
      </c>
      <c r="G3" s="2939" t="s">
        <v>3036</v>
      </c>
      <c r="H3" s="2939" t="s">
        <v>3184</v>
      </c>
      <c r="I3" s="2939">
        <v>2860</v>
      </c>
      <c r="J3" s="2939">
        <v>2860</v>
      </c>
      <c r="K3" s="2939">
        <v>2427.17</v>
      </c>
      <c r="L3" s="2939">
        <v>0</v>
      </c>
      <c r="M3" s="2939" t="s">
        <v>3189</v>
      </c>
      <c r="N3" s="2939" t="s">
        <v>3186</v>
      </c>
    </row>
    <row r="4" spans="1:14">
      <c r="A4" s="2939" t="s">
        <v>3098</v>
      </c>
      <c r="B4" s="2939" t="s">
        <v>3086</v>
      </c>
      <c r="C4" s="2939" t="s">
        <v>3035</v>
      </c>
      <c r="D4" s="2939">
        <v>11919</v>
      </c>
      <c r="E4" s="2939">
        <v>23242.05</v>
      </c>
      <c r="F4" s="2939" t="s">
        <v>3190</v>
      </c>
      <c r="G4" s="2939" t="s">
        <v>3036</v>
      </c>
      <c r="H4" s="2939" t="s">
        <v>3191</v>
      </c>
      <c r="I4" s="2939">
        <v>10730</v>
      </c>
      <c r="J4" s="2939">
        <v>10930</v>
      </c>
      <c r="K4" s="2939">
        <v>4702.68</v>
      </c>
      <c r="L4" s="2939">
        <v>1.86</v>
      </c>
      <c r="M4" s="2939" t="s">
        <v>3091</v>
      </c>
      <c r="N4" s="2939" t="s">
        <v>3186</v>
      </c>
    </row>
    <row r="5" spans="1:14">
      <c r="A5" s="2939" t="s">
        <v>3192</v>
      </c>
      <c r="B5" s="2939" t="s">
        <v>3086</v>
      </c>
      <c r="C5" s="2939" t="s">
        <v>3193</v>
      </c>
      <c r="D5" s="2939">
        <v>78820</v>
      </c>
      <c r="E5" s="2939">
        <v>157640</v>
      </c>
      <c r="F5" s="2939" t="s">
        <v>3194</v>
      </c>
      <c r="G5" s="2939" t="s">
        <v>3036</v>
      </c>
      <c r="H5" s="2939" t="s">
        <v>3191</v>
      </c>
      <c r="I5" s="2939">
        <v>82770</v>
      </c>
      <c r="J5" s="2939">
        <v>96270</v>
      </c>
      <c r="K5" s="2939">
        <v>6106.94</v>
      </c>
      <c r="L5" s="2939">
        <v>16.309999999999999</v>
      </c>
      <c r="M5" s="2939" t="s">
        <v>3110</v>
      </c>
      <c r="N5" s="2939" t="s">
        <v>3186</v>
      </c>
    </row>
    <row r="6" spans="1:14">
      <c r="A6" s="2939" t="s">
        <v>3195</v>
      </c>
      <c r="B6" s="2939" t="s">
        <v>3086</v>
      </c>
      <c r="C6" s="2939" t="s">
        <v>3193</v>
      </c>
      <c r="D6" s="2939">
        <v>18884</v>
      </c>
      <c r="E6" s="2939">
        <v>46265.8</v>
      </c>
      <c r="F6" s="2939" t="s">
        <v>3196</v>
      </c>
      <c r="G6" s="2939" t="s">
        <v>3036</v>
      </c>
      <c r="H6" s="2939" t="s">
        <v>3191</v>
      </c>
      <c r="I6" s="2939">
        <v>21110</v>
      </c>
      <c r="J6" s="2939">
        <v>21510</v>
      </c>
      <c r="K6" s="2939">
        <v>4649.22</v>
      </c>
      <c r="L6" s="2939">
        <v>1.89</v>
      </c>
      <c r="M6" s="2939" t="s">
        <v>3197</v>
      </c>
      <c r="N6" s="2939" t="s">
        <v>3186</v>
      </c>
    </row>
    <row r="7" spans="1:14">
      <c r="A7" s="2939" t="s">
        <v>3198</v>
      </c>
      <c r="B7" s="2939" t="s">
        <v>3086</v>
      </c>
      <c r="C7" s="2939" t="s">
        <v>3035</v>
      </c>
      <c r="D7" s="2939">
        <v>53983</v>
      </c>
      <c r="E7" s="2939">
        <v>129559.2</v>
      </c>
      <c r="F7" s="2939" t="s">
        <v>3199</v>
      </c>
      <c r="G7" s="2939" t="s">
        <v>3036</v>
      </c>
      <c r="H7" s="2939" t="s">
        <v>3191</v>
      </c>
      <c r="I7" s="2939">
        <v>44540</v>
      </c>
      <c r="J7" s="2939">
        <v>61840</v>
      </c>
      <c r="K7" s="2939">
        <v>4773.1000000000004</v>
      </c>
      <c r="L7" s="2939">
        <v>38.840000000000003</v>
      </c>
      <c r="M7" s="2939" t="s">
        <v>3091</v>
      </c>
      <c r="N7" s="2939" t="s">
        <v>3186</v>
      </c>
    </row>
    <row r="8" spans="1:14">
      <c r="A8" s="2939" t="s">
        <v>3200</v>
      </c>
      <c r="B8" s="2939" t="s">
        <v>3086</v>
      </c>
      <c r="C8" s="2939" t="s">
        <v>3193</v>
      </c>
      <c r="D8" s="2939">
        <v>22678</v>
      </c>
      <c r="E8" s="2939">
        <v>45356</v>
      </c>
      <c r="F8" s="2939" t="s">
        <v>3087</v>
      </c>
      <c r="G8" s="2939" t="s">
        <v>3036</v>
      </c>
      <c r="H8" s="2939" t="s">
        <v>3201</v>
      </c>
      <c r="I8" s="2939">
        <v>22460</v>
      </c>
      <c r="J8" s="2939">
        <v>22460</v>
      </c>
      <c r="K8" s="2939">
        <v>4951.93</v>
      </c>
      <c r="L8" s="2939">
        <v>0</v>
      </c>
      <c r="M8" s="2939" t="s">
        <v>3202</v>
      </c>
      <c r="N8" s="2939" t="s">
        <v>3186</v>
      </c>
    </row>
    <row r="9" spans="1:14">
      <c r="A9" s="2939" t="s">
        <v>3203</v>
      </c>
      <c r="B9" s="2939" t="s">
        <v>3086</v>
      </c>
      <c r="C9" s="2939" t="s">
        <v>3193</v>
      </c>
      <c r="D9" s="2939">
        <v>31530</v>
      </c>
      <c r="E9" s="2939">
        <v>56754</v>
      </c>
      <c r="F9" s="2939" t="s">
        <v>3204</v>
      </c>
      <c r="G9" s="2939" t="s">
        <v>3036</v>
      </c>
      <c r="H9" s="2939" t="s">
        <v>3201</v>
      </c>
      <c r="I9" s="2939">
        <v>26580</v>
      </c>
      <c r="J9" s="2939">
        <v>40580</v>
      </c>
      <c r="K9" s="2939">
        <v>7150.15</v>
      </c>
      <c r="L9" s="2939">
        <v>52.67</v>
      </c>
      <c r="M9" s="2939" t="s">
        <v>3091</v>
      </c>
      <c r="N9" s="2939" t="s">
        <v>3186</v>
      </c>
    </row>
    <row r="10" spans="1:14">
      <c r="A10" s="2939" t="s">
        <v>3205</v>
      </c>
      <c r="B10" s="2939" t="s">
        <v>3086</v>
      </c>
      <c r="C10" s="2939" t="s">
        <v>3193</v>
      </c>
      <c r="D10" s="2939">
        <v>71929</v>
      </c>
      <c r="E10" s="2939">
        <v>136665.1</v>
      </c>
      <c r="F10" s="2939" t="s">
        <v>3206</v>
      </c>
      <c r="G10" s="2939" t="s">
        <v>3036</v>
      </c>
      <c r="H10" s="2939" t="s">
        <v>3201</v>
      </c>
      <c r="I10" s="2939">
        <v>55030</v>
      </c>
      <c r="J10" s="2939">
        <v>76130</v>
      </c>
      <c r="K10" s="2939">
        <v>5570.55</v>
      </c>
      <c r="L10" s="2939">
        <v>38.340000000000003</v>
      </c>
      <c r="M10" s="2939" t="s">
        <v>3091</v>
      </c>
      <c r="N10" s="2939" t="s">
        <v>3186</v>
      </c>
    </row>
    <row r="11" spans="1:14">
      <c r="A11" s="2939" t="s">
        <v>3207</v>
      </c>
      <c r="B11" s="2939" t="s">
        <v>3086</v>
      </c>
      <c r="C11" s="2939" t="s">
        <v>3035</v>
      </c>
      <c r="D11" s="2939">
        <v>64563</v>
      </c>
      <c r="E11" s="2939">
        <v>116213.4</v>
      </c>
      <c r="F11" s="2939" t="s">
        <v>3204</v>
      </c>
      <c r="G11" s="2939" t="s">
        <v>3036</v>
      </c>
      <c r="H11" s="2939" t="s">
        <v>3208</v>
      </c>
      <c r="I11" s="2939">
        <v>9762</v>
      </c>
      <c r="J11" s="2939">
        <v>9762</v>
      </c>
      <c r="K11" s="2939">
        <v>840</v>
      </c>
      <c r="L11" s="2939">
        <v>0</v>
      </c>
      <c r="M11" s="2939" t="s">
        <v>3137</v>
      </c>
      <c r="N11" s="2939" t="s">
        <v>3186</v>
      </c>
    </row>
    <row r="12" spans="1:14">
      <c r="A12" s="2939" t="s">
        <v>3207</v>
      </c>
      <c r="B12" s="2939" t="s">
        <v>3086</v>
      </c>
      <c r="C12" s="2939" t="s">
        <v>3035</v>
      </c>
      <c r="D12" s="2939">
        <v>49769</v>
      </c>
      <c r="E12" s="2939">
        <v>89584.2</v>
      </c>
      <c r="F12" s="2939" t="s">
        <v>3204</v>
      </c>
      <c r="G12" s="2939" t="s">
        <v>3036</v>
      </c>
      <c r="H12" s="2939" t="s">
        <v>3208</v>
      </c>
      <c r="I12" s="2939">
        <v>7682</v>
      </c>
      <c r="J12" s="2939">
        <v>7682</v>
      </c>
      <c r="K12" s="2939">
        <v>857.51</v>
      </c>
      <c r="L12" s="2939">
        <v>0</v>
      </c>
      <c r="M12" s="2939" t="s">
        <v>3137</v>
      </c>
      <c r="N12" s="2939" t="s">
        <v>3186</v>
      </c>
    </row>
    <row r="13" spans="1:14">
      <c r="A13" s="2939" t="s">
        <v>3207</v>
      </c>
      <c r="B13" s="2939" t="s">
        <v>3086</v>
      </c>
      <c r="C13" s="2939" t="s">
        <v>3035</v>
      </c>
      <c r="D13" s="2939">
        <v>37669</v>
      </c>
      <c r="E13" s="2939">
        <v>67804.2</v>
      </c>
      <c r="F13" s="2939" t="s">
        <v>3204</v>
      </c>
      <c r="G13" s="2939" t="s">
        <v>3036</v>
      </c>
      <c r="H13" s="2939" t="s">
        <v>3208</v>
      </c>
      <c r="I13" s="2939">
        <v>5815</v>
      </c>
      <c r="J13" s="2939">
        <v>5815</v>
      </c>
      <c r="K13" s="2939">
        <v>857.62</v>
      </c>
      <c r="L13" s="2939">
        <v>0</v>
      </c>
      <c r="M13" s="2939" t="s">
        <v>3137</v>
      </c>
      <c r="N13" s="2939" t="s">
        <v>3186</v>
      </c>
    </row>
    <row r="14" spans="1:14">
      <c r="A14" s="2939" t="s">
        <v>3209</v>
      </c>
      <c r="B14" s="2939" t="s">
        <v>3086</v>
      </c>
      <c r="C14" s="2939" t="s">
        <v>3035</v>
      </c>
      <c r="D14" s="2939">
        <v>49244</v>
      </c>
      <c r="E14" s="2939">
        <v>123110</v>
      </c>
      <c r="F14" s="2939" t="s">
        <v>3210</v>
      </c>
      <c r="G14" s="2939" t="s">
        <v>3036</v>
      </c>
      <c r="H14" s="2939" t="s">
        <v>3211</v>
      </c>
      <c r="I14" s="2939">
        <v>29547</v>
      </c>
      <c r="J14" s="2939">
        <v>40647</v>
      </c>
      <c r="K14" s="2939">
        <v>3301.67</v>
      </c>
      <c r="L14" s="2939">
        <v>37.57</v>
      </c>
      <c r="M14" s="2939" t="s">
        <v>3091</v>
      </c>
      <c r="N14" s="2939" t="s">
        <v>3186</v>
      </c>
    </row>
    <row r="15" spans="1:14">
      <c r="A15" s="2939" t="s">
        <v>3101</v>
      </c>
      <c r="B15" s="2939" t="s">
        <v>3086</v>
      </c>
      <c r="C15" s="2939" t="s">
        <v>3035</v>
      </c>
      <c r="D15" s="2939">
        <v>25605</v>
      </c>
      <c r="E15" s="2939">
        <v>48649.5</v>
      </c>
      <c r="F15" s="2939" t="s">
        <v>3212</v>
      </c>
      <c r="G15" s="2939" t="s">
        <v>3036</v>
      </c>
      <c r="H15" s="2939" t="s">
        <v>3211</v>
      </c>
      <c r="I15" s="2939">
        <v>14595</v>
      </c>
      <c r="J15" s="2939">
        <v>23595</v>
      </c>
      <c r="K15" s="2939">
        <v>4850</v>
      </c>
      <c r="L15" s="2939">
        <v>61.66</v>
      </c>
      <c r="M15" s="2939" t="s">
        <v>3091</v>
      </c>
      <c r="N15" s="2939" t="s">
        <v>3186</v>
      </c>
    </row>
    <row r="16" spans="1:14">
      <c r="A16" s="2939" t="s">
        <v>3213</v>
      </c>
      <c r="B16" s="2939" t="s">
        <v>3086</v>
      </c>
      <c r="C16" s="2939" t="s">
        <v>3193</v>
      </c>
      <c r="D16" s="2939">
        <v>81071</v>
      </c>
      <c r="E16" s="2939">
        <v>194570.4</v>
      </c>
      <c r="F16" s="2939" t="s">
        <v>3214</v>
      </c>
      <c r="G16" s="2939" t="s">
        <v>3036</v>
      </c>
      <c r="H16" s="2939" t="s">
        <v>3215</v>
      </c>
      <c r="I16" s="2939">
        <v>60810</v>
      </c>
      <c r="J16" s="2939">
        <v>61310</v>
      </c>
      <c r="K16" s="2939">
        <v>3151.03</v>
      </c>
      <c r="L16" s="2939">
        <v>0.82</v>
      </c>
      <c r="M16" s="2939" t="s">
        <v>3091</v>
      </c>
      <c r="N16" s="2939" t="s">
        <v>3186</v>
      </c>
    </row>
    <row r="17" spans="1:14">
      <c r="A17" s="2939" t="s">
        <v>3085</v>
      </c>
      <c r="B17" s="2939" t="s">
        <v>3086</v>
      </c>
      <c r="C17" s="2939" t="s">
        <v>3035</v>
      </c>
      <c r="D17" s="2939">
        <v>41505</v>
      </c>
      <c r="E17" s="2939">
        <v>83010</v>
      </c>
      <c r="F17" s="2939" t="s">
        <v>3087</v>
      </c>
      <c r="G17" s="2939" t="s">
        <v>3036</v>
      </c>
      <c r="H17" s="2939" t="s">
        <v>3037</v>
      </c>
      <c r="I17" s="2939">
        <v>31130</v>
      </c>
      <c r="J17" s="2939">
        <v>47630</v>
      </c>
      <c r="K17" s="2939">
        <v>5737.85</v>
      </c>
      <c r="L17" s="2939">
        <v>53</v>
      </c>
      <c r="M17" s="2939" t="s">
        <v>3088</v>
      </c>
      <c r="N17" s="2939" t="s">
        <v>3186</v>
      </c>
    </row>
    <row r="18" spans="1:14">
      <c r="A18" s="2939" t="s">
        <v>3089</v>
      </c>
      <c r="B18" s="2939" t="s">
        <v>3086</v>
      </c>
      <c r="C18" s="2939" t="s">
        <v>3035</v>
      </c>
      <c r="D18" s="2939">
        <v>4857</v>
      </c>
      <c r="E18" s="2939">
        <v>10685.4</v>
      </c>
      <c r="F18" s="2939" t="s">
        <v>3090</v>
      </c>
      <c r="G18" s="2939" t="s">
        <v>3036</v>
      </c>
      <c r="H18" s="2939" t="s">
        <v>3037</v>
      </c>
      <c r="I18" s="2939">
        <v>2620</v>
      </c>
      <c r="J18" s="2939">
        <v>2620</v>
      </c>
      <c r="K18" s="2939">
        <v>2451.94</v>
      </c>
      <c r="L18" s="2939">
        <v>0</v>
      </c>
      <c r="M18" s="2939" t="s">
        <v>3091</v>
      </c>
      <c r="N18" s="2939" t="s">
        <v>3186</v>
      </c>
    </row>
    <row r="19" spans="1:14">
      <c r="A19" s="2939" t="s">
        <v>3092</v>
      </c>
      <c r="B19" s="2939" t="s">
        <v>3086</v>
      </c>
      <c r="C19" s="2939" t="s">
        <v>3035</v>
      </c>
      <c r="D19" s="2939">
        <v>22487</v>
      </c>
      <c r="E19" s="2939">
        <v>49471.4</v>
      </c>
      <c r="F19" s="2939" t="s">
        <v>3090</v>
      </c>
      <c r="G19" s="2939" t="s">
        <v>3036</v>
      </c>
      <c r="H19" s="2939" t="s">
        <v>3037</v>
      </c>
      <c r="I19" s="2939">
        <v>16200</v>
      </c>
      <c r="J19" s="2939">
        <v>23600</v>
      </c>
      <c r="K19" s="2939">
        <v>4770.43</v>
      </c>
      <c r="L19" s="2939">
        <v>45.68</v>
      </c>
      <c r="M19" s="2939" t="s">
        <v>3093</v>
      </c>
      <c r="N19" s="2939" t="s">
        <v>3186</v>
      </c>
    </row>
    <row r="20" spans="1:14" s="3212" customFormat="1">
      <c r="A20" s="3212" t="s">
        <v>3094</v>
      </c>
      <c r="B20" s="3212" t="s">
        <v>3086</v>
      </c>
      <c r="C20" s="3212" t="s">
        <v>3193</v>
      </c>
      <c r="D20" s="3212">
        <v>2524</v>
      </c>
      <c r="E20" s="3212">
        <v>8834</v>
      </c>
      <c r="F20" s="3212" t="s">
        <v>3095</v>
      </c>
      <c r="G20" s="3212" t="s">
        <v>3036</v>
      </c>
      <c r="H20" s="3212" t="s">
        <v>3096</v>
      </c>
      <c r="I20" s="3212">
        <v>3030</v>
      </c>
      <c r="J20" s="3212">
        <v>3030</v>
      </c>
      <c r="K20" s="3212">
        <v>3429.92</v>
      </c>
      <c r="L20" s="3212">
        <v>0</v>
      </c>
      <c r="M20" s="3212" t="s">
        <v>3097</v>
      </c>
      <c r="N20" s="3212" t="s">
        <v>3186</v>
      </c>
    </row>
    <row r="21" spans="1:14">
      <c r="A21" s="2939" t="s">
        <v>3098</v>
      </c>
      <c r="B21" s="2939" t="s">
        <v>3086</v>
      </c>
      <c r="C21" s="2939" t="s">
        <v>3193</v>
      </c>
      <c r="D21" s="2939">
        <v>793</v>
      </c>
      <c r="E21" s="2939">
        <v>1982.5</v>
      </c>
      <c r="F21" s="2939" t="s">
        <v>3099</v>
      </c>
      <c r="G21" s="2939" t="s">
        <v>3036</v>
      </c>
      <c r="H21" s="2939" t="s">
        <v>3096</v>
      </c>
      <c r="I21" s="2939">
        <v>670</v>
      </c>
      <c r="J21" s="2939">
        <v>670</v>
      </c>
      <c r="K21" s="2939">
        <v>3379.57</v>
      </c>
      <c r="L21" s="2939">
        <v>0</v>
      </c>
      <c r="M21" s="2939" t="s">
        <v>3100</v>
      </c>
      <c r="N21" s="2939" t="s">
        <v>3186</v>
      </c>
    </row>
    <row r="22" spans="1:14">
      <c r="A22" s="2939" t="s">
        <v>3101</v>
      </c>
      <c r="B22" s="2939" t="s">
        <v>3086</v>
      </c>
      <c r="C22" s="2939" t="s">
        <v>3035</v>
      </c>
      <c r="D22" s="2939">
        <v>13765</v>
      </c>
      <c r="E22" s="2939">
        <v>27530</v>
      </c>
      <c r="F22" s="2939" t="s">
        <v>3087</v>
      </c>
      <c r="G22" s="2939" t="s">
        <v>3036</v>
      </c>
      <c r="H22" s="2939" t="s">
        <v>3096</v>
      </c>
      <c r="I22" s="2939">
        <v>2478</v>
      </c>
      <c r="J22" s="2939">
        <v>2478</v>
      </c>
      <c r="K22" s="2939">
        <v>900.11</v>
      </c>
      <c r="L22" s="2939">
        <v>0</v>
      </c>
      <c r="M22" s="2939" t="s">
        <v>3102</v>
      </c>
      <c r="N22" s="2939" t="s">
        <v>3186</v>
      </c>
    </row>
    <row r="23" spans="1:14" s="3212" customFormat="1">
      <c r="A23" s="3212" t="s">
        <v>3098</v>
      </c>
      <c r="B23" s="3212" t="s">
        <v>3086</v>
      </c>
      <c r="C23" s="3212" t="s">
        <v>3193</v>
      </c>
      <c r="D23" s="3212">
        <v>10799</v>
      </c>
      <c r="E23" s="3212">
        <v>26997.5</v>
      </c>
      <c r="F23" s="3212" t="s">
        <v>3099</v>
      </c>
      <c r="G23" s="3212" t="s">
        <v>3036</v>
      </c>
      <c r="H23" s="3212" t="s">
        <v>3096</v>
      </c>
      <c r="I23" s="3212">
        <v>9080</v>
      </c>
      <c r="J23" s="3212">
        <v>9080</v>
      </c>
      <c r="K23" s="3212">
        <v>3363.26</v>
      </c>
      <c r="L23" s="3212">
        <v>0</v>
      </c>
      <c r="M23" s="3212" t="s">
        <v>3100</v>
      </c>
      <c r="N23" s="3212" t="s">
        <v>3186</v>
      </c>
    </row>
    <row r="24" spans="1:14">
      <c r="A24" s="2939" t="s">
        <v>3103</v>
      </c>
      <c r="B24" s="2939" t="s">
        <v>3086</v>
      </c>
      <c r="C24" s="2939" t="s">
        <v>3035</v>
      </c>
      <c r="D24" s="2939">
        <v>69847</v>
      </c>
      <c r="E24" s="2939">
        <v>153663.4</v>
      </c>
      <c r="F24" s="2939" t="s">
        <v>3090</v>
      </c>
      <c r="G24" s="2939" t="s">
        <v>3036</v>
      </c>
      <c r="H24" s="2939" t="s">
        <v>3096</v>
      </c>
      <c r="I24" s="2939">
        <v>41910</v>
      </c>
      <c r="J24" s="2939">
        <v>41910</v>
      </c>
      <c r="K24" s="2939">
        <v>2727.38</v>
      </c>
      <c r="L24" s="2939">
        <v>0</v>
      </c>
      <c r="M24" s="2939" t="s">
        <v>3091</v>
      </c>
      <c r="N24" s="2939" t="s">
        <v>3186</v>
      </c>
    </row>
    <row r="25" spans="1:14" s="3212" customFormat="1">
      <c r="A25" s="3212" t="s">
        <v>3104</v>
      </c>
      <c r="B25" s="3212" t="s">
        <v>3086</v>
      </c>
      <c r="C25" s="3212" t="s">
        <v>3035</v>
      </c>
      <c r="D25" s="3212">
        <v>24054</v>
      </c>
      <c r="E25" s="3212">
        <v>36081</v>
      </c>
      <c r="F25" s="3212" t="s">
        <v>3105</v>
      </c>
      <c r="G25" s="3212" t="s">
        <v>3036</v>
      </c>
      <c r="H25" s="3212" t="s">
        <v>3096</v>
      </c>
      <c r="I25" s="3212">
        <v>13720</v>
      </c>
      <c r="J25" s="3212">
        <v>13920</v>
      </c>
      <c r="K25" s="3212">
        <v>3857.98</v>
      </c>
      <c r="L25" s="3212">
        <v>1.46</v>
      </c>
      <c r="M25" s="3212" t="s">
        <v>3106</v>
      </c>
      <c r="N25" s="3212" t="s">
        <v>3186</v>
      </c>
    </row>
    <row r="26" spans="1:14">
      <c r="A26" s="2939" t="s">
        <v>3107</v>
      </c>
      <c r="B26" s="2939" t="s">
        <v>3086</v>
      </c>
      <c r="C26" s="2939" t="s">
        <v>3035</v>
      </c>
      <c r="D26" s="2939">
        <v>2615</v>
      </c>
      <c r="E26" s="2939">
        <v>6537.5</v>
      </c>
      <c r="F26" s="2939" t="s">
        <v>3108</v>
      </c>
      <c r="G26" s="2939" t="s">
        <v>3036</v>
      </c>
      <c r="H26" s="2939" t="s">
        <v>3109</v>
      </c>
      <c r="I26" s="2939">
        <v>1180</v>
      </c>
      <c r="J26" s="2939">
        <v>1180</v>
      </c>
      <c r="K26" s="2939">
        <v>1804.97</v>
      </c>
      <c r="L26" s="2939">
        <v>0</v>
      </c>
      <c r="M26" s="2939" t="s">
        <v>3110</v>
      </c>
      <c r="N26" s="2939" t="s">
        <v>3186</v>
      </c>
    </row>
    <row r="27" spans="1:14">
      <c r="A27" s="2939" t="s">
        <v>3111</v>
      </c>
      <c r="B27" s="2939" t="s">
        <v>3086</v>
      </c>
      <c r="C27" s="2939" t="s">
        <v>3035</v>
      </c>
      <c r="D27" s="2939">
        <v>30365</v>
      </c>
      <c r="E27" s="2939">
        <v>39474.5</v>
      </c>
      <c r="F27" s="2939" t="s">
        <v>3112</v>
      </c>
      <c r="G27" s="2939" t="s">
        <v>3036</v>
      </c>
      <c r="H27" s="2939" t="s">
        <v>3109</v>
      </c>
      <c r="I27" s="2939">
        <v>2280</v>
      </c>
      <c r="J27" s="2939">
        <v>2280</v>
      </c>
      <c r="K27" s="2939">
        <v>577.59</v>
      </c>
      <c r="L27" s="2939">
        <v>0</v>
      </c>
      <c r="M27" s="2939" t="s">
        <v>3113</v>
      </c>
      <c r="N27" s="2939" t="s">
        <v>3186</v>
      </c>
    </row>
    <row r="28" spans="1:14">
      <c r="A28" s="2939" t="s">
        <v>3111</v>
      </c>
      <c r="B28" s="2939" t="s">
        <v>3086</v>
      </c>
      <c r="C28" s="2939" t="s">
        <v>3035</v>
      </c>
      <c r="D28" s="2939">
        <v>29560</v>
      </c>
      <c r="E28" s="2939">
        <v>38428</v>
      </c>
      <c r="F28" s="2939" t="s">
        <v>3112</v>
      </c>
      <c r="G28" s="2939" t="s">
        <v>3036</v>
      </c>
      <c r="H28" s="2939" t="s">
        <v>3109</v>
      </c>
      <c r="I28" s="2939">
        <v>2220</v>
      </c>
      <c r="J28" s="2939">
        <v>2220</v>
      </c>
      <c r="K28" s="2939">
        <v>577.70000000000005</v>
      </c>
      <c r="L28" s="2939">
        <v>0</v>
      </c>
      <c r="M28" s="2939" t="s">
        <v>3113</v>
      </c>
      <c r="N28" s="2939" t="s">
        <v>3186</v>
      </c>
    </row>
    <row r="29" spans="1:14">
      <c r="A29" s="2939" t="s">
        <v>3114</v>
      </c>
      <c r="B29" s="2939" t="s">
        <v>3086</v>
      </c>
      <c r="C29" s="2939" t="s">
        <v>3035</v>
      </c>
      <c r="D29" s="2939">
        <v>44892</v>
      </c>
      <c r="E29" s="2939">
        <v>80805.600000000006</v>
      </c>
      <c r="F29" s="2939" t="s">
        <v>3115</v>
      </c>
      <c r="G29" s="2939" t="s">
        <v>3036</v>
      </c>
      <c r="H29" s="2939" t="s">
        <v>3109</v>
      </c>
      <c r="I29" s="2939">
        <v>5390</v>
      </c>
      <c r="J29" s="2939">
        <v>5390</v>
      </c>
      <c r="K29" s="2939">
        <v>667.02</v>
      </c>
      <c r="L29" s="2939">
        <v>0</v>
      </c>
      <c r="M29" s="2939" t="s">
        <v>3110</v>
      </c>
      <c r="N29" s="2939" t="s">
        <v>3186</v>
      </c>
    </row>
    <row r="30" spans="1:14">
      <c r="A30" s="2939" t="s">
        <v>3116</v>
      </c>
      <c r="B30" s="2939" t="s">
        <v>3086</v>
      </c>
      <c r="C30" s="2939" t="s">
        <v>3035</v>
      </c>
      <c r="D30" s="2939">
        <v>9505</v>
      </c>
      <c r="E30" s="2939">
        <v>23762.5</v>
      </c>
      <c r="F30" s="2939" t="s">
        <v>3108</v>
      </c>
      <c r="G30" s="2939" t="s">
        <v>3036</v>
      </c>
      <c r="H30" s="2939" t="s">
        <v>3109</v>
      </c>
      <c r="I30" s="2939">
        <v>2140</v>
      </c>
      <c r="J30" s="2939">
        <v>2140</v>
      </c>
      <c r="K30" s="2939">
        <v>900.58</v>
      </c>
      <c r="L30" s="2939">
        <v>0</v>
      </c>
      <c r="M30" s="2939" t="s">
        <v>3117</v>
      </c>
      <c r="N30" s="2939" t="s">
        <v>3186</v>
      </c>
    </row>
    <row r="31" spans="1:14">
      <c r="A31" s="2939" t="s">
        <v>3118</v>
      </c>
      <c r="B31" s="2939" t="s">
        <v>3086</v>
      </c>
      <c r="C31" s="2939" t="s">
        <v>3035</v>
      </c>
      <c r="D31" s="2939">
        <v>29970</v>
      </c>
      <c r="E31" s="2939">
        <v>89910</v>
      </c>
      <c r="F31" s="2939" t="s">
        <v>3119</v>
      </c>
      <c r="G31" s="2939" t="s">
        <v>3036</v>
      </c>
      <c r="H31" s="2939" t="s">
        <v>3109</v>
      </c>
      <c r="I31" s="2939">
        <v>11240</v>
      </c>
      <c r="J31" s="2939">
        <v>11240</v>
      </c>
      <c r="K31" s="2939">
        <v>1250.1400000000001</v>
      </c>
      <c r="L31" s="2939">
        <v>0</v>
      </c>
      <c r="M31" s="2939" t="s">
        <v>3110</v>
      </c>
      <c r="N31" s="2939" t="s">
        <v>3186</v>
      </c>
    </row>
    <row r="32" spans="1:14">
      <c r="A32" s="2939" t="s">
        <v>3120</v>
      </c>
      <c r="B32" s="2939" t="s">
        <v>3086</v>
      </c>
      <c r="C32" s="2939" t="s">
        <v>3035</v>
      </c>
      <c r="D32" s="2939">
        <v>2904</v>
      </c>
      <c r="E32" s="2939">
        <v>7260</v>
      </c>
      <c r="F32" s="2939" t="s">
        <v>3108</v>
      </c>
      <c r="G32" s="2939" t="s">
        <v>3036</v>
      </c>
      <c r="H32" s="2939" t="s">
        <v>3109</v>
      </c>
      <c r="I32" s="2939">
        <v>1530</v>
      </c>
      <c r="J32" s="2939">
        <v>1530</v>
      </c>
      <c r="K32" s="2939">
        <v>2107.44</v>
      </c>
      <c r="L32" s="2939">
        <v>0</v>
      </c>
      <c r="M32" s="2939" t="s">
        <v>3110</v>
      </c>
      <c r="N32" s="2939" t="s">
        <v>3186</v>
      </c>
    </row>
    <row r="33" spans="1:14">
      <c r="A33" s="2939" t="s">
        <v>3121</v>
      </c>
      <c r="B33" s="2939" t="s">
        <v>3086</v>
      </c>
      <c r="C33" s="2939" t="s">
        <v>3035</v>
      </c>
      <c r="D33" s="2939">
        <v>58092</v>
      </c>
      <c r="E33" s="2939">
        <v>127802.4</v>
      </c>
      <c r="F33" s="2939" t="s">
        <v>3122</v>
      </c>
      <c r="G33" s="2939" t="s">
        <v>3036</v>
      </c>
      <c r="H33" s="2939" t="s">
        <v>3123</v>
      </c>
      <c r="I33" s="2939">
        <v>30500</v>
      </c>
      <c r="J33" s="2939">
        <v>31300</v>
      </c>
      <c r="K33" s="2939">
        <v>2449.09</v>
      </c>
      <c r="L33" s="2939">
        <v>2.62</v>
      </c>
      <c r="M33" s="2939" t="s">
        <v>3091</v>
      </c>
      <c r="N33" s="2939" t="s">
        <v>3186</v>
      </c>
    </row>
    <row r="34" spans="1:14">
      <c r="A34" s="2939" t="s">
        <v>3124</v>
      </c>
      <c r="B34" s="2939" t="s">
        <v>3086</v>
      </c>
      <c r="C34" s="2939" t="s">
        <v>3035</v>
      </c>
      <c r="D34" s="2939">
        <v>10590</v>
      </c>
      <c r="E34" s="2939">
        <v>37065</v>
      </c>
      <c r="F34" s="2939" t="s">
        <v>3125</v>
      </c>
      <c r="G34" s="2939" t="s">
        <v>3036</v>
      </c>
      <c r="H34" s="2939" t="s">
        <v>3123</v>
      </c>
      <c r="I34" s="2939">
        <v>4770</v>
      </c>
      <c r="J34" s="2939">
        <v>6070</v>
      </c>
      <c r="K34" s="2939">
        <v>1637.66</v>
      </c>
      <c r="L34" s="2939">
        <v>27.25</v>
      </c>
      <c r="M34" s="2939" t="s">
        <v>3126</v>
      </c>
      <c r="N34" s="2939" t="s">
        <v>3186</v>
      </c>
    </row>
    <row r="35" spans="1:14">
      <c r="A35" s="2939" t="s">
        <v>3121</v>
      </c>
      <c r="B35" s="2939" t="s">
        <v>3086</v>
      </c>
      <c r="C35" s="2939" t="s">
        <v>3035</v>
      </c>
      <c r="D35" s="2939">
        <v>69062</v>
      </c>
      <c r="E35" s="2939">
        <v>151936.4</v>
      </c>
      <c r="F35" s="2939" t="s">
        <v>3122</v>
      </c>
      <c r="G35" s="2939" t="s">
        <v>3036</v>
      </c>
      <c r="H35" s="2939" t="s">
        <v>3123</v>
      </c>
      <c r="I35" s="2939">
        <v>36260</v>
      </c>
      <c r="J35" s="2939">
        <v>36860</v>
      </c>
      <c r="K35" s="2939">
        <v>2426.0100000000002</v>
      </c>
      <c r="L35" s="2939">
        <v>1.65</v>
      </c>
      <c r="M35" s="2939" t="s">
        <v>3127</v>
      </c>
      <c r="N35" s="2939" t="s">
        <v>3186</v>
      </c>
    </row>
    <row r="36" spans="1:14">
      <c r="A36" s="2939" t="s">
        <v>3128</v>
      </c>
      <c r="B36" s="2939" t="s">
        <v>3086</v>
      </c>
      <c r="C36" s="2939" t="s">
        <v>3035</v>
      </c>
      <c r="D36" s="2939">
        <v>88498</v>
      </c>
      <c r="E36" s="2939">
        <v>221245</v>
      </c>
      <c r="F36" s="2939" t="s">
        <v>3129</v>
      </c>
      <c r="G36" s="2939" t="s">
        <v>3036</v>
      </c>
      <c r="H36" s="2939" t="s">
        <v>3123</v>
      </c>
      <c r="I36" s="2939">
        <v>53100</v>
      </c>
      <c r="J36" s="2939">
        <v>54700</v>
      </c>
      <c r="K36" s="2939">
        <v>2472.36</v>
      </c>
      <c r="L36" s="2939">
        <v>3.01</v>
      </c>
      <c r="M36" s="2939" t="s">
        <v>3130</v>
      </c>
      <c r="N36" s="2939" t="s">
        <v>3186</v>
      </c>
    </row>
    <row r="37" spans="1:14">
      <c r="A37" s="2939" t="s">
        <v>3131</v>
      </c>
      <c r="B37" s="2939" t="s">
        <v>3086</v>
      </c>
      <c r="C37" s="2939" t="s">
        <v>3035</v>
      </c>
      <c r="D37" s="2939">
        <v>37399</v>
      </c>
      <c r="E37" s="2939">
        <v>93497.5</v>
      </c>
      <c r="F37" s="2939" t="s">
        <v>3108</v>
      </c>
      <c r="G37" s="2939" t="s">
        <v>3036</v>
      </c>
      <c r="H37" s="2939" t="s">
        <v>3132</v>
      </c>
      <c r="I37" s="2939">
        <v>13470</v>
      </c>
      <c r="J37" s="2939">
        <v>33770</v>
      </c>
      <c r="K37" s="2939">
        <v>3611.86</v>
      </c>
      <c r="L37" s="2939">
        <v>150.71</v>
      </c>
      <c r="M37" s="2939" t="s">
        <v>3133</v>
      </c>
      <c r="N37" s="2939" t="s">
        <v>3186</v>
      </c>
    </row>
    <row r="38" spans="1:14">
      <c r="A38" s="2939" t="s">
        <v>3134</v>
      </c>
      <c r="B38" s="2939" t="s">
        <v>3086</v>
      </c>
      <c r="C38" s="2939" t="s">
        <v>3035</v>
      </c>
      <c r="D38" s="2939">
        <v>33491</v>
      </c>
      <c r="E38" s="2939">
        <v>83727.5</v>
      </c>
      <c r="F38" s="2939" t="s">
        <v>3108</v>
      </c>
      <c r="G38" s="2939" t="s">
        <v>3036</v>
      </c>
      <c r="H38" s="2939" t="s">
        <v>3132</v>
      </c>
      <c r="I38" s="2939">
        <v>12060</v>
      </c>
      <c r="J38" s="2939">
        <v>42960</v>
      </c>
      <c r="K38" s="2939">
        <v>5130.93</v>
      </c>
      <c r="L38" s="2939">
        <v>256.22000000000003</v>
      </c>
      <c r="M38" s="2939" t="s">
        <v>3133</v>
      </c>
      <c r="N38" s="2939" t="s">
        <v>3186</v>
      </c>
    </row>
    <row r="39" spans="1:14">
      <c r="A39" s="2939" t="s">
        <v>3135</v>
      </c>
      <c r="B39" s="2939" t="s">
        <v>3086</v>
      </c>
      <c r="C39" s="2939" t="s">
        <v>3035</v>
      </c>
      <c r="D39" s="2939">
        <v>58122</v>
      </c>
      <c r="E39" s="2939">
        <v>174366</v>
      </c>
      <c r="F39" s="2939" t="s">
        <v>3136</v>
      </c>
      <c r="G39" s="2939" t="s">
        <v>3036</v>
      </c>
      <c r="H39" s="2939" t="s">
        <v>3132</v>
      </c>
      <c r="I39" s="2939">
        <v>5240</v>
      </c>
      <c r="J39" s="2939">
        <v>5240</v>
      </c>
      <c r="K39" s="2939">
        <v>300.51</v>
      </c>
      <c r="L39" s="2939">
        <v>0</v>
      </c>
      <c r="M39" s="2939" t="s">
        <v>3137</v>
      </c>
      <c r="N39" s="2939" t="s">
        <v>3186</v>
      </c>
    </row>
    <row r="40" spans="1:14">
      <c r="A40" s="2939" t="s">
        <v>3138</v>
      </c>
      <c r="B40" s="2939" t="s">
        <v>3086</v>
      </c>
      <c r="C40" s="2939" t="s">
        <v>3035</v>
      </c>
      <c r="D40" s="2939">
        <v>15590</v>
      </c>
      <c r="E40" s="2939">
        <v>46770</v>
      </c>
      <c r="F40" s="2939" t="s">
        <v>3136</v>
      </c>
      <c r="G40" s="2939" t="s">
        <v>3036</v>
      </c>
      <c r="H40" s="2939" t="s">
        <v>3132</v>
      </c>
      <c r="I40" s="2939">
        <v>3510</v>
      </c>
      <c r="J40" s="2939">
        <v>3510</v>
      </c>
      <c r="K40" s="2939">
        <v>750.48</v>
      </c>
      <c r="L40" s="2939">
        <v>0</v>
      </c>
      <c r="M40" s="2939" t="s">
        <v>3139</v>
      </c>
      <c r="N40" s="2939" t="s">
        <v>3186</v>
      </c>
    </row>
    <row r="41" spans="1:14">
      <c r="A41" s="2939" t="s">
        <v>3134</v>
      </c>
      <c r="B41" s="2939" t="s">
        <v>3086</v>
      </c>
      <c r="C41" s="2939" t="s">
        <v>3035</v>
      </c>
      <c r="D41" s="2939">
        <v>62381</v>
      </c>
      <c r="E41" s="2939">
        <v>155952.5</v>
      </c>
      <c r="F41" s="2939" t="s">
        <v>3108</v>
      </c>
      <c r="G41" s="2939" t="s">
        <v>3036</v>
      </c>
      <c r="H41" s="2939" t="s">
        <v>3132</v>
      </c>
      <c r="I41" s="2939">
        <v>21740</v>
      </c>
      <c r="J41" s="2939">
        <v>52640</v>
      </c>
      <c r="K41" s="2939">
        <v>3375.38</v>
      </c>
      <c r="L41" s="2939">
        <v>142.13</v>
      </c>
      <c r="M41" s="2939" t="s">
        <v>3133</v>
      </c>
      <c r="N41" s="2939" t="s">
        <v>3186</v>
      </c>
    </row>
    <row r="42" spans="1:14">
      <c r="A42" s="2939" t="s">
        <v>3135</v>
      </c>
      <c r="B42" s="2939" t="s">
        <v>3086</v>
      </c>
      <c r="C42" s="2939" t="s">
        <v>3035</v>
      </c>
      <c r="D42" s="2939">
        <v>61337</v>
      </c>
      <c r="E42" s="2939">
        <v>184011</v>
      </c>
      <c r="F42" s="2939" t="s">
        <v>3136</v>
      </c>
      <c r="G42" s="2939" t="s">
        <v>3036</v>
      </c>
      <c r="H42" s="2939" t="s">
        <v>3132</v>
      </c>
      <c r="I42" s="2939">
        <v>5530</v>
      </c>
      <c r="J42" s="2939">
        <v>5530</v>
      </c>
      <c r="K42" s="2939">
        <v>300.52</v>
      </c>
      <c r="L42" s="2939">
        <v>0</v>
      </c>
      <c r="M42" s="2939" t="s">
        <v>3137</v>
      </c>
      <c r="N42" s="2939" t="s">
        <v>3186</v>
      </c>
    </row>
    <row r="43" spans="1:14">
      <c r="A43" s="2939" t="s">
        <v>3140</v>
      </c>
      <c r="B43" s="2939" t="s">
        <v>3086</v>
      </c>
      <c r="C43" s="2939" t="s">
        <v>3035</v>
      </c>
      <c r="D43" s="2939">
        <v>17218</v>
      </c>
      <c r="E43" s="2939">
        <v>27548.799999999999</v>
      </c>
      <c r="F43" s="2939" t="s">
        <v>3141</v>
      </c>
      <c r="G43" s="2939" t="s">
        <v>3036</v>
      </c>
      <c r="H43" s="2939" t="s">
        <v>3132</v>
      </c>
      <c r="I43" s="2939">
        <v>5170</v>
      </c>
      <c r="J43" s="2939">
        <v>5170</v>
      </c>
      <c r="K43" s="2939">
        <v>1876.67</v>
      </c>
      <c r="L43" s="2939">
        <v>0</v>
      </c>
      <c r="M43" s="2939" t="s">
        <v>3110</v>
      </c>
      <c r="N43" s="2939" t="s">
        <v>3186</v>
      </c>
    </row>
    <row r="44" spans="1:14">
      <c r="A44" s="2939" t="s">
        <v>3135</v>
      </c>
      <c r="B44" s="2939" t="s">
        <v>3086</v>
      </c>
      <c r="C44" s="2939" t="s">
        <v>3035</v>
      </c>
      <c r="D44" s="2939">
        <v>41871</v>
      </c>
      <c r="E44" s="2939">
        <v>125613</v>
      </c>
      <c r="F44" s="2939" t="s">
        <v>3136</v>
      </c>
      <c r="G44" s="2939" t="s">
        <v>3036</v>
      </c>
      <c r="H44" s="2939" t="s">
        <v>3132</v>
      </c>
      <c r="I44" s="2939">
        <v>3770</v>
      </c>
      <c r="J44" s="2939">
        <v>3770</v>
      </c>
      <c r="K44" s="2939">
        <v>300.12</v>
      </c>
      <c r="L44" s="2939">
        <v>0</v>
      </c>
      <c r="M44" s="2939" t="s">
        <v>3137</v>
      </c>
      <c r="N44" s="2939" t="s">
        <v>3186</v>
      </c>
    </row>
    <row r="45" spans="1:14">
      <c r="A45" s="2939" t="s">
        <v>3134</v>
      </c>
      <c r="B45" s="2939" t="s">
        <v>3086</v>
      </c>
      <c r="C45" s="2939" t="s">
        <v>3035</v>
      </c>
      <c r="D45" s="2939">
        <v>58070</v>
      </c>
      <c r="E45" s="2939">
        <v>145175</v>
      </c>
      <c r="F45" s="2939" t="s">
        <v>3108</v>
      </c>
      <c r="G45" s="2939" t="s">
        <v>3036</v>
      </c>
      <c r="H45" s="2939" t="s">
        <v>3132</v>
      </c>
      <c r="I45" s="2939">
        <v>20910</v>
      </c>
      <c r="J45" s="2939">
        <v>51810</v>
      </c>
      <c r="K45" s="2939">
        <v>3568.8</v>
      </c>
      <c r="L45" s="2939">
        <v>147.78</v>
      </c>
      <c r="M45" s="2939" t="s">
        <v>3133</v>
      </c>
      <c r="N45" s="2939" t="s">
        <v>3186</v>
      </c>
    </row>
    <row r="46" spans="1:14">
      <c r="A46" s="2939" t="s">
        <v>3131</v>
      </c>
      <c r="B46" s="2939" t="s">
        <v>3086</v>
      </c>
      <c r="C46" s="2939" t="s">
        <v>3035</v>
      </c>
      <c r="D46" s="2939">
        <v>44718</v>
      </c>
      <c r="E46" s="2939">
        <v>111795</v>
      </c>
      <c r="F46" s="2939" t="s">
        <v>3108</v>
      </c>
      <c r="G46" s="2939" t="s">
        <v>3036</v>
      </c>
      <c r="H46" s="2939" t="s">
        <v>3132</v>
      </c>
      <c r="I46" s="2939">
        <v>16100</v>
      </c>
      <c r="J46" s="2939">
        <v>36400</v>
      </c>
      <c r="K46" s="2939">
        <v>3255.96</v>
      </c>
      <c r="L46" s="2939">
        <v>126.09</v>
      </c>
      <c r="M46" s="2939" t="s">
        <v>3133</v>
      </c>
      <c r="N46" s="2939" t="s">
        <v>3186</v>
      </c>
    </row>
    <row r="47" spans="1:14">
      <c r="A47" s="2939" t="s">
        <v>3135</v>
      </c>
      <c r="B47" s="2939" t="s">
        <v>3086</v>
      </c>
      <c r="C47" s="2939" t="s">
        <v>3035</v>
      </c>
      <c r="D47" s="2939">
        <v>53544</v>
      </c>
      <c r="E47" s="2939">
        <v>160632</v>
      </c>
      <c r="F47" s="2939" t="s">
        <v>3136</v>
      </c>
      <c r="G47" s="2939" t="s">
        <v>3036</v>
      </c>
      <c r="H47" s="2939" t="s">
        <v>3132</v>
      </c>
      <c r="I47" s="2939">
        <v>4820</v>
      </c>
      <c r="J47" s="2939">
        <v>4820</v>
      </c>
      <c r="K47" s="2939">
        <v>300.06</v>
      </c>
      <c r="L47" s="2939">
        <v>0</v>
      </c>
      <c r="M47" s="2939" t="s">
        <v>3137</v>
      </c>
      <c r="N47" s="2939" t="s">
        <v>3186</v>
      </c>
    </row>
    <row r="48" spans="1:14">
      <c r="A48" s="2939" t="s">
        <v>3135</v>
      </c>
      <c r="B48" s="2939" t="s">
        <v>3086</v>
      </c>
      <c r="C48" s="2939" t="s">
        <v>3035</v>
      </c>
      <c r="D48" s="2939">
        <v>42448</v>
      </c>
      <c r="E48" s="2939">
        <v>127344</v>
      </c>
      <c r="F48" s="2939" t="s">
        <v>3136</v>
      </c>
      <c r="G48" s="2939" t="s">
        <v>3036</v>
      </c>
      <c r="H48" s="2939" t="s">
        <v>3132</v>
      </c>
      <c r="I48" s="2939">
        <v>3830</v>
      </c>
      <c r="J48" s="2939">
        <v>3830</v>
      </c>
      <c r="K48" s="2939">
        <v>300.75</v>
      </c>
      <c r="L48" s="2939">
        <v>0</v>
      </c>
      <c r="M48" s="2939" t="s">
        <v>3137</v>
      </c>
      <c r="N48" s="2939" t="s">
        <v>3186</v>
      </c>
    </row>
    <row r="49" spans="1:14">
      <c r="A49" s="2939" t="s">
        <v>3103</v>
      </c>
      <c r="B49" s="2939" t="s">
        <v>3086</v>
      </c>
      <c r="C49" s="2939" t="s">
        <v>3035</v>
      </c>
      <c r="D49" s="2939">
        <v>9271</v>
      </c>
      <c r="E49" s="2939">
        <v>27813</v>
      </c>
      <c r="F49" s="2939" t="s">
        <v>3136</v>
      </c>
      <c r="G49" s="2939" t="s">
        <v>3036</v>
      </c>
      <c r="H49" s="2939" t="s">
        <v>3142</v>
      </c>
      <c r="I49" s="2939">
        <v>3340</v>
      </c>
      <c r="J49" s="2939">
        <v>4440</v>
      </c>
      <c r="K49" s="2939">
        <v>1596.38</v>
      </c>
      <c r="L49" s="2939">
        <v>32.93</v>
      </c>
      <c r="M49" s="2939" t="s">
        <v>3143</v>
      </c>
      <c r="N49" s="2939" t="s">
        <v>3186</v>
      </c>
    </row>
    <row r="50" spans="1:14">
      <c r="A50" s="2939" t="s">
        <v>3120</v>
      </c>
      <c r="B50" s="2939" t="s">
        <v>3086</v>
      </c>
      <c r="C50" s="2939" t="s">
        <v>3035</v>
      </c>
      <c r="D50" s="2939">
        <v>10538</v>
      </c>
      <c r="E50" s="2939">
        <v>26345</v>
      </c>
      <c r="F50" s="2939" t="s">
        <v>3108</v>
      </c>
      <c r="G50" s="2939" t="s">
        <v>3036</v>
      </c>
      <c r="H50" s="2939" t="s">
        <v>3142</v>
      </c>
      <c r="I50" s="2939">
        <v>4110</v>
      </c>
      <c r="J50" s="2939">
        <v>4110</v>
      </c>
      <c r="K50" s="2939">
        <v>1560.06</v>
      </c>
      <c r="L50" s="2939">
        <v>0</v>
      </c>
      <c r="M50" s="2939" t="s">
        <v>3110</v>
      </c>
      <c r="N50" s="2939" t="s">
        <v>3186</v>
      </c>
    </row>
    <row r="51" spans="1:14">
      <c r="A51" s="2939" t="s">
        <v>3144</v>
      </c>
      <c r="B51" s="2939" t="s">
        <v>3086</v>
      </c>
      <c r="C51" s="2939" t="s">
        <v>3035</v>
      </c>
      <c r="D51" s="2939">
        <v>32327</v>
      </c>
      <c r="E51" s="2939">
        <v>96981</v>
      </c>
      <c r="F51" s="2939" t="s">
        <v>3136</v>
      </c>
      <c r="G51" s="2939" t="s">
        <v>3036</v>
      </c>
      <c r="H51" s="2939" t="s">
        <v>3142</v>
      </c>
      <c r="I51" s="2939">
        <v>11640</v>
      </c>
      <c r="J51" s="2939">
        <v>14540</v>
      </c>
      <c r="K51" s="2939">
        <v>1499.25</v>
      </c>
      <c r="L51" s="2939">
        <v>24.91</v>
      </c>
      <c r="M51" s="2939" t="s">
        <v>3143</v>
      </c>
      <c r="N51" s="2939" t="s">
        <v>3186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4" t="s">
        <v>2039</v>
      </c>
      <c r="B1" s="3214"/>
      <c r="C1" s="3214"/>
      <c r="D1" s="3214"/>
      <c r="E1" s="3214"/>
      <c r="F1" s="3214"/>
      <c r="G1" s="3214"/>
      <c r="H1" s="3214"/>
      <c r="I1" s="3214"/>
      <c r="J1" s="3214"/>
      <c r="K1" s="3214"/>
      <c r="L1" s="3214"/>
      <c r="M1" s="3214"/>
      <c r="N1" s="3214"/>
      <c r="O1" s="3214"/>
      <c r="P1" s="3214"/>
      <c r="Q1" s="3214"/>
      <c r="R1" s="3214"/>
    </row>
    <row r="2" spans="1:18">
      <c r="A2" s="1809" t="s">
        <v>2041</v>
      </c>
      <c r="B2" s="1809"/>
      <c r="C2" s="1809"/>
      <c r="D2" s="1809"/>
      <c r="E2" s="1809"/>
      <c r="F2" s="1809"/>
      <c r="G2" s="1809"/>
      <c r="H2" s="1809"/>
      <c r="I2" s="1810"/>
      <c r="J2" s="1810"/>
      <c r="K2" s="1811" t="str">
        <f>"估价期日："&amp;TEXT(项目基本情况!D3,"yyyy年m月d日;;")</f>
        <v>估价期日：2019年11月11日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5" t="s">
        <v>2030</v>
      </c>
      <c r="B3" s="3215" t="s">
        <v>2732</v>
      </c>
      <c r="C3" s="3216" t="s">
        <v>2031</v>
      </c>
      <c r="D3" s="3215" t="s">
        <v>2736</v>
      </c>
      <c r="E3" s="3218" t="s">
        <v>2032</v>
      </c>
      <c r="F3" s="3218"/>
      <c r="G3" s="3218"/>
      <c r="H3" s="3218" t="s">
        <v>2033</v>
      </c>
      <c r="I3" s="3218"/>
      <c r="J3" s="3218"/>
      <c r="K3" s="3216" t="s">
        <v>2034</v>
      </c>
      <c r="L3" s="3216" t="s">
        <v>2035</v>
      </c>
      <c r="M3" s="3215" t="s">
        <v>2733</v>
      </c>
      <c r="N3" s="3217" t="str">
        <f>"（分摊）"&amp;项目基本情况!B16&amp;"国有建设用地使用权面积/㎡"</f>
        <v>（分摊）出让国有建设用地使用权面积/㎡</v>
      </c>
      <c r="O3" s="3215" t="s">
        <v>2064</v>
      </c>
      <c r="P3" s="3216" t="s">
        <v>2044</v>
      </c>
      <c r="Q3" s="3216" t="s">
        <v>2065</v>
      </c>
      <c r="R3" s="3216" t="s">
        <v>2036</v>
      </c>
    </row>
    <row r="4" spans="1:18" ht="36.75" customHeight="1">
      <c r="A4" s="3215"/>
      <c r="B4" s="3215"/>
      <c r="C4" s="3216"/>
      <c r="D4" s="3215"/>
      <c r="E4" s="2649" t="s">
        <v>2043</v>
      </c>
      <c r="F4" s="2649" t="s">
        <v>2745</v>
      </c>
      <c r="G4" s="2649" t="s">
        <v>2037</v>
      </c>
      <c r="H4" s="2649" t="s">
        <v>2038</v>
      </c>
      <c r="I4" s="2649" t="s">
        <v>2746</v>
      </c>
      <c r="J4" s="2649" t="s">
        <v>2037</v>
      </c>
      <c r="K4" s="3216"/>
      <c r="L4" s="3216"/>
      <c r="M4" s="3215"/>
      <c r="N4" s="3217"/>
      <c r="O4" s="3215"/>
      <c r="P4" s="3216"/>
      <c r="Q4" s="3216"/>
      <c r="R4" s="3216"/>
    </row>
    <row r="5" spans="1:18" ht="135" customHeight="1">
      <c r="A5" s="1945" t="s">
        <v>2656</v>
      </c>
      <c r="B5" s="2867" t="s">
        <v>2654</v>
      </c>
      <c r="C5" s="2648">
        <v>22</v>
      </c>
      <c r="D5" s="2647" t="s">
        <v>2655</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13984.89</v>
      </c>
      <c r="O5" s="1812">
        <f>项目基本情况!C21</f>
        <v>42003.000000000007</v>
      </c>
      <c r="P5" s="1812">
        <f ca="1">结果表!E42</f>
        <v>7719</v>
      </c>
      <c r="Q5" s="1812">
        <f ca="1">结果表!D42</f>
        <v>2570</v>
      </c>
      <c r="R5" s="1813">
        <f ca="1">结果表!C42</f>
        <v>10795</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14" t="str">
        <f>结果表!O39</f>
        <v>——</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4">
        <f ca="1">结果表!O40</f>
        <v>10795</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814" t="str">
        <f>结果表!O41</f>
        <v>——</v>
      </c>
    </row>
    <row r="9" spans="1:18">
      <c r="A9" s="1815" t="s">
        <v>2042</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2029</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4" customWidth="1"/>
    <col min="2" max="3" width="21.33203125" style="1804" customWidth="1"/>
    <col min="4" max="4" width="19.88671875" style="1804" customWidth="1"/>
    <col min="5" max="16384" width="9" style="1804"/>
  </cols>
  <sheetData>
    <row r="1" spans="1:4">
      <c r="A1" s="3222" t="s">
        <v>2066</v>
      </c>
      <c r="B1" s="3222"/>
      <c r="C1" s="3222"/>
      <c r="D1" s="3222"/>
    </row>
    <row r="2" spans="1:4" ht="47.25" customHeight="1">
      <c r="A2" s="3226" t="str">
        <f>"1.权利限制："&amp;项目基本情况!L24&amp;"未设定租赁等其他他项权利。"</f>
        <v>1.权利限制：根据估价对象《不动产权证书》原件、《国有土地使用权》复印件，截至估价期日，估价对象抵押权未见登记。未设定租赁等其他他项权利。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5" t="s">
        <v>2067</v>
      </c>
      <c r="B5" s="3225"/>
      <c r="C5" s="3225"/>
      <c r="D5" s="3225"/>
    </row>
    <row r="6" spans="1:4">
      <c r="A6" s="3222" t="s">
        <v>2045</v>
      </c>
      <c r="B6" s="3222"/>
      <c r="C6" s="3222"/>
      <c r="D6" s="3222"/>
    </row>
    <row r="7" spans="1:4" ht="33" customHeight="1">
      <c r="A7" s="3222" t="s">
        <v>2576</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国有土地使用权》复印件，截至估价期日，估价对象抵押权未见登记。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24"/>
      <c r="C11" s="3224"/>
      <c r="D11" s="3224"/>
    </row>
    <row r="12" spans="1:4" ht="168" customHeight="1">
      <c r="A12" s="3225" t="s">
        <v>2069</v>
      </c>
      <c r="B12" s="3225"/>
      <c r="C12" s="3225"/>
      <c r="D12" s="3225"/>
    </row>
    <row r="13" spans="1:4">
      <c r="A13" s="3223" t="s">
        <v>2747</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2703</v>
      </c>
      <c r="B17" s="3222"/>
      <c r="C17" s="3222"/>
      <c r="D17" s="3222"/>
    </row>
    <row r="18" spans="1:4">
      <c r="A18" s="3222" t="s">
        <v>2695</v>
      </c>
      <c r="B18" s="3222"/>
      <c r="C18" s="3222"/>
      <c r="D18" s="3222"/>
    </row>
    <row r="19" spans="1:4">
      <c r="A19" s="2868" t="s">
        <v>2696</v>
      </c>
      <c r="B19" s="2868" t="s">
        <v>2697</v>
      </c>
      <c r="C19" s="2868" t="s">
        <v>2698</v>
      </c>
      <c r="D19" s="2868" t="s">
        <v>2699</v>
      </c>
    </row>
    <row r="20" spans="1:4">
      <c r="A20" s="2868" t="str">
        <f>项目基本情况!B4</f>
        <v>土地估价师</v>
      </c>
      <c r="B20" s="2868">
        <f>项目基本情况!C4</f>
        <v>0</v>
      </c>
      <c r="C20" s="2870"/>
      <c r="D20" s="1802" t="s">
        <v>2704</v>
      </c>
    </row>
    <row r="21" spans="1:4">
      <c r="A21" s="2868" t="str">
        <f>项目基本情况!D4</f>
        <v>土地估价师</v>
      </c>
      <c r="B21" s="2868">
        <f>项目基本情况!E4</f>
        <v>0</v>
      </c>
      <c r="C21" s="2870"/>
      <c r="D21" s="1802" t="s">
        <v>2705</v>
      </c>
    </row>
    <row r="23" spans="1:4">
      <c r="A23" s="3222" t="s">
        <v>2700</v>
      </c>
      <c r="B23" s="3222"/>
      <c r="C23" s="3222"/>
      <c r="D23" s="3222"/>
    </row>
    <row r="24" spans="1:4">
      <c r="A24" s="2868" t="s">
        <v>2696</v>
      </c>
      <c r="B24" s="2868" t="s">
        <v>2701</v>
      </c>
      <c r="C24" s="2868" t="s">
        <v>2698</v>
      </c>
      <c r="D24" s="2868" t="s">
        <v>2699</v>
      </c>
    </row>
    <row r="25" spans="1:4">
      <c r="A25" s="2871" t="s">
        <v>2702</v>
      </c>
      <c r="B25" s="2868" t="s">
        <v>950</v>
      </c>
      <c r="C25" s="2870"/>
      <c r="D25" s="1802" t="s">
        <v>2705</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4">
      <c r="A15" s="3234" t="s">
        <v>53</v>
      </c>
      <c r="B15" s="3235" t="s">
        <v>844</v>
      </c>
      <c r="C15" s="3231"/>
    </row>
    <row r="16" spans="1:7" ht="14.4">
      <c r="A16" s="3234"/>
      <c r="B16" s="3232" t="s">
        <v>54</v>
      </c>
      <c r="C16" s="1172" t="s">
        <v>53</v>
      </c>
    </row>
    <row r="17" spans="1:3" ht="14.4">
      <c r="A17" s="3234"/>
      <c r="B17" s="3232"/>
      <c r="C17" s="1172" t="s">
        <v>55</v>
      </c>
    </row>
    <row r="18" spans="1:3" ht="14.4">
      <c r="A18" s="3234"/>
      <c r="B18" s="3232"/>
      <c r="C18" s="1172" t="s">
        <v>56</v>
      </c>
    </row>
    <row r="19" spans="1:3" ht="14.4">
      <c r="A19" s="3234"/>
      <c r="B19" s="3230" t="s">
        <v>57</v>
      </c>
      <c r="C19" s="3231"/>
    </row>
    <row r="20" spans="1:3" ht="14.4">
      <c r="A20" s="1173" t="s">
        <v>58</v>
      </c>
      <c r="B20" s="1174"/>
      <c r="C20" s="1175"/>
    </row>
    <row r="21" spans="1:3" ht="14.4">
      <c r="A21" s="3233" t="s">
        <v>59</v>
      </c>
      <c r="B21" s="3230" t="s">
        <v>60</v>
      </c>
      <c r="C21" s="3231"/>
    </row>
    <row r="22" spans="1:3" ht="14.4">
      <c r="A22" s="3233"/>
      <c r="B22" s="3230" t="s">
        <v>61</v>
      </c>
      <c r="C22" s="3231"/>
    </row>
    <row r="23" spans="1:3" ht="14.4">
      <c r="A23" s="3233"/>
      <c r="B23" s="3230" t="s">
        <v>62</v>
      </c>
      <c r="C23" s="3231"/>
    </row>
    <row r="24" spans="1:3" ht="14.4">
      <c r="A24" s="3233"/>
      <c r="B24" s="3236" t="s">
        <v>63</v>
      </c>
      <c r="C24" s="1176" t="s">
        <v>835</v>
      </c>
    </row>
    <row r="25" spans="1:3" ht="14.4">
      <c r="A25" s="3233"/>
      <c r="B25" s="3237"/>
      <c r="C25" s="1176" t="s">
        <v>836</v>
      </c>
    </row>
    <row r="26" spans="1:3" ht="14.4">
      <c r="A26" s="3233"/>
      <c r="B26" s="3237"/>
      <c r="C26" s="1176" t="s">
        <v>837</v>
      </c>
    </row>
    <row r="27" spans="1:3" ht="14.4">
      <c r="A27" s="3233"/>
      <c r="B27" s="3237"/>
      <c r="C27" s="1176" t="s">
        <v>838</v>
      </c>
    </row>
    <row r="28" spans="1:3" ht="14.4">
      <c r="A28" s="3233"/>
      <c r="B28" s="3237"/>
      <c r="C28" s="1176" t="s">
        <v>839</v>
      </c>
    </row>
    <row r="29" spans="1:3" ht="14.4">
      <c r="A29" s="3233"/>
      <c r="B29" s="3237"/>
      <c r="C29" s="1176" t="s">
        <v>840</v>
      </c>
    </row>
    <row r="30" spans="1:3" ht="14.4">
      <c r="A30" s="3233"/>
      <c r="B30" s="3237"/>
      <c r="C30" s="1176" t="s">
        <v>841</v>
      </c>
    </row>
    <row r="31" spans="1:3" ht="14.4">
      <c r="A31" s="3233"/>
      <c r="B31" s="3237"/>
      <c r="C31" s="1176" t="s">
        <v>842</v>
      </c>
    </row>
    <row r="32" spans="1:3" ht="14.4">
      <c r="A32" s="3233"/>
      <c r="B32" s="3237"/>
      <c r="C32" s="1176" t="s">
        <v>1645</v>
      </c>
    </row>
    <row r="33" spans="1:3" ht="14.4">
      <c r="A33" s="3233"/>
      <c r="B33" s="3227" t="s">
        <v>1651</v>
      </c>
      <c r="C33" s="1176" t="s">
        <v>1646</v>
      </c>
    </row>
    <row r="34" spans="1:3" ht="14.4">
      <c r="A34" s="3233"/>
      <c r="B34" s="3228"/>
      <c r="C34" s="1181" t="s">
        <v>1647</v>
      </c>
    </row>
    <row r="35" spans="1:3" ht="14.4">
      <c r="A35" s="3233"/>
      <c r="B35" s="3228"/>
      <c r="C35" s="1182" t="s">
        <v>1648</v>
      </c>
    </row>
    <row r="36" spans="1:3" ht="14.4">
      <c r="A36" s="3233"/>
      <c r="B36" s="3228"/>
      <c r="C36" s="1182" t="s">
        <v>1649</v>
      </c>
    </row>
    <row r="37" spans="1:3" ht="14.4">
      <c r="A37" s="3233"/>
      <c r="B37" s="3229"/>
      <c r="C37" s="1183" t="s">
        <v>1650</v>
      </c>
    </row>
    <row r="38" spans="1:3">
      <c r="A38" s="1177" t="s">
        <v>843</v>
      </c>
    </row>
    <row r="41" spans="1:3">
      <c r="A41" s="1177" t="s">
        <v>68</v>
      </c>
    </row>
    <row r="42" spans="1:3" ht="14.4">
      <c r="A42" s="1178" t="s">
        <v>851</v>
      </c>
    </row>
    <row r="43" spans="1:3" ht="14.4">
      <c r="A43" s="1179" t="s">
        <v>69</v>
      </c>
    </row>
    <row r="44" spans="1:3" ht="14.4">
      <c r="A44" s="1178" t="s">
        <v>850</v>
      </c>
    </row>
    <row r="45" spans="1:3" ht="14.4">
      <c r="A45" s="1180" t="s">
        <v>852</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8">
        <f ca="1">TODAY()</f>
        <v>43867</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t="str">
        <f ca="1">IF(C4&lt;B2,"已过期",1119970066)</f>
        <v>已过期</v>
      </c>
      <c r="C4" s="3006">
        <v>43849</v>
      </c>
      <c r="D4" s="2343" t="s">
        <v>1913</v>
      </c>
      <c r="E4" s="2343">
        <f ca="1">IF(F4&lt;B2,"已过期",96010014)</f>
        <v>96010014</v>
      </c>
      <c r="F4" s="3007">
        <v>47118</v>
      </c>
    </row>
    <row r="5" spans="1:6" ht="20.25" customHeight="1">
      <c r="A5" s="2343" t="s">
        <v>1914</v>
      </c>
      <c r="B5" s="2343" t="str">
        <f ca="1">IF(C5&lt;B2,"已过期",1119970074)</f>
        <v>已过期</v>
      </c>
      <c r="C5" s="3006">
        <v>43849</v>
      </c>
      <c r="D5" s="2343" t="s">
        <v>1914</v>
      </c>
      <c r="E5" s="2343">
        <f ca="1">IF(F5&lt;B2,"已过期",2002110027)</f>
        <v>2002110027</v>
      </c>
      <c r="F5" s="3007">
        <v>46752</v>
      </c>
    </row>
    <row r="6" spans="1:6" ht="20.25" customHeight="1">
      <c r="A6" s="2343" t="s">
        <v>1915</v>
      </c>
      <c r="B6" s="2343" t="str">
        <f ca="1">IF(C6&lt;B2,"已过期",1119970111)</f>
        <v>已过期</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t="str">
        <f ca="1">IF(C8&lt;B2,"已过期",1120000080)</f>
        <v>已过期</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2976</v>
      </c>
      <c r="B12" s="2343">
        <v>1120110054</v>
      </c>
      <c r="C12" s="3006">
        <v>43937</v>
      </c>
      <c r="D12" s="2343" t="s">
        <v>2976</v>
      </c>
      <c r="E12" s="2343">
        <v>2008110060</v>
      </c>
      <c r="F12" s="3007">
        <v>47177</v>
      </c>
    </row>
    <row r="13" spans="1:6" ht="20.25" customHeight="1">
      <c r="A13" s="2343" t="s">
        <v>1921</v>
      </c>
      <c r="B13" s="2343" t="str">
        <f ca="1">IF(C13&lt;B2,"已过期",1120070131)</f>
        <v>已过期</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2575</v>
      </c>
      <c r="B15" s="2343">
        <v>1120070085</v>
      </c>
      <c r="C15" s="3006">
        <v>43814</v>
      </c>
      <c r="D15" s="2343" t="s">
        <v>2575</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t="str">
        <f ca="1">IF(C23&lt;B2,"已过期",1120130048)</f>
        <v>已过期</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238" t="s">
        <v>1927</v>
      </c>
      <c r="B25" s="3238"/>
      <c r="C25" s="3238"/>
      <c r="D25" s="3238"/>
      <c r="E25" s="3238"/>
      <c r="F25" s="3238"/>
      <c r="G25" s="3238"/>
    </row>
    <row r="26" spans="1:7" ht="20.25" customHeight="1">
      <c r="A26" s="3239" t="s">
        <v>1928</v>
      </c>
      <c r="B26" s="3239"/>
      <c r="C26" s="3239"/>
      <c r="D26" s="3239" t="s">
        <v>1929</v>
      </c>
      <c r="E26" s="3239"/>
      <c r="F26" s="3239"/>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4" t="s">
        <v>872</v>
      </c>
    </row>
    <row r="2" spans="1:23" ht="14.4">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2541</v>
      </c>
      <c r="S2" s="9" t="s">
        <v>75</v>
      </c>
      <c r="T2" s="9" t="s">
        <v>76</v>
      </c>
      <c r="U2" s="9" t="s">
        <v>75</v>
      </c>
      <c r="V2" s="9" t="s">
        <v>77</v>
      </c>
      <c r="W2" s="9" t="s">
        <v>873</v>
      </c>
    </row>
    <row r="3" spans="1:23" ht="14.4">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874</v>
      </c>
    </row>
    <row r="4" spans="1:23" ht="14.4">
      <c r="A4" s="8" t="s">
        <v>87</v>
      </c>
      <c r="B4" s="8" t="s">
        <v>152</v>
      </c>
      <c r="C4" s="1552"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875</v>
      </c>
    </row>
    <row r="5" spans="1:23" ht="14.4">
      <c r="A5" s="8" t="s">
        <v>94</v>
      </c>
      <c r="B5" s="8" t="s">
        <v>153</v>
      </c>
      <c r="C5" s="1552" t="s">
        <v>1711</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876</v>
      </c>
    </row>
    <row r="6" spans="1:23" ht="14.4">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2545</v>
      </c>
      <c r="S6" s="9" t="s">
        <v>101</v>
      </c>
      <c r="T6" s="9"/>
      <c r="U6" s="9" t="s">
        <v>101</v>
      </c>
      <c r="W6" s="9" t="s">
        <v>877</v>
      </c>
    </row>
    <row r="7" spans="1:23" ht="14.4">
      <c r="A7" s="8" t="s">
        <v>102</v>
      </c>
      <c r="B7" s="8" t="s">
        <v>103</v>
      </c>
      <c r="C7" s="1552" t="s">
        <v>1713</v>
      </c>
      <c r="F7" s="9" t="s">
        <v>154</v>
      </c>
      <c r="H7" s="9" t="s">
        <v>104</v>
      </c>
      <c r="I7" s="9" t="s">
        <v>105</v>
      </c>
    </row>
    <row r="8" spans="1:23" ht="14.4">
      <c r="A8" s="8" t="s">
        <v>106</v>
      </c>
      <c r="B8" s="8" t="s">
        <v>107</v>
      </c>
      <c r="C8" s="1552" t="s">
        <v>1714</v>
      </c>
      <c r="F8" s="9" t="s">
        <v>155</v>
      </c>
      <c r="H8" s="9"/>
      <c r="I8" s="9" t="s">
        <v>108</v>
      </c>
    </row>
    <row r="9" spans="1:23" ht="14.4">
      <c r="A9" s="8" t="s">
        <v>109</v>
      </c>
      <c r="B9" s="8" t="s">
        <v>156</v>
      </c>
      <c r="C9" s="1552" t="s">
        <v>1715</v>
      </c>
      <c r="F9" s="9" t="s">
        <v>110</v>
      </c>
      <c r="H9" s="9"/>
    </row>
    <row r="10" spans="1:23" ht="14.4">
      <c r="A10" s="8" t="s">
        <v>111</v>
      </c>
      <c r="B10" s="8" t="s">
        <v>157</v>
      </c>
      <c r="C10" s="1552" t="s">
        <v>1716</v>
      </c>
      <c r="F10" s="9" t="s">
        <v>6</v>
      </c>
    </row>
    <row r="11" spans="1:23" ht="14.4">
      <c r="A11" s="8" t="s">
        <v>112</v>
      </c>
      <c r="B11" s="8" t="s">
        <v>158</v>
      </c>
      <c r="C11" s="1552" t="s">
        <v>1717</v>
      </c>
    </row>
    <row r="12" spans="1:23" ht="14.4">
      <c r="A12" s="8" t="s">
        <v>113</v>
      </c>
      <c r="B12" s="8" t="s">
        <v>159</v>
      </c>
      <c r="C12" s="1552" t="s">
        <v>1718</v>
      </c>
    </row>
    <row r="13" spans="1:23" ht="14.4">
      <c r="A13" s="8" t="s">
        <v>114</v>
      </c>
      <c r="B13" s="8" t="s">
        <v>160</v>
      </c>
      <c r="C13" s="1552" t="s">
        <v>1719</v>
      </c>
    </row>
    <row r="14" spans="1:23" ht="14.4">
      <c r="A14" s="8" t="s">
        <v>115</v>
      </c>
      <c r="B14" s="8" t="s">
        <v>161</v>
      </c>
      <c r="C14" s="1555" t="s">
        <v>1895</v>
      </c>
    </row>
    <row r="15" spans="1:23" ht="14.4">
      <c r="A15" s="8" t="s">
        <v>116</v>
      </c>
      <c r="B15" s="8" t="s">
        <v>1680</v>
      </c>
      <c r="C15" s="1555"/>
    </row>
    <row r="16" spans="1:23" ht="14.4">
      <c r="A16" s="8" t="s">
        <v>117</v>
      </c>
      <c r="B16" s="8" t="s">
        <v>1681</v>
      </c>
      <c r="C16" s="1555"/>
    </row>
    <row r="17" spans="1:3" ht="14.4">
      <c r="A17" s="8" t="s">
        <v>118</v>
      </c>
      <c r="B17" s="8" t="s">
        <v>1682</v>
      </c>
      <c r="C17" s="1555"/>
    </row>
    <row r="18" spans="1:3" ht="14.4">
      <c r="A18" s="8" t="s">
        <v>119</v>
      </c>
      <c r="B18" s="3110" t="s">
        <v>2954</v>
      </c>
      <c r="C18" s="1555"/>
    </row>
    <row r="19" spans="1:3" ht="14.4">
      <c r="A19" s="8" t="s">
        <v>120</v>
      </c>
      <c r="B19" s="3110" t="s">
        <v>2962</v>
      </c>
      <c r="C19" s="1555"/>
    </row>
    <row r="20" spans="1:3" ht="14.4">
      <c r="A20" s="8" t="s">
        <v>121</v>
      </c>
      <c r="B20" s="8" t="s">
        <v>1640</v>
      </c>
      <c r="C20" s="1555"/>
    </row>
    <row r="21" spans="1:3" ht="14.4">
      <c r="A21" s="8" t="s">
        <v>122</v>
      </c>
      <c r="B21" s="8" t="s">
        <v>1640</v>
      </c>
      <c r="C21" s="1555"/>
    </row>
    <row r="22" spans="1:3" ht="14.4">
      <c r="A22" s="8" t="s">
        <v>123</v>
      </c>
      <c r="B22" s="8" t="s">
        <v>1640</v>
      </c>
      <c r="C22" s="1555"/>
    </row>
    <row r="23" spans="1:3" ht="14.4">
      <c r="A23" s="8" t="s">
        <v>124</v>
      </c>
      <c r="B23" s="8" t="s">
        <v>1640</v>
      </c>
      <c r="C23" s="1555"/>
    </row>
    <row r="24" spans="1:3">
      <c r="A24" s="8" t="s">
        <v>12</v>
      </c>
      <c r="B24" s="8" t="s">
        <v>1640</v>
      </c>
      <c r="C24" s="1555"/>
    </row>
    <row r="25" spans="1:3" ht="14.4">
      <c r="A25" s="8" t="s">
        <v>125</v>
      </c>
      <c r="B25" s="8" t="s">
        <v>1640</v>
      </c>
      <c r="C25" s="1555"/>
    </row>
    <row r="26" spans="1:3" ht="14.4">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40"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11日，在规划利用条件下、设定土地开发程度为红线外“七通”、宗地内场地平整，设定用途为，剩余土地使用年限为的出让国有建设用地使用权价格。</v>
      </c>
      <c r="D53" s="1769"/>
      <c r="E53" s="1769"/>
    </row>
    <row r="54" spans="1:5">
      <c r="A54" s="3240"/>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0"/>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0"/>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0"/>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ht="14.4">
      <c r="A58" s="1771" t="s">
        <v>2050</v>
      </c>
      <c r="B58" s="1768"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2020-02-06T09:06:18Z</dcterms:modified>
</cp:coreProperties>
</file>