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F02\"/>
    </mc:Choice>
  </mc:AlternateContent>
  <xr:revisionPtr revIDLastSave="0" documentId="13_ncr:1_{FE28A5C5-B8A7-42FE-809A-85E869F85E62}" xr6:coauthVersionLast="47" xr6:coauthVersionMax="47" xr10:uidLastSave="{00000000-0000-0000-0000-000000000000}"/>
  <bookViews>
    <workbookView xWindow="-108" yWindow="-108" windowWidth="23256" windowHeight="12576"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案例" sheetId="80"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收益法商" sheetId="82" r:id="rId43"/>
    <sheet name="收益法" sheetId="15" r:id="rId44"/>
    <sheet name="地价-分区" sheetId="79" r:id="rId45"/>
    <sheet name="地价" sheetId="71" r:id="rId46"/>
    <sheet name="区片价" sheetId="44" r:id="rId47"/>
    <sheet name="存贷款利率" sheetId="73"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4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2">收益法商!$A$1:$F$43,收益法商!$H$3:$M$29,收益法商!$A$46:$F$71,收益法商!$I$46:$N$65</definedName>
    <definedName name="_xlnm.Print_Area" localSheetId="14">'数据-汇总表'!$A$1:$P$32</definedName>
    <definedName name="_xlnm.Print_Area" localSheetId="33">'土地比较法-工业'!$A$1:$K$61,'土地比较法-工业'!$A$64:$M$121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0">'[1]不动产比较法-办公'!$B$119:$M$119</definedName>
    <definedName name="办公层高">'比较法-办公'!$B$119:$M$119</definedName>
    <definedName name="办公朝向" localSheetId="20">'[1]不动产比较法-办公'!$B$91:$M$91</definedName>
    <definedName name="办公朝向">'比较法-办公'!$B$91:$M$91</definedName>
    <definedName name="办公道路级别" localSheetId="20">'[1]不动产比较法-办公'!$B$87:$M$87</definedName>
    <definedName name="办公道路级别">'比较法-办公'!$B$87:$M$87</definedName>
    <definedName name="办公公共部分装修" localSheetId="20">'[1]不动产比较法-办公'!$B$108:$M$108</definedName>
    <definedName name="办公公共部分装修">'比较法-办公'!$B$108:$M$108</definedName>
    <definedName name="办公基础设施水平" localSheetId="20">'[1]不动产比较法-办公'!$B$117:$M$117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'比较法-办公'!$B$106:$M$106</definedName>
    <definedName name="办公建筑类型" localSheetId="20">'[1]不动产比较法-办公'!$B$101:$M$101</definedName>
    <definedName name="办公建筑类型">'比较法-办公'!$B$101:$M$101</definedName>
    <definedName name="办公交易情况" localSheetId="20">'[1]不动产比较法-办公'!$A$62:$M$62</definedName>
    <definedName name="办公交易情况">'比较法-办公'!$A$62:$M$62</definedName>
    <definedName name="办公楼层" localSheetId="20">'[1]不动产比较法-办公'!$B$89:$M$89</definedName>
    <definedName name="办公楼层">'比较法-办公'!$B$89:$M$89</definedName>
    <definedName name="办公内部装修" localSheetId="20">'[1]不动产比较法-办公'!$B$123:$M$123</definedName>
    <definedName name="办公内部装修">'比较法-办公'!$B$123:$M$123</definedName>
    <definedName name="办公物业管理" localSheetId="20">'[1]不动产比较法-办公'!$B$115:$M$115</definedName>
    <definedName name="办公物业管理">'比较法-办公'!$B$115:$M$115</definedName>
    <definedName name="办公用途" localSheetId="20">'[1]不动产比较法-办公'!$B$64:$M$64</definedName>
    <definedName name="办公用途">'比较法-办公'!$B$64:$M$64</definedName>
    <definedName name="仓储公共部分装修" localSheetId="20">'[1]不动产比较法-仓储'!$B$77:$M$77</definedName>
    <definedName name="仓储公共部分装修">'比较法-仓储'!$B$77:$M$77</definedName>
    <definedName name="仓储交易情况" localSheetId="20">'[1]不动产比较法-仓储'!$A$49:$M$49</definedName>
    <definedName name="仓储交易情况">'比较法-仓储'!$A$49:$M$49</definedName>
    <definedName name="仓储楼层" localSheetId="20">'[1]不动产比较法-仓储'!$B$69:$M$69</definedName>
    <definedName name="仓储楼层">'比较法-仓储'!$B$69:$M$69</definedName>
    <definedName name="仓储物业等级" localSheetId="20">'[1]不动产比较法-仓储'!$B$82:$M$82</definedName>
    <definedName name="仓储物业等级">'比较法-仓储'!$B$82:$M$82</definedName>
    <definedName name="仓储用途" localSheetId="20">'[1]不动产比较法-仓储'!$B$51:$M$51</definedName>
    <definedName name="仓储用途">'比较法-仓储'!$B$51:$M$51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'比较法-车位'!$B$83:$M$83</definedName>
    <definedName name="车位交易情况" localSheetId="20">'[1]不动产比较法-车位'!$A$51:$M$51</definedName>
    <definedName name="车位交易情况">'比较法-车位'!$A$51:$M$51</definedName>
    <definedName name="车位类型" localSheetId="20">'[1]不动产比较法-车位'!$B$93:$M$93</definedName>
    <definedName name="车位类型">'比较法-车位'!$B$93:$M$93</definedName>
    <definedName name="车位楼层" localSheetId="20">'[1]不动产比较法-车位'!$B$71:$M$71</definedName>
    <definedName name="车位楼层">'比较法-车位'!$B$71:$M$71</definedName>
    <definedName name="车位配套类型" localSheetId="20">'[1]不动产比较法-车位'!$B$79:$M$79</definedName>
    <definedName name="车位配套类型">'比较法-车位'!$B$79:$M$79</definedName>
    <definedName name="车位物业等级" localSheetId="20">'[1]不动产比较法-车位'!$B$88:$M$88</definedName>
    <definedName name="车位物业等级">'比较法-车位'!$B$88:$M$88</definedName>
    <definedName name="车位用途" localSheetId="20">'[1]不动产比较法-车位'!$B$53:$M$53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修正!$C$19:$C$53</definedName>
    <definedName name="法定最高年限" localSheetId="20">[1]定义!$G$2:$G$5</definedName>
    <definedName name="法定最高年限">定义!$G$1:$G$6</definedName>
    <definedName name="工业">定义!$AB$2:$AB$12</definedName>
    <definedName name="工业公共部分装修" localSheetId="20">'[1]不动产比较法-工业'!$B$95:$M$95</definedName>
    <definedName name="工业公共部分装修">'比较法-工业'!$B$95:$M$95</definedName>
    <definedName name="工业基础设施水平" localSheetId="20">'[1]不动产比较法-工业'!$B$102:$M$102</definedName>
    <definedName name="工业基础设施水平">'比较法-工业'!$B$102:$M$102</definedName>
    <definedName name="工业建筑结构" localSheetId="20">'[1]不动产比较法-工业'!$B$93:$M$93</definedName>
    <definedName name="工业建筑结构">'比较法-工业'!$B$93:$M$93</definedName>
    <definedName name="工业建筑类型" localSheetId="20">'[1]不动产比较法-工业'!$B$88:$M$88</definedName>
    <definedName name="工业建筑类型">'比较法-工业'!$B$88:$M$88</definedName>
    <definedName name="工业交易情况" localSheetId="20">'[1]不动产比较法-工业'!$A$55:$M$55</definedName>
    <definedName name="工业交易情况">'比较法-工业'!$A$55:$M$55</definedName>
    <definedName name="工业内部装修" localSheetId="20">'[1]不动产比较法-工业'!$B$104:$M$104</definedName>
    <definedName name="工业内部装修">'比较法-工业'!$B$104:$M$104</definedName>
    <definedName name="工业物业管理" localSheetId="20">'[1]不动产比较法-工业'!$B$100:$M$100</definedName>
    <definedName name="工业物业管理">'比较法-工业'!$B$100:$M$100</definedName>
    <definedName name="工业用途" localSheetId="20">'[1]不动产比较法-工业'!$B$57:$M$57</definedName>
    <definedName name="工业用途">'比较法-工业'!$B$57:$M$57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定义!$X$2:$X$9</definedName>
    <definedName name="商业层高" localSheetId="20">'[1]不动产比较法-商业'!$B$116:$M$116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'比较法-商业'!$B$107:$M$107</definedName>
    <definedName name="商业基础设施水平" localSheetId="20">'[1]不动产比较法-商业'!$B$112:$M$112</definedName>
    <definedName name="商业基础设施水平">'比较法-商业'!$B$112:$M$112</definedName>
    <definedName name="商业建筑结构" localSheetId="20">'[1]不动产比较法-商业'!$B$105:$M$105</definedName>
    <definedName name="商业建筑结构">'比较法-商业'!$B$105:$M$105</definedName>
    <definedName name="商业交易情况" localSheetId="20">'[1]不动产比较法-商业'!$A$61:$M$61</definedName>
    <definedName name="商业交易情况">'比较法-商业'!$A$61:$M$61</definedName>
    <definedName name="商业街名称" localSheetId="20">[1]修正!$C$73:$C$141</definedName>
    <definedName name="商业街名称">修正!$C$73:$C$140</definedName>
    <definedName name="商业进深比" localSheetId="20">'[1]不动产比较法-商业'!$B$120:$M$120</definedName>
    <definedName name="商业进深比">'比较法-商业'!$B$120:$M$120</definedName>
    <definedName name="商业类型" localSheetId="20">'[1]不动产比较法-商业'!$B$100:$M$100</definedName>
    <definedName name="商业类型">'比较法-商业'!$B$100:$M$100</definedName>
    <definedName name="商业临街状况" localSheetId="20">'[1]不动产比较法-商业'!$B$86:$M$86</definedName>
    <definedName name="商业临街状况">'比较法-商业'!$B$86:$M$86</definedName>
    <definedName name="商业楼层" localSheetId="20">'[1]不动产比较法-商业'!$B$92:$M$92</definedName>
    <definedName name="商业楼层">'比较法-商业'!$B$92:$M$92</definedName>
    <definedName name="商业内部装修" localSheetId="20">'[1]不动产比较法-商业'!$B$122:$M$122</definedName>
    <definedName name="商业内部装修">'比较法-商业'!$B$122:$M$122</definedName>
    <definedName name="商业人流量" localSheetId="20">'[1]不动产比较法-商业'!$B$90:$M$90</definedName>
    <definedName name="商业人流量">'比较法-商业'!$B$90:$M$90</definedName>
    <definedName name="商业业态" localSheetId="20">'[1]不动产比较法-商业'!$B$114:$M$114</definedName>
    <definedName name="商业业态">'比较法-商业'!$B$114:$M$114</definedName>
    <definedName name="商业用途" localSheetId="20">'[1]不动产比较法-商业'!$B$63:$M$63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'[1]不动产比较法-仓储'!$B$89:$M$89</definedName>
    <definedName name="是否封闭">'比较法-仓储'!$B$89:$M$89</definedName>
    <definedName name="是否直接入户" localSheetId="20">'[1]不动产比较法-车位'!$B$95:$M$95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0">'[1]比较法-住宅、综合'!$A$74:$M$74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0">'[1]比较法-工业'!$B$100:$M$100</definedName>
    <definedName name="套工土地级别">'土地比较法-工业'!$B$99:$M$99</definedName>
    <definedName name="套工用途" localSheetId="20">'[1]比较法-工业'!$B$71:$M$71</definedName>
    <definedName name="套工用途">'土地比较法-工业'!$B$70:$M$70</definedName>
    <definedName name="套工宗地开发程度">'土地比较法-工业'!$B$112:$M$112</definedName>
    <definedName name="套工宗地形状" localSheetId="20">'[1]比较法-工业'!$B$111:$M$111</definedName>
    <definedName name="套工宗地形状">'土地比较法-工业'!$B$110:$M$110</definedName>
    <definedName name="套综道路等级" localSheetId="20">'[1]比较法-住宅、综合'!$B$107:$M$107</definedName>
    <definedName name="套综道路等级">'土地比较法-住宅、综合'!$B$105:$M$105</definedName>
    <definedName name="套综工程地质条件" localSheetId="20">'[1]比较法-住宅、综合'!$B$126:$M$126</definedName>
    <definedName name="套综工程地质条件">'土地比较法-住宅、综合'!$B$124:$M$124</definedName>
    <definedName name="套综交易情况" localSheetId="20">'[1]比较法-住宅、综合'!$A$74:$M$74</definedName>
    <definedName name="套综交易情况">'土地比较法-住宅、综合'!$A$72:$M$72</definedName>
    <definedName name="套综临街宽度及深度" localSheetId="20">'[1]比较法-住宅、综合'!$B$122:$M$122</definedName>
    <definedName name="套综临街宽度及深度">'土地比较法-住宅、综合'!$B$120:$M$120</definedName>
    <definedName name="套综土地级别" localSheetId="20">'[1]比较法-住宅、综合'!$B$109:$M$109</definedName>
    <definedName name="套综土地级别">'土地比较法-住宅、综合'!$B$107:$M$107</definedName>
    <definedName name="套综用途" localSheetId="20">'[1]比较法-住宅、综合'!$B$76:$M$76</definedName>
    <definedName name="套综用途">'土地比较法-住宅、综合'!$B$74:$M$74</definedName>
    <definedName name="套综宗地内开发程度" localSheetId="20">'[1]比较法-住宅、综合'!$B$124:$M$124</definedName>
    <definedName name="套综宗地内开发程度">'土地比较法-住宅、综合'!$B$122:$M$122</definedName>
    <definedName name="套综宗地形状" localSheetId="20">'[1]比较法-住宅、综合'!$B$120:$M$120</definedName>
    <definedName name="套综宗地形状">'土地比较法-住宅、综合'!$B$118:$M$118</definedName>
    <definedName name="土地估价师" localSheetId="20">[1]估价师及机构信息!$D$3:$D$17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0">'[1]数据-汇总表'!$C$17:$C$26</definedName>
    <definedName name="项目类型" localSheetId="25">'[2]数据-汇总表'!$C$17:$C$26</definedName>
    <definedName name="项目类型">'数据-汇总表'!$C$17:$C$26</definedName>
    <definedName name="写字楼等级" localSheetId="20">'[1]不动产比较法-办公'!$B$113:$M$113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[1]定义!$A$1:$A$50</definedName>
    <definedName name="用途明细">定义!$A$1:$A$50</definedName>
    <definedName name="有无电梯" localSheetId="20">'[1]不动产比较法-仓储'!$B$84:$M$84</definedName>
    <definedName name="有无电梯">'比较法-仓储'!$B$84:$M$84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'比较法-住宅'!$B$88:$M$88</definedName>
    <definedName name="住宅房型" localSheetId="20">'[1]不动产比较法-住宅'!$B$118:$M$118</definedName>
    <definedName name="住宅房型">'比较法-住宅'!$B$118:$M$118</definedName>
    <definedName name="住宅公共部分装修" localSheetId="20">'[1]不动产比较法-住宅'!$B$109:$M$109</definedName>
    <definedName name="住宅公共部分装修">'比较法-住宅'!$B$109:$M$109</definedName>
    <definedName name="住宅基础设施水平" localSheetId="20">'[1]不动产比较法-住宅'!$B$116:$M$116</definedName>
    <definedName name="住宅基础设施水平">'比较法-住宅'!$B$116:$M$116</definedName>
    <definedName name="住宅建筑结构" localSheetId="20">'[1]不动产比较法-住宅'!$B$105:$M$105</definedName>
    <definedName name="住宅建筑结构">'比较法-住宅'!$B$105:$M$105</definedName>
    <definedName name="住宅建筑类型" localSheetId="20">'[1]不动产比较法-住宅'!$B$100:$M$100</definedName>
    <definedName name="住宅建筑类型">'比较法-住宅'!$B$100:$M$100</definedName>
    <definedName name="住宅建筑品质" localSheetId="20">'[1]不动产比较法-住宅'!$B$107:$M$107</definedName>
    <definedName name="住宅建筑品质">'比较法-住宅'!$B$107:$M$107</definedName>
    <definedName name="住宅交易情况" localSheetId="20">'[1]不动产比较法-住宅'!$A$61:$M$61</definedName>
    <definedName name="住宅交易情况">'比较法-住宅'!$A$61:$M$61</definedName>
    <definedName name="住宅楼层" localSheetId="20">'[1]不动产比较法-住宅'!$B$86:$M$86</definedName>
    <definedName name="住宅楼层">'比较法-住宅'!$B$86:$M$86</definedName>
    <definedName name="住宅内部装修" localSheetId="20">'[1]不动产比较法-住宅'!$B$122:$M$122</definedName>
    <definedName name="住宅内部装修">'比较法-住宅'!$B$122:$M$122</definedName>
    <definedName name="住宅物业管理" localSheetId="20">'[1]不动产比较法-住宅'!$B$114:$M$114</definedName>
    <definedName name="住宅物业管理">'比较法-住宅'!$B$114:$M$114</definedName>
    <definedName name="住宅用途" localSheetId="20">'[1]不动产比较法-住宅'!$B$63:$M$63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2" i="81" l="1"/>
  <c r="M20" i="81"/>
  <c r="N11" i="81"/>
  <c r="N12" i="81"/>
  <c r="N13" i="81"/>
  <c r="N14" i="81"/>
  <c r="N15" i="81"/>
  <c r="N16" i="81"/>
  <c r="N17" i="81"/>
  <c r="N18" i="81"/>
  <c r="N19" i="81"/>
  <c r="N20" i="81"/>
  <c r="N21" i="81"/>
  <c r="N10" i="81"/>
  <c r="M17" i="81"/>
  <c r="M15" i="81"/>
  <c r="K23" i="81"/>
  <c r="K22" i="81"/>
  <c r="K21" i="81"/>
  <c r="K20" i="81"/>
  <c r="K19" i="81"/>
  <c r="K18" i="81"/>
  <c r="K17" i="81"/>
  <c r="K16" i="81"/>
  <c r="K15" i="81"/>
  <c r="K14" i="81"/>
  <c r="K13" i="81"/>
  <c r="K12" i="81"/>
  <c r="K11" i="81"/>
  <c r="K10" i="81"/>
  <c r="C14" i="74"/>
  <c r="B14" i="74"/>
  <c r="Q72" i="82" l="1"/>
  <c r="Q59" i="82"/>
  <c r="K59" i="82"/>
  <c r="P74" i="82" s="1"/>
  <c r="Q58" i="82"/>
  <c r="Q51" i="82"/>
  <c r="J50" i="82"/>
  <c r="J51" i="82" s="1"/>
  <c r="M47" i="82"/>
  <c r="D46" i="82"/>
  <c r="F34" i="82"/>
  <c r="F62" i="82" s="1"/>
  <c r="F33" i="82"/>
  <c r="F61" i="82" s="1"/>
  <c r="F32" i="82"/>
  <c r="F60" i="82" s="1"/>
  <c r="F28" i="82"/>
  <c r="C28" i="82" s="1"/>
  <c r="F23" i="82"/>
  <c r="D24" i="82" s="1"/>
  <c r="F21" i="82"/>
  <c r="M20" i="82"/>
  <c r="F20" i="82"/>
  <c r="M19" i="82"/>
  <c r="M18" i="82"/>
  <c r="F18" i="82"/>
  <c r="F17" i="82"/>
  <c r="F15" i="82"/>
  <c r="G1" i="82"/>
  <c r="E57" i="39"/>
  <c r="G21" i="6"/>
  <c r="A3" i="3"/>
  <c r="AF13" i="3"/>
  <c r="M13" i="3"/>
  <c r="K13" i="3"/>
  <c r="M3" i="81"/>
  <c r="H431" i="81"/>
  <c r="C76" i="82"/>
  <c r="Q71" i="82" l="1"/>
  <c r="P61" i="82"/>
  <c r="D22" i="82"/>
  <c r="D23" i="82"/>
  <c r="C14" i="82"/>
  <c r="F42" i="82"/>
  <c r="L47" i="82"/>
  <c r="F38" i="82"/>
  <c r="F6" i="82"/>
  <c r="F13" i="82"/>
  <c r="F7" i="82"/>
  <c r="F16" i="82"/>
  <c r="M6" i="82"/>
  <c r="M22" i="82"/>
  <c r="F36" i="82"/>
  <c r="F40" i="82"/>
  <c r="F9" i="82"/>
  <c r="M23" i="82"/>
  <c r="F43" i="82"/>
  <c r="J15" i="82"/>
  <c r="F37" i="82"/>
  <c r="M9" i="82"/>
  <c r="L48" i="82"/>
  <c r="M27" i="82"/>
  <c r="M29" i="82"/>
  <c r="M8" i="82"/>
  <c r="F8" i="82"/>
  <c r="M26" i="82"/>
  <c r="F26" i="82"/>
  <c r="M24" i="82"/>
  <c r="M28" i="82"/>
  <c r="F68" i="82" l="1"/>
  <c r="M7" i="82"/>
  <c r="J6" i="82" s="1"/>
  <c r="F50" i="82"/>
  <c r="C27" i="82"/>
  <c r="L57" i="82"/>
  <c r="L56" i="82"/>
  <c r="I54" i="82"/>
  <c r="J57" i="82"/>
  <c r="J55" i="82" s="1"/>
  <c r="J58" i="82" s="1"/>
  <c r="Q50" i="82" s="1"/>
  <c r="J59" i="82"/>
  <c r="J60" i="82"/>
  <c r="Q48" i="82" s="1"/>
  <c r="L60" i="82"/>
  <c r="F65" i="82"/>
  <c r="C6" i="82"/>
  <c r="F31" i="82"/>
  <c r="F66" i="82"/>
  <c r="F64" i="82"/>
  <c r="N59" i="82"/>
  <c r="L58" i="82"/>
  <c r="F51" i="82"/>
  <c r="F71" i="82"/>
  <c r="C15" i="82"/>
  <c r="C18" i="82"/>
  <c r="C17" i="82"/>
  <c r="C16" i="82"/>
  <c r="C49" i="82" l="1"/>
  <c r="C61" i="82" s="1"/>
  <c r="M17" i="82"/>
  <c r="C19" i="82"/>
  <c r="Q66" i="82"/>
  <c r="Q57" i="82"/>
  <c r="Q73" i="82"/>
  <c r="Q60" i="82"/>
  <c r="C32" i="82"/>
  <c r="C33" i="82"/>
  <c r="L46" i="82"/>
  <c r="F59" i="82"/>
  <c r="J18" i="82"/>
  <c r="J19" i="82"/>
  <c r="C20" i="82" l="1"/>
  <c r="C26" i="82" s="1"/>
  <c r="E431" i="81" l="1"/>
  <c r="E756" i="81" s="1"/>
  <c r="D756" i="81"/>
  <c r="E755" i="81"/>
  <c r="D755" i="81"/>
  <c r="J4" i="81"/>
  <c r="J5" i="81"/>
  <c r="J2" i="81"/>
  <c r="J3" i="81"/>
  <c r="D431" i="81"/>
  <c r="E425" i="81" l="1"/>
  <c r="D425" i="81"/>
  <c r="I37" i="35" l="1"/>
  <c r="E37" i="35"/>
  <c r="G37" i="35"/>
  <c r="D92" i="35" l="1"/>
  <c r="E92" i="35" s="1"/>
  <c r="G116" i="21"/>
  <c r="F116" i="21"/>
  <c r="E116" i="21"/>
  <c r="D116" i="21"/>
  <c r="C116" i="21"/>
  <c r="I46" i="39" l="1"/>
  <c r="G46" i="39"/>
  <c r="E46" i="39"/>
  <c r="I38" i="39"/>
  <c r="G38" i="39"/>
  <c r="E38" i="39"/>
  <c r="O13" i="3"/>
  <c r="G22" i="6" s="1"/>
  <c r="J6" i="81"/>
  <c r="J7" i="81" s="1"/>
  <c r="I13" i="3"/>
  <c r="F19" i="6" s="1"/>
  <c r="G20" i="6" l="1"/>
  <c r="I5" i="39"/>
  <c r="G5" i="39"/>
  <c r="E5" i="39"/>
  <c r="I7" i="39"/>
  <c r="G7" i="39"/>
  <c r="E7" i="39"/>
  <c r="G124" i="39"/>
  <c r="F124" i="39"/>
  <c r="E124" i="39"/>
  <c r="D124" i="39"/>
  <c r="C124" i="39"/>
  <c r="G122" i="39"/>
  <c r="F122" i="39"/>
  <c r="E122" i="39"/>
  <c r="D122" i="39"/>
  <c r="C122" i="39"/>
  <c r="G120" i="39"/>
  <c r="F120" i="39"/>
  <c r="E120" i="39"/>
  <c r="D120" i="39"/>
  <c r="C120" i="39"/>
  <c r="D117" i="39"/>
  <c r="E117" i="39" s="1"/>
  <c r="F117" i="39" s="1"/>
  <c r="Q9" i="1"/>
  <c r="L14" i="1"/>
  <c r="N9" i="1"/>
  <c r="N14" i="1" s="1"/>
  <c r="N7" i="1"/>
  <c r="L9" i="1"/>
  <c r="D3" i="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W22" i="79"/>
  <c r="AK22" i="79" s="1"/>
  <c r="AH22" i="79"/>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W35" i="79"/>
  <c r="AK35" i="79" s="1"/>
  <c r="AH35" i="79"/>
  <c r="W23" i="79"/>
  <c r="AK23" i="79" s="1"/>
  <c r="AH23" i="79"/>
  <c r="W12" i="79"/>
  <c r="AK12" i="79" s="1"/>
  <c r="AH12" i="79"/>
  <c r="W21" i="79"/>
  <c r="AK21" i="79" s="1"/>
  <c r="AH21" i="79"/>
  <c r="W47" i="79"/>
  <c r="AK47" i="79" s="1"/>
  <c r="AH47" i="79"/>
  <c r="W45" i="79"/>
  <c r="AK45" i="79" s="1"/>
  <c r="AH45" i="79"/>
  <c r="W15" i="79"/>
  <c r="AK15" i="79" s="1"/>
  <c r="AH15" i="79"/>
  <c r="W13" i="79"/>
  <c r="AK13" i="79" s="1"/>
  <c r="AH13" i="79"/>
  <c r="W48" i="79"/>
  <c r="AK48" i="79" s="1"/>
  <c r="AH48" i="79"/>
  <c r="W43" i="79"/>
  <c r="AK43" i="79" s="1"/>
  <c r="AH43" i="79"/>
  <c r="W11" i="79"/>
  <c r="AK11" i="79" s="1"/>
  <c r="AH11" i="79"/>
  <c r="W39" i="79"/>
  <c r="AK39" i="79" s="1"/>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56" i="71"/>
  <c r="E64" i="71"/>
  <c r="U64" i="71" s="1"/>
  <c r="U68" i="71"/>
  <c r="E67" i="71"/>
  <c r="Q28" i="71"/>
  <c r="C59" i="71"/>
  <c r="D58" i="71"/>
  <c r="D62" i="71"/>
  <c r="Q67" i="71"/>
  <c r="Q68" i="71"/>
  <c r="E71" i="71"/>
  <c r="E70" i="71" s="1"/>
  <c r="D72" i="71"/>
  <c r="E75" i="71"/>
  <c r="E74" i="71" s="1"/>
  <c r="E79" i="71"/>
  <c r="E78" i="71" s="1"/>
  <c r="D80" i="71"/>
  <c r="C87" i="71"/>
  <c r="S28" i="71"/>
  <c r="C60" i="71"/>
  <c r="D60" i="71" s="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D83" i="21"/>
  <c r="F21" i="21"/>
  <c r="AA21" i="21" s="1"/>
  <c r="D81" i="21"/>
  <c r="G20" i="20"/>
  <c r="C25" i="40" s="1"/>
  <c r="C22" i="20"/>
  <c r="B100" i="43" s="1"/>
  <c r="C29" i="39"/>
  <c r="S25" i="40"/>
  <c r="S21" i="34"/>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W18" i="36"/>
  <c r="S21" i="37"/>
  <c r="U21" i="34"/>
  <c r="S21" i="33"/>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S286" i="31" s="1"/>
  <c r="R287" i="31"/>
  <c r="S287" i="31" s="1"/>
  <c r="R288" i="31"/>
  <c r="R289" i="31"/>
  <c r="S289" i="31" s="1"/>
  <c r="R290" i="31"/>
  <c r="S290" i="31" s="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32" i="6" s="1"/>
  <c r="E20" i="6"/>
  <c r="D7" i="12" s="1"/>
  <c r="E21" i="6"/>
  <c r="K8" i="1" s="1"/>
  <c r="M8" i="1" s="1"/>
  <c r="F23" i="15"/>
  <c r="D24" i="15" s="1"/>
  <c r="E22" i="6"/>
  <c r="E7" i="12" s="1"/>
  <c r="E23" i="6"/>
  <c r="K10" i="1" s="1"/>
  <c r="M10" i="1" s="1"/>
  <c r="O10" i="1" s="1"/>
  <c r="P10" i="1" s="1"/>
  <c r="E24" i="6"/>
  <c r="E25" i="6"/>
  <c r="E26" i="6"/>
  <c r="BB13" i="3"/>
  <c r="BB5" i="3" s="1"/>
  <c r="E5" i="6" s="1"/>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AC5" i="3" s="1"/>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398" i="31"/>
  <c r="S394" i="31"/>
  <c r="S390" i="31"/>
  <c r="S386" i="31"/>
  <c r="S382" i="31"/>
  <c r="S378" i="31"/>
  <c r="S374" i="31"/>
  <c r="S370" i="31"/>
  <c r="S366" i="31"/>
  <c r="S362" i="31"/>
  <c r="S360" i="31"/>
  <c r="S358" i="31"/>
  <c r="S356" i="31"/>
  <c r="S354" i="31"/>
  <c r="S352" i="31"/>
  <c r="S350" i="31"/>
  <c r="S348" i="31"/>
  <c r="S346" i="31"/>
  <c r="S344" i="31"/>
  <c r="S342" i="31"/>
  <c r="S340" i="31"/>
  <c r="S338" i="31"/>
  <c r="S336" i="31"/>
  <c r="S334" i="31"/>
  <c r="S332" i="31"/>
  <c r="S330" i="31"/>
  <c r="S328" i="31"/>
  <c r="S326" i="31"/>
  <c r="S324" i="31"/>
  <c r="S322" i="31"/>
  <c r="S320" i="31"/>
  <c r="S318" i="31"/>
  <c r="S316" i="31"/>
  <c r="S314" i="31"/>
  <c r="S312" i="31"/>
  <c r="S310" i="31"/>
  <c r="S308" i="31"/>
  <c r="S306" i="31"/>
  <c r="S304" i="31"/>
  <c r="S302" i="31"/>
  <c r="S300" i="31"/>
  <c r="S298" i="31"/>
  <c r="S296" i="31"/>
  <c r="S294" i="31"/>
  <c r="S292"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20" i="31"/>
  <c r="S118" i="31"/>
  <c r="S117" i="31"/>
  <c r="S116" i="31"/>
  <c r="S114" i="31"/>
  <c r="S113" i="31"/>
  <c r="S112" i="31"/>
  <c r="S506" i="31"/>
  <c r="S504" i="31"/>
  <c r="S502" i="31"/>
  <c r="S498" i="31"/>
  <c r="S467" i="31"/>
  <c r="S466" i="31"/>
  <c r="S465" i="31"/>
  <c r="S463" i="31"/>
  <c r="S462" i="31"/>
  <c r="S461" i="31"/>
  <c r="S459" i="31"/>
  <c r="S458" i="31"/>
  <c r="S457" i="31"/>
  <c r="S455" i="31"/>
  <c r="S454" i="31"/>
  <c r="S453" i="31"/>
  <c r="S451"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24" i="31"/>
  <c r="S97" i="31"/>
  <c r="S96" i="31"/>
  <c r="S94" i="31"/>
  <c r="S93" i="31"/>
  <c r="S92" i="31"/>
  <c r="S90" i="31"/>
  <c r="S89" i="31"/>
  <c r="S88" i="31"/>
  <c r="S86" i="31"/>
  <c r="S85" i="31"/>
  <c r="S84" i="31"/>
  <c r="S82" i="31"/>
  <c r="S81" i="31"/>
  <c r="S80"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7" i="31"/>
  <c r="S518" i="31"/>
  <c r="S519" i="31"/>
  <c r="S521" i="31"/>
  <c r="S522"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D92" i="39"/>
  <c r="E92" i="39" s="1"/>
  <c r="F92" i="39" s="1"/>
  <c r="G92" i="39" s="1"/>
  <c r="D90" i="39"/>
  <c r="E90" i="39" s="1"/>
  <c r="F90" i="39" s="1"/>
  <c r="G90" i="39" s="1"/>
  <c r="D88" i="39"/>
  <c r="E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J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F13" i="36" s="1"/>
  <c r="B57" i="36"/>
  <c r="J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Q22" i="36"/>
  <c r="Z22" i="36" s="1"/>
  <c r="J22" i="36"/>
  <c r="AC22" i="36" s="1"/>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J25" i="35" s="1"/>
  <c r="B75" i="35"/>
  <c r="J24" i="35" s="1"/>
  <c r="AC24" i="35" s="1"/>
  <c r="B73" i="35"/>
  <c r="J23" i="35" s="1"/>
  <c r="AC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AB31" i="21" s="1"/>
  <c r="B96" i="21"/>
  <c r="J30" i="21" s="1"/>
  <c r="B94" i="21"/>
  <c r="J29" i="21" s="1"/>
  <c r="AC29" i="21"/>
  <c r="B92" i="21"/>
  <c r="H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26" i="21"/>
  <c r="W26" i="21" s="1"/>
  <c r="F26" i="21"/>
  <c r="S26" i="21" s="1"/>
  <c r="AB41" i="21"/>
  <c r="F45" i="39"/>
  <c r="S45" i="39" s="1"/>
  <c r="J45" i="39"/>
  <c r="W45" i="39" s="1"/>
  <c r="J44" i="39"/>
  <c r="AC44" i="39"/>
  <c r="F36" i="39"/>
  <c r="S36" i="39" s="1"/>
  <c r="H36" i="39"/>
  <c r="AB36" i="39" s="1"/>
  <c r="F35" i="39"/>
  <c r="AA35" i="39" s="1"/>
  <c r="J36" i="39"/>
  <c r="AC36" i="39" s="1"/>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U31" i="35"/>
  <c r="U34" i="35"/>
  <c r="F36" i="34"/>
  <c r="J35" i="34"/>
  <c r="U34" i="34"/>
  <c r="H39" i="33"/>
  <c r="AB39" i="33" s="1"/>
  <c r="S40" i="33"/>
  <c r="W33" i="33"/>
  <c r="H39" i="37"/>
  <c r="AB39" i="37" s="1"/>
  <c r="S27" i="35"/>
  <c r="F11" i="40"/>
  <c r="AA11" i="40" s="1"/>
  <c r="H11" i="40"/>
  <c r="AB11" i="40"/>
  <c r="W8" i="40"/>
  <c r="AA9" i="40"/>
  <c r="U9" i="40"/>
  <c r="S34" i="40"/>
  <c r="U34" i="40"/>
  <c r="F42" i="39"/>
  <c r="AA42"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W17" i="39" s="1"/>
  <c r="J27" i="39"/>
  <c r="AC27" i="39" s="1"/>
  <c r="F27" i="39"/>
  <c r="AA27" i="39" s="1"/>
  <c r="S40" i="21"/>
  <c r="H11" i="39"/>
  <c r="H32" i="33"/>
  <c r="AB32" i="33" s="1"/>
  <c r="H37" i="40"/>
  <c r="U37" i="40" s="1"/>
  <c r="H36" i="40"/>
  <c r="AB36" i="40" s="1"/>
  <c r="F35" i="40"/>
  <c r="AA35" i="40"/>
  <c r="H23" i="40"/>
  <c r="AB23" i="40" s="1"/>
  <c r="H17" i="40"/>
  <c r="U17" i="40" s="1"/>
  <c r="J15" i="40"/>
  <c r="W15" i="40" s="1"/>
  <c r="J11" i="40"/>
  <c r="AC11" i="40" s="1"/>
  <c r="AB8" i="39"/>
  <c r="AC12" i="34"/>
  <c r="AB12" i="36"/>
  <c r="S44" i="39"/>
  <c r="F37" i="39"/>
  <c r="AA37" i="39" s="1"/>
  <c r="J34" i="36"/>
  <c r="W34" i="36" s="1"/>
  <c r="J30" i="35"/>
  <c r="W30" i="35" s="1"/>
  <c r="H30" i="35"/>
  <c r="AB30" i="35" s="1"/>
  <c r="F22" i="35"/>
  <c r="AA22" i="35" s="1"/>
  <c r="H10" i="35"/>
  <c r="U10" i="35" s="1"/>
  <c r="F33" i="36"/>
  <c r="AA33" i="36" s="1"/>
  <c r="W30" i="36"/>
  <c r="H16" i="36"/>
  <c r="AB16" i="36"/>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K101" i="37"/>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S41" i="33" s="1"/>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G113" i="33"/>
  <c r="H113" i="33"/>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AA44" i="34"/>
  <c r="J10" i="35"/>
  <c r="AC10" i="35" s="1"/>
  <c r="F14" i="21"/>
  <c r="S14" i="21" s="1"/>
  <c r="H14" i="21"/>
  <c r="U14" i="21" s="1"/>
  <c r="H30" i="21"/>
  <c r="AB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s="1"/>
  <c r="J33" i="35"/>
  <c r="AC33" i="35" s="1"/>
  <c r="F30" i="35"/>
  <c r="S30" i="35" s="1"/>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c r="J31" i="33"/>
  <c r="W31" i="33" s="1"/>
  <c r="H31" i="33"/>
  <c r="F31" i="33"/>
  <c r="H45" i="33"/>
  <c r="J45" i="33"/>
  <c r="W45" i="33" s="1"/>
  <c r="AA45" i="33"/>
  <c r="J14" i="34"/>
  <c r="W14" i="34" s="1"/>
  <c r="F14" i="34"/>
  <c r="H14" i="34"/>
  <c r="H30" i="34"/>
  <c r="AB30" i="34" s="1"/>
  <c r="F30" i="34"/>
  <c r="S30" i="34" s="1"/>
  <c r="J30" i="34"/>
  <c r="H32" i="34"/>
  <c r="F32" i="34"/>
  <c r="S32" i="34" s="1"/>
  <c r="H46" i="34"/>
  <c r="U46" i="34" s="1"/>
  <c r="F46" i="34"/>
  <c r="J46" i="34"/>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AC40" i="37"/>
  <c r="F40" i="37"/>
  <c r="AA40" i="37" s="1"/>
  <c r="AC12" i="40"/>
  <c r="H14" i="33"/>
  <c r="U14" i="33" s="1"/>
  <c r="F14" i="33"/>
  <c r="H30" i="33"/>
  <c r="AB30" i="33"/>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H25" i="36"/>
  <c r="AB25" i="36"/>
  <c r="H13" i="37"/>
  <c r="AB13" i="37" s="1"/>
  <c r="F28" i="37"/>
  <c r="AA28" i="37" s="1"/>
  <c r="J28" i="37"/>
  <c r="AC28" i="37" s="1"/>
  <c r="H28" i="37"/>
  <c r="H38" i="37"/>
  <c r="AB38" i="37"/>
  <c r="J38" i="37"/>
  <c r="AC38" i="37" s="1"/>
  <c r="F38" i="37"/>
  <c r="S38" i="37" s="1"/>
  <c r="F43" i="39"/>
  <c r="AA43" i="39" s="1"/>
  <c r="H43"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F27" i="37"/>
  <c r="AA27" i="37" s="1"/>
  <c r="F13" i="39"/>
  <c r="AA13" i="39" s="1"/>
  <c r="J13" i="39"/>
  <c r="W13" i="39" s="1"/>
  <c r="H13" i="39"/>
  <c r="H14" i="40"/>
  <c r="AB14" i="40"/>
  <c r="J14" i="40"/>
  <c r="W14" i="40" s="1"/>
  <c r="F14" i="40"/>
  <c r="AA14" i="40" s="1"/>
  <c r="J14" i="37"/>
  <c r="J27" i="37"/>
  <c r="AC27" i="37"/>
  <c r="U46" i="33"/>
  <c r="J36" i="37"/>
  <c r="AC36" i="37" s="1"/>
  <c r="J10" i="36"/>
  <c r="AC10" i="36" s="1"/>
  <c r="S11" i="36"/>
  <c r="AB46" i="34"/>
  <c r="S45" i="33"/>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0" i="3"/>
  <c r="G572" i="3"/>
  <c r="G568" i="3"/>
  <c r="G560" i="3"/>
  <c r="G554" i="3"/>
  <c r="G550" i="3"/>
  <c r="BL572" i="3"/>
  <c r="BL568" i="3"/>
  <c r="BL560" i="3"/>
  <c r="BL546" i="3"/>
  <c r="BL538" i="3"/>
  <c r="BL534" i="3"/>
  <c r="BL530" i="3"/>
  <c r="BL522" i="3"/>
  <c r="BL516" i="3"/>
  <c r="BL512" i="3"/>
  <c r="AZ512" i="3" s="1"/>
  <c r="BL506" i="3"/>
  <c r="BL502" i="3"/>
  <c r="AZ502" i="3" s="1"/>
  <c r="BL498" i="3"/>
  <c r="BL494" i="3"/>
  <c r="BL574" i="3"/>
  <c r="BL570" i="3"/>
  <c r="BL562" i="3"/>
  <c r="BL552" i="3"/>
  <c r="BL540" i="3"/>
  <c r="BL536" i="3"/>
  <c r="G533" i="3"/>
  <c r="G529" i="3"/>
  <c r="BL528" i="3"/>
  <c r="G525" i="3"/>
  <c r="BL518" i="3"/>
  <c r="BL514" i="3"/>
  <c r="BL510" i="3"/>
  <c r="BL504" i="3"/>
  <c r="BL500" i="3"/>
  <c r="BL496" i="3"/>
  <c r="AZ496" i="3" s="1"/>
  <c r="G493" i="3"/>
  <c r="BA582" i="3"/>
  <c r="BA578" i="3"/>
  <c r="BA574" i="3"/>
  <c r="AZ574" i="3" s="1"/>
  <c r="BA572" i="3"/>
  <c r="BA570" i="3"/>
  <c r="AZ570" i="3" s="1"/>
  <c r="BA566" i="3"/>
  <c r="BA564" i="3"/>
  <c r="BA562" i="3"/>
  <c r="BA558" i="3"/>
  <c r="AZ558" i="3" s="1"/>
  <c r="BA556" i="3"/>
  <c r="BA554" i="3"/>
  <c r="BA552" i="3"/>
  <c r="AZ552" i="3"/>
  <c r="BA548" i="3"/>
  <c r="BA546" i="3"/>
  <c r="AZ546" i="3" s="1"/>
  <c r="BA544" i="3"/>
  <c r="BA542" i="3"/>
  <c r="BA540" i="3"/>
  <c r="BA538" i="3"/>
  <c r="AZ538" i="3" s="1"/>
  <c r="BA536" i="3"/>
  <c r="AZ536" i="3" s="1"/>
  <c r="BA534" i="3"/>
  <c r="AZ534" i="3" s="1"/>
  <c r="BA532" i="3"/>
  <c r="BA530" i="3"/>
  <c r="AZ530" i="3" s="1"/>
  <c r="BA528" i="3"/>
  <c r="AZ528" i="3" s="1"/>
  <c r="BA526" i="3"/>
  <c r="BA524" i="3"/>
  <c r="BA522" i="3"/>
  <c r="AZ522" i="3" s="1"/>
  <c r="BA520" i="3"/>
  <c r="BA518" i="3"/>
  <c r="AZ518" i="3" s="1"/>
  <c r="BA516" i="3"/>
  <c r="AZ516" i="3" s="1"/>
  <c r="BA514" i="3"/>
  <c r="AZ514" i="3" s="1"/>
  <c r="BA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AC43" i="39"/>
  <c r="W43" i="39"/>
  <c r="U45" i="39"/>
  <c r="AB45" i="39"/>
  <c r="AB44" i="39"/>
  <c r="U44" i="39"/>
  <c r="G100" i="39"/>
  <c r="H37" i="39"/>
  <c r="AB37" i="39"/>
  <c r="AC37" i="39"/>
  <c r="W37" i="39"/>
  <c r="F25" i="39"/>
  <c r="AA25" i="39" s="1"/>
  <c r="AB34"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55"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69" i="3"/>
  <c r="BA379" i="3"/>
  <c r="AZ379" i="3" s="1"/>
  <c r="BL380" i="3"/>
  <c r="G381" i="3"/>
  <c r="BA383" i="3"/>
  <c r="AZ383" i="3" s="1"/>
  <c r="BL384" i="3"/>
  <c r="G385" i="3"/>
  <c r="BA387" i="3"/>
  <c r="AZ387" i="3" s="1"/>
  <c r="BL388" i="3"/>
  <c r="G389" i="3"/>
  <c r="BA391" i="3"/>
  <c r="BL392" i="3"/>
  <c r="AZ392" i="3" s="1"/>
  <c r="G393" i="3"/>
  <c r="BO5" i="3"/>
  <c r="BM5" i="3"/>
  <c r="BJ5" i="3"/>
  <c r="BH5" i="3"/>
  <c r="BF5" i="3"/>
  <c r="AZ506" i="3"/>
  <c r="G548" i="3"/>
  <c r="G538" i="3"/>
  <c r="G520" i="3"/>
  <c r="G502" i="3"/>
  <c r="BS5" i="3"/>
  <c r="BP5" i="3"/>
  <c r="BN5" i="3"/>
  <c r="BK5" i="3"/>
  <c r="BI5" i="3"/>
  <c r="BG5" i="3"/>
  <c r="BC5" i="3"/>
  <c r="G17" i="3"/>
  <c r="BA17" i="3"/>
  <c r="AZ17" i="3" s="1"/>
  <c r="BT5" i="3"/>
  <c r="BA15" i="3"/>
  <c r="BR5" i="3"/>
  <c r="AZ380" i="3"/>
  <c r="AZ509" i="3"/>
  <c r="G509" i="3"/>
  <c r="BL493" i="3"/>
  <c r="AZ493" i="3"/>
  <c r="U36" i="40"/>
  <c r="F83" i="43"/>
  <c r="H85" i="43" s="1"/>
  <c r="F50" i="43"/>
  <c r="H54" i="43" s="1"/>
  <c r="F72" i="43"/>
  <c r="H75" i="43" s="1"/>
  <c r="U43" i="21"/>
  <c r="AZ501" i="3"/>
  <c r="W37" i="37"/>
  <c r="W44" i="34"/>
  <c r="AC44" i="34"/>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8" i="3"/>
  <c r="AZ259" i="3"/>
  <c r="AZ133" i="3"/>
  <c r="AZ110" i="3"/>
  <c r="F23" i="39"/>
  <c r="S23" i="39" s="1"/>
  <c r="H27" i="36"/>
  <c r="U27" i="36" s="1"/>
  <c r="F27" i="36"/>
  <c r="AA27" i="36" s="1"/>
  <c r="H33" i="34"/>
  <c r="U33" i="34"/>
  <c r="F32" i="37"/>
  <c r="AA32" i="37"/>
  <c r="F20" i="36"/>
  <c r="AA20" i="36" s="1"/>
  <c r="J33" i="34"/>
  <c r="AC33" i="34" s="1"/>
  <c r="H23" i="39"/>
  <c r="U23" i="39" s="1"/>
  <c r="D48" i="9"/>
  <c r="M52" i="9" s="1"/>
  <c r="D93" i="9"/>
  <c r="W27" i="34"/>
  <c r="AC27" i="34"/>
  <c r="AB34" i="36"/>
  <c r="U34" i="36"/>
  <c r="W12" i="39"/>
  <c r="AC39" i="40"/>
  <c r="W39" i="40"/>
  <c r="W12" i="33"/>
  <c r="AC12" i="33"/>
  <c r="AZ473" i="3"/>
  <c r="BL14" i="3"/>
  <c r="U30" i="33"/>
  <c r="AC13" i="34"/>
  <c r="AA47" i="34"/>
  <c r="W28" i="37"/>
  <c r="F12" i="33"/>
  <c r="H12" i="39"/>
  <c r="AB12" i="39" s="1"/>
  <c r="F39" i="40"/>
  <c r="BA14" i="3"/>
  <c r="AZ14" i="3" s="1"/>
  <c r="AZ367" i="3"/>
  <c r="AZ250" i="3"/>
  <c r="AZ286" i="3"/>
  <c r="AZ157"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S37" i="39"/>
  <c r="F32" i="39"/>
  <c r="F106" i="39"/>
  <c r="G106" i="39" s="1"/>
  <c r="H106" i="39" s="1"/>
  <c r="I106" i="39" s="1"/>
  <c r="J106" i="39" s="1"/>
  <c r="K106" i="39" s="1"/>
  <c r="L106" i="39" s="1"/>
  <c r="M106" i="39" s="1"/>
  <c r="U31" i="39"/>
  <c r="J21" i="39"/>
  <c r="W21" i="39" s="1"/>
  <c r="F21" i="39"/>
  <c r="AA21" i="39" s="1"/>
  <c r="G94" i="39"/>
  <c r="H21" i="39"/>
  <c r="AB21" i="39" s="1"/>
  <c r="W19" i="39"/>
  <c r="S17" i="39"/>
  <c r="S9" i="39"/>
  <c r="U14" i="39"/>
  <c r="U13" i="36"/>
  <c r="U26" i="36"/>
  <c r="S33" i="36"/>
  <c r="AA26" i="36"/>
  <c r="AA34" i="36"/>
  <c r="AA22" i="36"/>
  <c r="W14" i="36"/>
  <c r="AB14" i="36"/>
  <c r="U22" i="36"/>
  <c r="S16" i="36"/>
  <c r="AA25" i="36"/>
  <c r="AB20" i="36"/>
  <c r="U16" i="36"/>
  <c r="AA25" i="35"/>
  <c r="S23" i="35"/>
  <c r="W24" i="35"/>
  <c r="AB13" i="35"/>
  <c r="U29" i="35"/>
  <c r="AB27" i="35"/>
  <c r="U36" i="35"/>
  <c r="U32" i="35"/>
  <c r="AC30" i="35"/>
  <c r="S32"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J17" i="37"/>
  <c r="W17" i="37" s="1"/>
  <c r="G73" i="37"/>
  <c r="F17" i="37"/>
  <c r="AA17" i="37" s="1"/>
  <c r="AB17" i="37"/>
  <c r="F75" i="37"/>
  <c r="F19" i="37"/>
  <c r="S19" i="37" s="1"/>
  <c r="F79" i="37"/>
  <c r="F23" i="37"/>
  <c r="S23" i="37" s="1"/>
  <c r="U23" i="37"/>
  <c r="U15" i="37"/>
  <c r="H10" i="37"/>
  <c r="AB10" i="37" s="1"/>
  <c r="F63" i="37"/>
  <c r="G63" i="37" s="1"/>
  <c r="H63" i="37" s="1"/>
  <c r="I63" i="37" s="1"/>
  <c r="J63" i="37" s="1"/>
  <c r="K63" i="37" s="1"/>
  <c r="L63" i="37" s="1"/>
  <c r="M63" i="37" s="1"/>
  <c r="F11" i="37"/>
  <c r="S11" i="37" s="1"/>
  <c r="W25" i="34"/>
  <c r="AB8" i="34"/>
  <c r="AA33" i="34"/>
  <c r="U43" i="34"/>
  <c r="AC39" i="34"/>
  <c r="W41" i="34"/>
  <c r="AC42"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41" i="21"/>
  <c r="AA43" i="21"/>
  <c r="AA36" i="21"/>
  <c r="J15" i="21"/>
  <c r="AC15" i="21" s="1"/>
  <c r="F77" i="21"/>
  <c r="G77" i="21" s="1"/>
  <c r="E85" i="21"/>
  <c r="F23" i="21" s="1"/>
  <c r="AA23" i="21" s="1"/>
  <c r="C18" i="9"/>
  <c r="D18" i="9" s="1"/>
  <c r="F34" i="67"/>
  <c r="F62" i="67" s="1"/>
  <c r="M20" i="67"/>
  <c r="F34" i="15"/>
  <c r="F62" i="15" s="1"/>
  <c r="G13" i="3"/>
  <c r="BL17" i="3"/>
  <c r="BL13" i="3"/>
  <c r="J56" i="9"/>
  <c r="J57" i="9" s="1"/>
  <c r="J59" i="9" s="1"/>
  <c r="J61" i="9" s="1"/>
  <c r="A24" i="51"/>
  <c r="B18" i="72" s="1"/>
  <c r="U29" i="34"/>
  <c r="G1" i="68"/>
  <c r="E19" i="69"/>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U32" i="40"/>
  <c r="AB31" i="40"/>
  <c r="S37" i="40"/>
  <c r="AB28" i="40"/>
  <c r="W28" i="40"/>
  <c r="W34" i="40"/>
  <c r="W19" i="40"/>
  <c r="W27" i="40"/>
  <c r="S36" i="40"/>
  <c r="W37" i="40"/>
  <c r="S13" i="40"/>
  <c r="S33" i="40"/>
  <c r="AA15" i="40"/>
  <c r="U11" i="40"/>
  <c r="S31" i="40"/>
  <c r="AB13" i="40"/>
  <c r="U15" i="40"/>
  <c r="AB17" i="40"/>
  <c r="U8" i="40"/>
  <c r="S8" i="40"/>
  <c r="U13" i="39"/>
  <c r="AB13" i="39"/>
  <c r="S13" i="39"/>
  <c r="U43" i="39"/>
  <c r="AB43" i="39"/>
  <c r="AB11" i="39"/>
  <c r="U11" i="39"/>
  <c r="W31" i="39"/>
  <c r="AC31" i="39"/>
  <c r="AA45" i="39"/>
  <c r="W34" i="39"/>
  <c r="S8" i="39"/>
  <c r="S20" i="36"/>
  <c r="W29"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AB40" i="34"/>
  <c r="U19" i="34"/>
  <c r="W19" i="34"/>
  <c r="AB33" i="34"/>
  <c r="AC45" i="34"/>
  <c r="AA31" i="34"/>
  <c r="AA30" i="34"/>
  <c r="AB45" i="34"/>
  <c r="AB47" i="34"/>
  <c r="U25" i="34"/>
  <c r="AB36" i="34"/>
  <c r="AC14" i="34"/>
  <c r="AC32" i="34"/>
  <c r="AC29" i="34"/>
  <c r="W29" i="34"/>
  <c r="W46" i="34"/>
  <c r="AC46" i="34"/>
  <c r="U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U44" i="33"/>
  <c r="AB44" i="33"/>
  <c r="S30" i="33"/>
  <c r="AA30" i="33"/>
  <c r="AC14" i="33"/>
  <c r="W14" i="33"/>
  <c r="AC30" i="33"/>
  <c r="W30" i="33"/>
  <c r="S31" i="33"/>
  <c r="AA31" i="33"/>
  <c r="W13" i="33"/>
  <c r="AC13" i="33"/>
  <c r="U15" i="33"/>
  <c r="S11" i="33"/>
  <c r="U37" i="33"/>
  <c r="AC28" i="33"/>
  <c r="S28" i="33"/>
  <c r="W9" i="33"/>
  <c r="W8" i="33"/>
  <c r="S44" i="21"/>
  <c r="S45" i="21"/>
  <c r="I101" i="21"/>
  <c r="J101" i="21" s="1"/>
  <c r="K101" i="21" s="1"/>
  <c r="L101" i="21" s="1"/>
  <c r="M101" i="21" s="1"/>
  <c r="F33" i="21"/>
  <c r="AA33" i="21" s="1"/>
  <c r="J33" i="21"/>
  <c r="AC33" i="21" s="1"/>
  <c r="H33" i="21"/>
  <c r="AB33" i="21" s="1"/>
  <c r="F37" i="21"/>
  <c r="AA37" i="21" s="1"/>
  <c r="AA26" i="21"/>
  <c r="AB14" i="21"/>
  <c r="AB46" i="21"/>
  <c r="U40" i="21"/>
  <c r="U31" i="21"/>
  <c r="U13" i="21"/>
  <c r="AB13" i="21"/>
  <c r="J37" i="21"/>
  <c r="W37" i="21" s="1"/>
  <c r="H15" i="21"/>
  <c r="U15" i="21" s="1"/>
  <c r="J17" i="21"/>
  <c r="AC17" i="21" s="1"/>
  <c r="AC14" i="21"/>
  <c r="W30" i="21"/>
  <c r="S46" i="21"/>
  <c r="H45" i="21"/>
  <c r="U45" i="21" s="1"/>
  <c r="F29" i="21"/>
  <c r="AA29" i="21" s="1"/>
  <c r="F13" i="21"/>
  <c r="AA13" i="21" s="1"/>
  <c r="H32" i="21"/>
  <c r="AB32" i="21" s="1"/>
  <c r="H9" i="21"/>
  <c r="AB9" i="21" s="1"/>
  <c r="J9" i="21"/>
  <c r="AC9" i="21" s="1"/>
  <c r="J32" i="21"/>
  <c r="W32" i="21" s="1"/>
  <c r="F32" i="21"/>
  <c r="AA32" i="21" s="1"/>
  <c r="AA31" i="21"/>
  <c r="W29" i="21"/>
  <c r="S9" i="21"/>
  <c r="AA9" i="21"/>
  <c r="K141" i="21"/>
  <c r="K144" i="21"/>
  <c r="K143" i="21"/>
  <c r="AB25" i="21"/>
  <c r="AB44" i="21"/>
  <c r="AA30" i="21"/>
  <c r="W13" i="21"/>
  <c r="AC45" i="21"/>
  <c r="F10" i="21"/>
  <c r="AA10" i="21" s="1"/>
  <c r="K145" i="21"/>
  <c r="W31" i="21"/>
  <c r="S27" i="21"/>
  <c r="AC27" i="21"/>
  <c r="AC26" i="21"/>
  <c r="AB29" i="21"/>
  <c r="AC34" i="21"/>
  <c r="AB36" i="21"/>
  <c r="W30" i="40"/>
  <c r="C19" i="39"/>
  <c r="C15"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H19" i="33"/>
  <c r="AB19" i="33" s="1"/>
  <c r="G81" i="33"/>
  <c r="H17" i="33"/>
  <c r="U17" i="33" s="1"/>
  <c r="F17" i="33"/>
  <c r="S17" i="33" s="1"/>
  <c r="J23" i="21"/>
  <c r="W23" i="21" s="1"/>
  <c r="S13" i="21"/>
  <c r="AP7" i="1"/>
  <c r="AB45" i="21"/>
  <c r="U32" i="39"/>
  <c r="AC32" i="39"/>
  <c r="J11" i="37"/>
  <c r="AC11" i="37" s="1"/>
  <c r="J11" i="34"/>
  <c r="W11" i="34" s="1"/>
  <c r="W25"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E12" i="76"/>
  <c r="B7" i="76"/>
  <c r="B8" i="76"/>
  <c r="B9" i="76"/>
  <c r="F5" i="73"/>
  <c r="E13" i="76"/>
  <c r="E7" i="76"/>
  <c r="AO13" i="1"/>
  <c r="E10" i="76"/>
  <c r="D6" i="73"/>
  <c r="F4" i="73"/>
  <c r="E2" i="68"/>
  <c r="E2" i="69"/>
  <c r="B13" i="76"/>
  <c r="F6" i="73"/>
  <c r="F7" i="73"/>
  <c r="F20" i="31"/>
  <c r="E11" i="76"/>
  <c r="B10" i="76"/>
  <c r="F3" i="73"/>
  <c r="E9" i="76"/>
  <c r="B11" i="76"/>
  <c r="B12" i="76"/>
  <c r="G29" i="6" l="1"/>
  <c r="G30" i="6" s="1"/>
  <c r="G31" i="6" s="1"/>
  <c r="D3" i="35"/>
  <c r="BA13" i="3"/>
  <c r="K7" i="1"/>
  <c r="M7" i="1" s="1"/>
  <c r="O7" i="1" s="1"/>
  <c r="P7" i="1" s="1"/>
  <c r="K9" i="1"/>
  <c r="M9" i="1" s="1"/>
  <c r="O9" i="1" s="1"/>
  <c r="P9" i="1" s="1"/>
  <c r="U28" i="35"/>
  <c r="AA33" i="35"/>
  <c r="S14" i="35"/>
  <c r="AC18" i="35"/>
  <c r="AB20" i="35"/>
  <c r="AB12" i="35"/>
  <c r="S20" i="35"/>
  <c r="AA18" i="35"/>
  <c r="S35" i="21"/>
  <c r="J36" i="21"/>
  <c r="W19" i="21"/>
  <c r="H23" i="21"/>
  <c r="AC23" i="21"/>
  <c r="F85" i="21"/>
  <c r="G85" i="21" s="1"/>
  <c r="H19" i="21"/>
  <c r="H11" i="21"/>
  <c r="U11" i="21" s="1"/>
  <c r="F11" i="21"/>
  <c r="S11" i="21" s="1"/>
  <c r="J11" i="21"/>
  <c r="W11" i="21" s="1"/>
  <c r="W21" i="21"/>
  <c r="U17" i="21"/>
  <c r="AB15" i="21"/>
  <c r="AA14" i="21"/>
  <c r="S19" i="21"/>
  <c r="S17" i="21"/>
  <c r="AC35" i="21"/>
  <c r="W42" i="21"/>
  <c r="S37" i="21"/>
  <c r="AB42" i="21"/>
  <c r="AC40" i="21"/>
  <c r="AB39" i="21"/>
  <c r="S39" i="21"/>
  <c r="AA38" i="21"/>
  <c r="AC38" i="21"/>
  <c r="U35" i="21"/>
  <c r="U34" i="21"/>
  <c r="S32" i="21"/>
  <c r="U32" i="21"/>
  <c r="W9" i="21"/>
  <c r="F41" i="39"/>
  <c r="H41" i="39"/>
  <c r="S27" i="39"/>
  <c r="J25" i="39"/>
  <c r="W25" i="39" s="1"/>
  <c r="H25" i="39"/>
  <c r="J23" i="39"/>
  <c r="F88" i="39"/>
  <c r="G88" i="39" s="1"/>
  <c r="H15" i="39"/>
  <c r="U15" i="39" s="1"/>
  <c r="J15" i="39"/>
  <c r="W15" i="39" s="1"/>
  <c r="F15" i="39"/>
  <c r="AA15" i="39" s="1"/>
  <c r="W27" i="39"/>
  <c r="AC25" i="39"/>
  <c r="AA23" i="39"/>
  <c r="K6" i="1"/>
  <c r="AP6" i="1" s="1"/>
  <c r="C36" i="69" s="1"/>
  <c r="BD5" i="3"/>
  <c r="E14" i="6" s="1"/>
  <c r="E63" i="39" s="1"/>
  <c r="AC17" i="39"/>
  <c r="W29" i="39"/>
  <c r="U21" i="39"/>
  <c r="AB27" i="39"/>
  <c r="U17" i="39"/>
  <c r="U29" i="39"/>
  <c r="S15" i="39"/>
  <c r="S21" i="39"/>
  <c r="S19" i="39"/>
  <c r="AB39" i="39"/>
  <c r="U42" i="39"/>
  <c r="AC41" i="39"/>
  <c r="S38" i="39"/>
  <c r="W40" i="39"/>
  <c r="U38" i="39"/>
  <c r="U9" i="39"/>
  <c r="C17" i="40"/>
  <c r="B88" i="43"/>
  <c r="B57" i="43"/>
  <c r="B77" i="43"/>
  <c r="B68" i="43"/>
  <c r="C40" i="68"/>
  <c r="C21" i="68"/>
  <c r="E19" i="11"/>
  <c r="G1" i="67"/>
  <c r="B9" i="1"/>
  <c r="E9" i="1" s="1"/>
  <c r="G1" i="69"/>
  <c r="G1" i="15"/>
  <c r="K1" i="12"/>
  <c r="F3" i="35"/>
  <c r="B13" i="53"/>
  <c r="B29" i="72" s="1"/>
  <c r="AB28" i="21"/>
  <c r="U28" i="21"/>
  <c r="AZ556" i="3"/>
  <c r="U19" i="33"/>
  <c r="AC27" i="33"/>
  <c r="AC23" i="37"/>
  <c r="U9" i="21"/>
  <c r="AC17" i="33"/>
  <c r="S36" i="33"/>
  <c r="AA15" i="21"/>
  <c r="W25" i="21"/>
  <c r="W39" i="21"/>
  <c r="U39" i="33"/>
  <c r="AA32" i="34"/>
  <c r="W33" i="34"/>
  <c r="AA40" i="34"/>
  <c r="W23" i="40"/>
  <c r="S23" i="21"/>
  <c r="W15" i="21"/>
  <c r="U19" i="39"/>
  <c r="S30" i="40"/>
  <c r="S15" i="37"/>
  <c r="AZ345" i="3"/>
  <c r="AZ372" i="3"/>
  <c r="AZ347" i="3"/>
  <c r="AZ337" i="3"/>
  <c r="AZ376" i="3"/>
  <c r="AZ309" i="3"/>
  <c r="AZ549" i="3"/>
  <c r="AA11" i="39"/>
  <c r="AC12" i="37"/>
  <c r="W44" i="21"/>
  <c r="AZ515" i="3"/>
  <c r="AZ569" i="3"/>
  <c r="AZ571" i="3"/>
  <c r="AZ579" i="3"/>
  <c r="AA29" i="35"/>
  <c r="AA12" i="36"/>
  <c r="W11" i="40"/>
  <c r="B101" i="43"/>
  <c r="B79" i="43"/>
  <c r="C25" i="39"/>
  <c r="AB23" i="34"/>
  <c r="U23" i="34"/>
  <c r="AC39" i="33"/>
  <c r="W39" i="33"/>
  <c r="U23" i="33"/>
  <c r="AB25" i="33"/>
  <c r="S37" i="34"/>
  <c r="AA36" i="35"/>
  <c r="U12" i="39"/>
  <c r="AA12" i="39"/>
  <c r="AA27" i="40"/>
  <c r="AB27" i="40"/>
  <c r="U33" i="36"/>
  <c r="AA12" i="40"/>
  <c r="AZ505" i="3"/>
  <c r="AZ525" i="3"/>
  <c r="AZ529" i="3"/>
  <c r="AZ537" i="3"/>
  <c r="S14" i="33"/>
  <c r="AA14" i="33"/>
  <c r="AB45" i="33"/>
  <c r="U45" i="33"/>
  <c r="AA31" i="35"/>
  <c r="S31" i="35"/>
  <c r="H35" i="39"/>
  <c r="J35" i="39"/>
  <c r="AC35" i="39" s="1"/>
  <c r="BL584" i="3"/>
  <c r="BL582" i="3"/>
  <c r="AZ582" i="3" s="1"/>
  <c r="BA580" i="3"/>
  <c r="BL578" i="3"/>
  <c r="BL576" i="3"/>
  <c r="BA568" i="3"/>
  <c r="AZ568" i="3" s="1"/>
  <c r="BL556" i="3"/>
  <c r="BL554" i="3"/>
  <c r="AZ554" i="3" s="1"/>
  <c r="W31" i="34"/>
  <c r="AC31" i="34"/>
  <c r="J28" i="21"/>
  <c r="F28" i="21"/>
  <c r="AA19" i="37"/>
  <c r="W17" i="21"/>
  <c r="AB34" i="33"/>
  <c r="U8" i="37"/>
  <c r="AC25" i="36"/>
  <c r="AC14" i="40"/>
  <c r="D120" i="9"/>
  <c r="AB36" i="33"/>
  <c r="AA19" i="33"/>
  <c r="U27" i="21"/>
  <c r="AC20" i="36"/>
  <c r="AA39" i="39"/>
  <c r="S13" i="34"/>
  <c r="AB35" i="34"/>
  <c r="AC15" i="37"/>
  <c r="S14" i="36"/>
  <c r="AC26" i="36"/>
  <c r="AC13" i="39"/>
  <c r="AC17" i="34"/>
  <c r="AC11" i="39"/>
  <c r="F29" i="6"/>
  <c r="AZ391" i="3"/>
  <c r="AZ318" i="3"/>
  <c r="AZ364" i="3"/>
  <c r="AZ329" i="3"/>
  <c r="AZ304" i="3"/>
  <c r="AZ306" i="3"/>
  <c r="U40" i="39"/>
  <c r="U11" i="33"/>
  <c r="AZ535" i="3"/>
  <c r="AZ577" i="3"/>
  <c r="AZ557" i="3"/>
  <c r="AZ513" i="3"/>
  <c r="AZ575" i="3"/>
  <c r="AZ572" i="3"/>
  <c r="AZ540" i="3"/>
  <c r="S14" i="37"/>
  <c r="U30" i="21"/>
  <c r="S38" i="40"/>
  <c r="BA585" i="3"/>
  <c r="W27" i="35"/>
  <c r="AC27" i="35"/>
  <c r="J13" i="37"/>
  <c r="F13" i="37"/>
  <c r="F14" i="39"/>
  <c r="J14" i="39"/>
  <c r="AC14" i="39" s="1"/>
  <c r="AC32" i="40"/>
  <c r="W32" i="40"/>
  <c r="AB35" i="33"/>
  <c r="U35" i="33"/>
  <c r="H23" i="36"/>
  <c r="J23" i="36"/>
  <c r="F23" i="36"/>
  <c r="S14" i="34"/>
  <c r="AA14" i="34"/>
  <c r="W31" i="37"/>
  <c r="H9" i="33"/>
  <c r="F9" i="33"/>
  <c r="AA9" i="33" s="1"/>
  <c r="J26" i="33"/>
  <c r="F26" i="33"/>
  <c r="H26" i="33"/>
  <c r="AC9" i="34"/>
  <c r="W9" i="34"/>
  <c r="F12" i="35"/>
  <c r="J12" i="35"/>
  <c r="F32" i="36"/>
  <c r="H32" i="36"/>
  <c r="U39" i="40"/>
  <c r="AB39" i="40"/>
  <c r="AC31" i="40"/>
  <c r="W31" i="40"/>
  <c r="BA551" i="3"/>
  <c r="AZ551" i="3" s="1"/>
  <c r="BA550" i="3"/>
  <c r="AZ550" i="3" s="1"/>
  <c r="BL548" i="3"/>
  <c r="AZ548" i="3" s="1"/>
  <c r="BL544" i="3"/>
  <c r="AZ544" i="3" s="1"/>
  <c r="BL542" i="3"/>
  <c r="AZ542" i="3" s="1"/>
  <c r="BL532" i="3"/>
  <c r="AZ532" i="3" s="1"/>
  <c r="BL526" i="3"/>
  <c r="AZ526" i="3" s="1"/>
  <c r="BL524" i="3"/>
  <c r="AZ524" i="3" s="1"/>
  <c r="AB34" i="71"/>
  <c r="AB32" i="71"/>
  <c r="AB27" i="71"/>
  <c r="AA38" i="71"/>
  <c r="AA37" i="71"/>
  <c r="AA35" i="71"/>
  <c r="AA28" i="71"/>
  <c r="C47" i="71"/>
  <c r="D47" i="71" s="1"/>
  <c r="D46" i="71"/>
  <c r="D50" i="71"/>
  <c r="C51" i="71"/>
  <c r="C55" i="71"/>
  <c r="D54" i="71"/>
  <c r="C64" i="71"/>
  <c r="D63" i="71"/>
  <c r="N67" i="71"/>
  <c r="B66" i="71"/>
  <c r="C67" i="71"/>
  <c r="T68" i="71"/>
  <c r="O68" i="71"/>
  <c r="D68" i="71"/>
  <c r="T76" i="71"/>
  <c r="D76" i="71"/>
  <c r="C75" i="71"/>
  <c r="S80" i="71"/>
  <c r="B79" i="71"/>
  <c r="B78" i="71" s="1"/>
  <c r="Y27" i="71"/>
  <c r="Z27" i="71" s="1"/>
  <c r="Y26" i="71"/>
  <c r="Z26" i="71" s="1"/>
  <c r="Y25" i="71"/>
  <c r="Z25" i="71" s="1"/>
  <c r="AA3" i="71"/>
  <c r="BL587" i="3"/>
  <c r="AZ587" i="3" s="1"/>
  <c r="BL586" i="3"/>
  <c r="AZ586" i="3" s="1"/>
  <c r="AC22" i="35"/>
  <c r="W22" i="35"/>
  <c r="J24" i="36"/>
  <c r="H24" i="36"/>
  <c r="F24" i="36"/>
  <c r="AA40" i="39"/>
  <c r="S40" i="39"/>
  <c r="H38" i="40"/>
  <c r="J38" i="40"/>
  <c r="S41" i="21"/>
  <c r="AA41" i="21"/>
  <c r="U30" i="36"/>
  <c r="AB30" i="36"/>
  <c r="BA584" i="3"/>
  <c r="AZ584" i="3" s="1"/>
  <c r="BL580" i="3"/>
  <c r="BA576" i="3"/>
  <c r="AZ576" i="3" s="1"/>
  <c r="G576" i="3"/>
  <c r="BL566" i="3"/>
  <c r="AZ566" i="3" s="1"/>
  <c r="BL564" i="3"/>
  <c r="AZ564" i="3" s="1"/>
  <c r="BA560" i="3"/>
  <c r="AZ560" i="3" s="1"/>
  <c r="AZ444" i="3"/>
  <c r="U33" i="33"/>
  <c r="W28" i="35"/>
  <c r="B97" i="43"/>
  <c r="B75" i="43"/>
  <c r="S44" i="33"/>
  <c r="AA44" i="33"/>
  <c r="H23" i="35"/>
  <c r="C15" i="39"/>
  <c r="G587" i="3"/>
  <c r="BL550" i="3"/>
  <c r="AZ404" i="3"/>
  <c r="AZ464" i="3"/>
  <c r="BL585" i="3"/>
  <c r="BA424" i="3"/>
  <c r="G441" i="3"/>
  <c r="BL455" i="3"/>
  <c r="G466" i="3"/>
  <c r="G489" i="3"/>
  <c r="BA385" i="3"/>
  <c r="BA402" i="3"/>
  <c r="AZ402" i="3" s="1"/>
  <c r="BA406" i="3"/>
  <c r="AZ406" i="3" s="1"/>
  <c r="BL409" i="3"/>
  <c r="BA413" i="3"/>
  <c r="G444" i="3"/>
  <c r="AZ451" i="3"/>
  <c r="BL469" i="3"/>
  <c r="AZ469" i="3" s="1"/>
  <c r="G323"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L215" i="3"/>
  <c r="BA218" i="3"/>
  <c r="AZ218" i="3" s="1"/>
  <c r="BL218" i="3"/>
  <c r="BL231" i="3"/>
  <c r="BL240" i="3"/>
  <c r="AZ240" i="3" s="1"/>
  <c r="BA273" i="3"/>
  <c r="U21" i="33"/>
  <c r="AB21" i="33"/>
  <c r="C86" i="71"/>
  <c r="D86" i="71" s="1"/>
  <c r="D87" i="71"/>
  <c r="D31" i="71"/>
  <c r="C32" i="7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3" i="3"/>
  <c r="BA216" i="3"/>
  <c r="AZ216" i="3" s="1"/>
  <c r="BA220" i="3"/>
  <c r="BA221" i="3"/>
  <c r="BA223" i="3"/>
  <c r="AZ223" i="3" s="1"/>
  <c r="BA226" i="3"/>
  <c r="BA229" i="3"/>
  <c r="AZ229" i="3" s="1"/>
  <c r="BL229" i="3"/>
  <c r="BA233" i="3"/>
  <c r="AZ233" i="3" s="1"/>
  <c r="BL234" i="3"/>
  <c r="BA237" i="3"/>
  <c r="AZ237" i="3" s="1"/>
  <c r="BL245" i="3"/>
  <c r="AZ245" i="3" s="1"/>
  <c r="BL257" i="3"/>
  <c r="AZ257" i="3" s="1"/>
  <c r="BL258" i="3"/>
  <c r="BL265" i="3"/>
  <c r="AZ265" i="3" s="1"/>
  <c r="BA278" i="3"/>
  <c r="AZ278" i="3" s="1"/>
  <c r="AZ301" i="3"/>
  <c r="P65" i="71"/>
  <c r="P66" i="71"/>
  <c r="C44" i="71"/>
  <c r="D43" i="71"/>
  <c r="BL15" i="3"/>
  <c r="AZ15" i="3" s="1"/>
  <c r="BA398" i="3"/>
  <c r="AZ398" i="3" s="1"/>
  <c r="BA399" i="3"/>
  <c r="AZ399" i="3" s="1"/>
  <c r="BL401" i="3"/>
  <c r="AZ401" i="3" s="1"/>
  <c r="BL404" i="3"/>
  <c r="BL405" i="3"/>
  <c r="AZ405" i="3" s="1"/>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AZ457" i="3" s="1"/>
  <c r="BA459" i="3"/>
  <c r="AZ459" i="3" s="1"/>
  <c r="BA460" i="3"/>
  <c r="AZ460" i="3" s="1"/>
  <c r="BA461" i="3"/>
  <c r="AZ461" i="3" s="1"/>
  <c r="BL464" i="3"/>
  <c r="BL466" i="3"/>
  <c r="AZ466" i="3" s="1"/>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G217" i="3"/>
  <c r="BL217" i="3"/>
  <c r="AZ217" i="3" s="1"/>
  <c r="BA219" i="3"/>
  <c r="AZ219" i="3" s="1"/>
  <c r="BA222" i="3"/>
  <c r="AZ222" i="3" s="1"/>
  <c r="BA224" i="3"/>
  <c r="AZ224" i="3" s="1"/>
  <c r="BA227" i="3"/>
  <c r="AZ227" i="3" s="1"/>
  <c r="BA231" i="3"/>
  <c r="BL232" i="3"/>
  <c r="BL235" i="3"/>
  <c r="AZ235" i="3" s="1"/>
  <c r="BL236" i="3"/>
  <c r="BL238" i="3"/>
  <c r="AZ238" i="3" s="1"/>
  <c r="BL254" i="3"/>
  <c r="BL255" i="3"/>
  <c r="BL261" i="3"/>
  <c r="BA271" i="3"/>
  <c r="AZ271" i="3" s="1"/>
  <c r="BL271" i="3"/>
  <c r="BA275" i="3"/>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G47" i="3"/>
  <c r="BL48" i="3"/>
  <c r="BA51" i="3"/>
  <c r="G55" i="3"/>
  <c r="BL56" i="3"/>
  <c r="BA58" i="3"/>
  <c r="BL59" i="3"/>
  <c r="AZ59" i="3" s="1"/>
  <c r="BL60" i="3"/>
  <c r="BA61" i="3"/>
  <c r="AZ61" i="3" s="1"/>
  <c r="BL64" i="3"/>
  <c r="BA68" i="3"/>
  <c r="BA80" i="3"/>
  <c r="BL84" i="3"/>
  <c r="BA91" i="3"/>
  <c r="AZ91" i="3" s="1"/>
  <c r="BA109" i="3"/>
  <c r="AB25" i="71"/>
  <c r="AB28" i="71"/>
  <c r="AB26" i="71"/>
  <c r="T28" i="71"/>
  <c r="D28" i="71"/>
  <c r="U28" i="71" s="1"/>
  <c r="C27" i="71"/>
  <c r="X33" i="71"/>
  <c r="X31" i="71"/>
  <c r="X34" i="71"/>
  <c r="X36" i="71"/>
  <c r="X35" i="71"/>
  <c r="AB37" i="71"/>
  <c r="AB35" i="71"/>
  <c r="F38" i="71"/>
  <c r="F39" i="71" s="1"/>
  <c r="F40" i="71" s="1"/>
  <c r="V40" i="71" s="1"/>
  <c r="C23" i="71"/>
  <c r="B22" i="71"/>
  <c r="B21" i="71" s="1"/>
  <c r="B20" i="71" s="1"/>
  <c r="BL243" i="3"/>
  <c r="AZ243" i="3" s="1"/>
  <c r="BA247" i="3"/>
  <c r="BL247" i="3"/>
  <c r="BA249" i="3"/>
  <c r="BL249" i="3"/>
  <c r="BA251" i="3"/>
  <c r="BL251" i="3"/>
  <c r="BA253" i="3"/>
  <c r="BL260" i="3"/>
  <c r="BL263" i="3"/>
  <c r="AZ263" i="3" s="1"/>
  <c r="BL270" i="3"/>
  <c r="AZ270" i="3" s="1"/>
  <c r="BA272" i="3"/>
  <c r="AZ272" i="3" s="1"/>
  <c r="BL275" i="3"/>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AZ28" i="3" s="1"/>
  <c r="BA31" i="3"/>
  <c r="BA32" i="3"/>
  <c r="G38" i="3"/>
  <c r="BA38" i="3"/>
  <c r="BA41" i="3"/>
  <c r="BA42" i="3"/>
  <c r="BL45" i="3"/>
  <c r="BA48" i="3"/>
  <c r="BA49" i="3"/>
  <c r="BL69" i="3"/>
  <c r="AZ69" i="3" s="1"/>
  <c r="BA73" i="3"/>
  <c r="F40" i="69"/>
  <c r="C40" i="69"/>
  <c r="F28" i="71"/>
  <c r="F27" i="71" s="1"/>
  <c r="F26" i="71" s="1"/>
  <c r="X26" i="71"/>
  <c r="C36" i="71"/>
  <c r="D35" i="71"/>
  <c r="Y35" i="71"/>
  <c r="Z35" i="71" s="1"/>
  <c r="BA397" i="3"/>
  <c r="AZ397" i="3" s="1"/>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51" i="3"/>
  <c r="BA52" i="3"/>
  <c r="AZ52" i="3" s="1"/>
  <c r="G63" i="3"/>
  <c r="BA64" i="3"/>
  <c r="AZ64" i="3" s="1"/>
  <c r="BL74" i="3"/>
  <c r="AZ74" i="3" s="1"/>
  <c r="BA77" i="3"/>
  <c r="BL86" i="3"/>
  <c r="AZ86" i="3" s="1"/>
  <c r="BA87" i="3"/>
  <c r="AB21" i="37"/>
  <c r="U21" i="37"/>
  <c r="E39" i="71"/>
  <c r="E40" i="71" s="1"/>
  <c r="U40" i="71" s="1"/>
  <c r="Y37" i="71"/>
  <c r="Z37" i="71" s="1"/>
  <c r="X25" i="71"/>
  <c r="V24" i="71"/>
  <c r="E23" i="71"/>
  <c r="E22" i="71" s="1"/>
  <c r="E21" i="71" s="1"/>
  <c r="E20" i="71" s="1"/>
  <c r="G103" i="3"/>
  <c r="BA103" i="3"/>
  <c r="AZ103" i="3" s="1"/>
  <c r="BA104" i="3"/>
  <c r="BA106" i="3"/>
  <c r="BL108" i="3"/>
  <c r="AZ108" i="3" s="1"/>
  <c r="BL111" i="3"/>
  <c r="AA27" i="71"/>
  <c r="C83" i="71"/>
  <c r="C79" i="71"/>
  <c r="C71" i="71"/>
  <c r="C39" i="71"/>
  <c r="Y28" i="71"/>
  <c r="Z28" i="71" s="1"/>
  <c r="Y30" i="71"/>
  <c r="Z30" i="71" s="1"/>
  <c r="X28" i="71"/>
  <c r="X32" i="71"/>
  <c r="G43" i="3"/>
  <c r="G44" i="3"/>
  <c r="BA45" i="3"/>
  <c r="AZ45" i="3" s="1"/>
  <c r="BA46" i="3"/>
  <c r="BL49" i="3"/>
  <c r="BL50" i="3"/>
  <c r="AZ50" i="3" s="1"/>
  <c r="BL51" i="3"/>
  <c r="G53" i="3"/>
  <c r="BL53" i="3"/>
  <c r="BA56" i="3"/>
  <c r="BA57" i="3"/>
  <c r="BL58" i="3"/>
  <c r="G60" i="3"/>
  <c r="BA60" i="3"/>
  <c r="BA63" i="3"/>
  <c r="BA66" i="3"/>
  <c r="BA71" i="3"/>
  <c r="AZ71" i="3" s="1"/>
  <c r="G76" i="3"/>
  <c r="BL77" i="3"/>
  <c r="BA79" i="3"/>
  <c r="AZ79" i="3" s="1"/>
  <c r="BA84" i="3"/>
  <c r="AZ84" i="3" s="1"/>
  <c r="BL88" i="3"/>
  <c r="AZ88" i="3" s="1"/>
  <c r="BL90" i="3"/>
  <c r="BL92" i="3"/>
  <c r="G101" i="3"/>
  <c r="BA101" i="3"/>
  <c r="AZ101" i="3" s="1"/>
  <c r="G109" i="3"/>
  <c r="BL112" i="3"/>
  <c r="F35" i="71"/>
  <c r="F36" i="71" s="1"/>
  <c r="V36" i="71" s="1"/>
  <c r="AA34" i="7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E28" i="6"/>
  <c r="K14"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11" i="1"/>
  <c r="D9" i="11"/>
  <c r="C9" i="11" s="1"/>
  <c r="D19" i="12"/>
  <c r="C19" i="12" s="1"/>
  <c r="AZ13" i="3"/>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D9" i="68"/>
  <c r="L48" i="15"/>
  <c r="F6" i="67"/>
  <c r="F8" i="15"/>
  <c r="M26" i="67"/>
  <c r="M6" i="15"/>
  <c r="L47" i="15"/>
  <c r="D4" i="73"/>
  <c r="F13" i="67"/>
  <c r="M29" i="15"/>
  <c r="F26" i="67"/>
  <c r="F43" i="15"/>
  <c r="M26" i="15"/>
  <c r="F6" i="15"/>
  <c r="F16" i="15"/>
  <c r="F16" i="67"/>
  <c r="F7" i="15"/>
  <c r="F42" i="67"/>
  <c r="D7" i="73"/>
  <c r="F36" i="15"/>
  <c r="F8" i="67"/>
  <c r="D5" i="73"/>
  <c r="C76" i="15"/>
  <c r="M9" i="15"/>
  <c r="J15" i="67"/>
  <c r="M22" i="15"/>
  <c r="D3" i="73"/>
  <c r="F9" i="67"/>
  <c r="F40" i="15"/>
  <c r="F7" i="67"/>
  <c r="F13" i="15"/>
  <c r="F38" i="15"/>
  <c r="M23" i="67"/>
  <c r="F40" i="67"/>
  <c r="F42" i="15"/>
  <c r="M9" i="67"/>
  <c r="F37" i="15"/>
  <c r="F9" i="15"/>
  <c r="M23" i="15"/>
  <c r="F26" i="15"/>
  <c r="M24" i="67"/>
  <c r="M8" i="15"/>
  <c r="F43" i="67"/>
  <c r="F36" i="67"/>
  <c r="C76" i="67"/>
  <c r="L47" i="67"/>
  <c r="M8" i="67"/>
  <c r="M29" i="67"/>
  <c r="M24" i="15"/>
  <c r="L48" i="67"/>
  <c r="M28" i="15"/>
  <c r="M6" i="67"/>
  <c r="F38" i="67"/>
  <c r="J15" i="15"/>
  <c r="M22" i="67"/>
  <c r="F37" i="67"/>
  <c r="M28" i="67"/>
  <c r="F11" i="82" l="1"/>
  <c r="M11" i="82"/>
  <c r="J10" i="82" s="1"/>
  <c r="J5" i="82" s="1"/>
  <c r="M6" i="1"/>
  <c r="O6" i="1" s="1"/>
  <c r="E29" i="6"/>
  <c r="E10" i="6"/>
  <c r="AC36" i="21"/>
  <c r="W36" i="21"/>
  <c r="AB23" i="21"/>
  <c r="U23" i="21"/>
  <c r="AB19" i="21"/>
  <c r="U19" i="21"/>
  <c r="AB41" i="39"/>
  <c r="U41" i="39"/>
  <c r="S41" i="39"/>
  <c r="AA41" i="39"/>
  <c r="AB25" i="39"/>
  <c r="U25" i="39"/>
  <c r="AC23" i="39"/>
  <c r="W23" i="39"/>
  <c r="H16" i="1"/>
  <c r="E15" i="6"/>
  <c r="E64" i="39" s="1"/>
  <c r="E13" i="6"/>
  <c r="E58" i="40" s="1"/>
  <c r="E12" i="6"/>
  <c r="E57" i="40" s="1"/>
  <c r="F51" i="15"/>
  <c r="N59" i="15"/>
  <c r="F65" i="15"/>
  <c r="F50" i="67"/>
  <c r="M7" i="67"/>
  <c r="M17" i="67" s="1"/>
  <c r="F71" i="67"/>
  <c r="Q71" i="67"/>
  <c r="F66" i="67"/>
  <c r="J53" i="67"/>
  <c r="F1" i="67" s="1"/>
  <c r="L56" i="67"/>
  <c r="I54" i="67"/>
  <c r="J57" i="67"/>
  <c r="J55" i="67" s="1"/>
  <c r="J58" i="67" s="1"/>
  <c r="Q50" i="67" s="1"/>
  <c r="C27" i="67"/>
  <c r="F65" i="67"/>
  <c r="F68" i="67"/>
  <c r="F64" i="67"/>
  <c r="L59" i="67"/>
  <c r="Q61" i="67" s="1"/>
  <c r="L58" i="67"/>
  <c r="Q60" i="67" s="1"/>
  <c r="N59" i="67"/>
  <c r="G26" i="43"/>
  <c r="Q16" i="1"/>
  <c r="F27" i="69" s="1"/>
  <c r="F45" i="69" s="1"/>
  <c r="J26" i="43"/>
  <c r="N370" i="46"/>
  <c r="F26" i="43"/>
  <c r="N94" i="46"/>
  <c r="E26" i="43"/>
  <c r="E59" i="40"/>
  <c r="J7" i="36"/>
  <c r="F68" i="15"/>
  <c r="F31" i="67"/>
  <c r="C6" i="67"/>
  <c r="C32" i="67" s="1"/>
  <c r="F51" i="67"/>
  <c r="Q71" i="15"/>
  <c r="F66" i="15"/>
  <c r="F31" i="15"/>
  <c r="M7" i="15"/>
  <c r="J6" i="15" s="1"/>
  <c r="J18" i="15" s="1"/>
  <c r="C6" i="15"/>
  <c r="C32" i="15" s="1"/>
  <c r="F50" i="15"/>
  <c r="C27" i="15"/>
  <c r="F64" i="15"/>
  <c r="F71" i="15"/>
  <c r="I54" i="15"/>
  <c r="L58" i="15"/>
  <c r="Q60" i="15" s="1"/>
  <c r="J57" i="15"/>
  <c r="J55" i="15" s="1"/>
  <c r="J58" i="15" s="1"/>
  <c r="Q50" i="15" s="1"/>
  <c r="G5" i="3"/>
  <c r="B3" i="3" s="1"/>
  <c r="E113" i="3" s="1"/>
  <c r="D83" i="71"/>
  <c r="C82" i="71"/>
  <c r="D82" i="71" s="1"/>
  <c r="AZ275" i="3"/>
  <c r="D44" i="71"/>
  <c r="T44" i="71"/>
  <c r="AZ413" i="3"/>
  <c r="U23" i="35"/>
  <c r="AB23" i="35"/>
  <c r="D67" i="71"/>
  <c r="C66" i="71"/>
  <c r="O67" i="71"/>
  <c r="W12" i="35"/>
  <c r="AC12" i="35"/>
  <c r="U26" i="33"/>
  <c r="AB26" i="33"/>
  <c r="AB9" i="33"/>
  <c r="U9" i="33"/>
  <c r="AA23" i="36"/>
  <c r="S23" i="36"/>
  <c r="D121" i="9"/>
  <c r="D7" i="52" s="1"/>
  <c r="D6" i="52"/>
  <c r="AZ66" i="3"/>
  <c r="C40" i="71"/>
  <c r="D39" i="71"/>
  <c r="AZ130" i="3"/>
  <c r="AZ244" i="3"/>
  <c r="AZ239" i="3"/>
  <c r="AZ27" i="3"/>
  <c r="AZ118" i="3"/>
  <c r="AZ249" i="3"/>
  <c r="B19" i="71"/>
  <c r="B18" i="71" s="1"/>
  <c r="B17" i="71" s="1"/>
  <c r="B16" i="71" s="1"/>
  <c r="S20" i="71"/>
  <c r="AZ51" i="3"/>
  <c r="AZ38" i="3"/>
  <c r="AZ415" i="3"/>
  <c r="AC38" i="40"/>
  <c r="W38" i="40"/>
  <c r="AA24" i="36"/>
  <c r="S24" i="36"/>
  <c r="N65" i="71"/>
  <c r="N66" i="71"/>
  <c r="S26" i="33"/>
  <c r="AA26" i="33"/>
  <c r="AC23" i="36"/>
  <c r="W23" i="36"/>
  <c r="AA14" i="39"/>
  <c r="S14" i="39"/>
  <c r="AZ53" i="3"/>
  <c r="AZ63" i="3"/>
  <c r="AZ57" i="3"/>
  <c r="C70" i="71"/>
  <c r="D70" i="71" s="1"/>
  <c r="D71" i="71"/>
  <c r="AZ77" i="3"/>
  <c r="AZ19" i="3"/>
  <c r="AZ282" i="3"/>
  <c r="AZ210" i="3"/>
  <c r="D23" i="71"/>
  <c r="C22" i="71"/>
  <c r="AZ58" i="3"/>
  <c r="AZ25" i="3"/>
  <c r="AZ294" i="3"/>
  <c r="AZ428" i="3"/>
  <c r="AB38" i="40"/>
  <c r="U38" i="40"/>
  <c r="AB24" i="36"/>
  <c r="U24" i="36"/>
  <c r="D75" i="71"/>
  <c r="C74" i="71"/>
  <c r="D74" i="71" s="1"/>
  <c r="C56" i="71"/>
  <c r="D55" i="71"/>
  <c r="AB32" i="36"/>
  <c r="U32" i="36"/>
  <c r="W26" i="33"/>
  <c r="AC26" i="33"/>
  <c r="AB23" i="36"/>
  <c r="U23" i="36"/>
  <c r="S13" i="37"/>
  <c r="AA13" i="37"/>
  <c r="AZ585" i="3"/>
  <c r="AA28" i="21"/>
  <c r="S28" i="21"/>
  <c r="AZ580" i="3"/>
  <c r="AB35" i="39"/>
  <c r="U35" i="39"/>
  <c r="D79" i="71"/>
  <c r="C78" i="71"/>
  <c r="D78" i="71" s="1"/>
  <c r="AZ297" i="3"/>
  <c r="AZ49" i="3"/>
  <c r="AZ41" i="3"/>
  <c r="AZ31" i="3"/>
  <c r="AZ20" i="3"/>
  <c r="AZ251" i="3"/>
  <c r="AZ247" i="3"/>
  <c r="C26" i="71"/>
  <c r="D26" i="71" s="1"/>
  <c r="D27" i="71"/>
  <c r="AZ150" i="3"/>
  <c r="AZ483" i="3"/>
  <c r="AZ454" i="3"/>
  <c r="T32" i="71"/>
  <c r="D32" i="71"/>
  <c r="AZ273" i="3"/>
  <c r="AZ491" i="3"/>
  <c r="AC24" i="36"/>
  <c r="W24" i="36"/>
  <c r="C52" i="71"/>
  <c r="D51" i="71"/>
  <c r="AA32" i="36"/>
  <c r="S32" i="36"/>
  <c r="W13" i="37"/>
  <c r="AC13" i="37"/>
  <c r="W28" i="21"/>
  <c r="AC28" i="21"/>
  <c r="G16" i="1"/>
  <c r="F10" i="39" s="1"/>
  <c r="S10" i="39" s="1"/>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31" i="6"/>
  <c r="E51" i="40"/>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P28" i="43"/>
  <c r="B66" i="40" s="1"/>
  <c r="P25" i="43"/>
  <c r="P29" i="43"/>
  <c r="P27" i="43"/>
  <c r="B70" i="39" s="1"/>
  <c r="M11" i="67"/>
  <c r="J10" i="67" s="1"/>
  <c r="F11" i="15"/>
  <c r="M11" i="15"/>
  <c r="J10" i="15" s="1"/>
  <c r="F11" i="67"/>
  <c r="AE11" i="1"/>
  <c r="AE6" i="1"/>
  <c r="AE7" i="1"/>
  <c r="AE12" i="1"/>
  <c r="AE10" i="1"/>
  <c r="G1" i="73"/>
  <c r="C16" i="67"/>
  <c r="C16" i="15"/>
  <c r="F41" i="67"/>
  <c r="J24" i="82" l="1"/>
  <c r="J26" i="82"/>
  <c r="C53" i="82"/>
  <c r="C48" i="82" s="1"/>
  <c r="C10" i="82"/>
  <c r="C5" i="82" s="1"/>
  <c r="P6" i="1"/>
  <c r="C13" i="12" s="1"/>
  <c r="J6" i="67"/>
  <c r="J18" i="67" s="1"/>
  <c r="K15" i="1"/>
  <c r="K16" i="1" s="1"/>
  <c r="L19" i="6"/>
  <c r="L27" i="6" s="1"/>
  <c r="E30" i="6"/>
  <c r="E60" i="40"/>
  <c r="AY6" i="3"/>
  <c r="AY366" i="3" s="1"/>
  <c r="E119" i="3"/>
  <c r="E182" i="3"/>
  <c r="E528" i="3"/>
  <c r="E553" i="3"/>
  <c r="E509" i="3"/>
  <c r="AK6" i="3"/>
  <c r="E293" i="3"/>
  <c r="E369" i="3"/>
  <c r="E62" i="39"/>
  <c r="E65" i="39" s="1"/>
  <c r="E135" i="3"/>
  <c r="Z6" i="3"/>
  <c r="E530" i="3"/>
  <c r="E565" i="3"/>
  <c r="F27" i="68"/>
  <c r="F45" i="68" s="1"/>
  <c r="E335" i="3"/>
  <c r="E146" i="3"/>
  <c r="E549" i="3"/>
  <c r="E57" i="3"/>
  <c r="E139" i="3"/>
  <c r="E118" i="3"/>
  <c r="E487" i="3"/>
  <c r="X6" i="3"/>
  <c r="E172" i="3"/>
  <c r="E570" i="3"/>
  <c r="E526" i="3"/>
  <c r="E531" i="3"/>
  <c r="E368" i="3"/>
  <c r="E587" i="3"/>
  <c r="E399" i="3"/>
  <c r="E439" i="3"/>
  <c r="E210" i="3"/>
  <c r="E562" i="3"/>
  <c r="E230" i="3"/>
  <c r="E444" i="3"/>
  <c r="E548" i="3"/>
  <c r="E52" i="3"/>
  <c r="E483" i="3"/>
  <c r="E246" i="3"/>
  <c r="E563" i="3"/>
  <c r="E311" i="3"/>
  <c r="E217" i="3"/>
  <c r="E557" i="3"/>
  <c r="E74" i="3"/>
  <c r="E465" i="3"/>
  <c r="E495" i="3"/>
  <c r="AR6" i="3"/>
  <c r="E162" i="3"/>
  <c r="E458" i="3"/>
  <c r="E294" i="3"/>
  <c r="E394" i="3"/>
  <c r="E145" i="3"/>
  <c r="E427" i="3"/>
  <c r="E132" i="3"/>
  <c r="E263" i="3"/>
  <c r="E215" i="3"/>
  <c r="E579" i="3"/>
  <c r="E273" i="3"/>
  <c r="AO6" i="3"/>
  <c r="E171" i="3"/>
  <c r="E277" i="3"/>
  <c r="E361" i="3"/>
  <c r="E388" i="3"/>
  <c r="E269" i="3"/>
  <c r="E336" i="3"/>
  <c r="E239" i="3"/>
  <c r="E330" i="3"/>
  <c r="E504" i="3"/>
  <c r="E389" i="3"/>
  <c r="E144" i="3"/>
  <c r="E26" i="3"/>
  <c r="E346" i="3"/>
  <c r="E524" i="3"/>
  <c r="E375" i="3"/>
  <c r="E438" i="3"/>
  <c r="E29" i="3"/>
  <c r="AN6" i="3"/>
  <c r="AE6" i="3"/>
  <c r="E252" i="3"/>
  <c r="E316" i="3"/>
  <c r="E151" i="3"/>
  <c r="E550" i="3"/>
  <c r="E314" i="3"/>
  <c r="E111" i="3"/>
  <c r="E478" i="3"/>
  <c r="E441" i="3"/>
  <c r="E410" i="3"/>
  <c r="E380" i="3"/>
  <c r="E134" i="3"/>
  <c r="E568" i="3"/>
  <c r="K6" i="3"/>
  <c r="E577" i="3"/>
  <c r="E315" i="3"/>
  <c r="E89" i="3"/>
  <c r="E485" i="3"/>
  <c r="E28" i="3"/>
  <c r="E377" i="3"/>
  <c r="E268" i="3"/>
  <c r="E247" i="3"/>
  <c r="M6" i="3"/>
  <c r="E189" i="3"/>
  <c r="E535" i="3"/>
  <c r="E423" i="3"/>
  <c r="E100" i="3"/>
  <c r="E275" i="3"/>
  <c r="E219" i="3"/>
  <c r="E94" i="3"/>
  <c r="E248" i="3"/>
  <c r="E378" i="3"/>
  <c r="E355" i="3"/>
  <c r="E104" i="3"/>
  <c r="E60" i="3"/>
  <c r="E90" i="3"/>
  <c r="E47" i="3"/>
  <c r="E288" i="3"/>
  <c r="E574" i="3"/>
  <c r="AA6" i="3"/>
  <c r="E429" i="3"/>
  <c r="AG6" i="3"/>
  <c r="E334" i="3"/>
  <c r="E559" i="3"/>
  <c r="E290" i="3"/>
  <c r="E99" i="3"/>
  <c r="E150" i="3"/>
  <c r="E505" i="3"/>
  <c r="E175" i="3"/>
  <c r="E143" i="3"/>
  <c r="E261" i="3"/>
  <c r="E301" i="3"/>
  <c r="E181" i="3"/>
  <c r="E560" i="3"/>
  <c r="E106" i="3"/>
  <c r="E362" i="3"/>
  <c r="E204" i="3"/>
  <c r="E345" i="3"/>
  <c r="E70" i="3"/>
  <c r="E572" i="3"/>
  <c r="AJ6" i="3"/>
  <c r="E201" i="3"/>
  <c r="AB6" i="3"/>
  <c r="E278" i="3"/>
  <c r="E161" i="3"/>
  <c r="AI6" i="3"/>
  <c r="E148" i="3"/>
  <c r="E242" i="3"/>
  <c r="E522" i="3"/>
  <c r="E393" i="3"/>
  <c r="AQ6" i="3"/>
  <c r="E312" i="3"/>
  <c r="E488" i="3"/>
  <c r="E298" i="3"/>
  <c r="E120" i="3"/>
  <c r="E256" i="3"/>
  <c r="E581" i="3"/>
  <c r="E131" i="3"/>
  <c r="E447" i="3"/>
  <c r="E515" i="3"/>
  <c r="E31" i="3"/>
  <c r="E450" i="3"/>
  <c r="E573" i="3"/>
  <c r="E85" i="3"/>
  <c r="E382" i="3"/>
  <c r="E395" i="3"/>
  <c r="E320" i="3"/>
  <c r="E396" i="3"/>
  <c r="E366" i="3"/>
  <c r="E166" i="3"/>
  <c r="P6" i="3"/>
  <c r="E236" i="3"/>
  <c r="E203" i="3"/>
  <c r="E481" i="3"/>
  <c r="E128" i="3"/>
  <c r="E402" i="3"/>
  <c r="E506" i="3"/>
  <c r="AM6" i="3"/>
  <c r="E93" i="3"/>
  <c r="E352" i="3"/>
  <c r="E66" i="3"/>
  <c r="E464" i="3"/>
  <c r="E250" i="3"/>
  <c r="E176" i="3"/>
  <c r="E137" i="3"/>
  <c r="E463" i="3"/>
  <c r="E370" i="3"/>
  <c r="E456" i="3"/>
  <c r="E42" i="3"/>
  <c r="E425" i="3"/>
  <c r="E124" i="3"/>
  <c r="E180" i="3"/>
  <c r="E231" i="3"/>
  <c r="E533" i="3"/>
  <c r="E508" i="3"/>
  <c r="E331" i="3"/>
  <c r="AS6" i="3"/>
  <c r="E585" i="3"/>
  <c r="E351" i="3"/>
  <c r="E571" i="3"/>
  <c r="E193" i="3"/>
  <c r="E583" i="3"/>
  <c r="E245" i="3"/>
  <c r="E415" i="3"/>
  <c r="E551" i="3"/>
  <c r="E516" i="3"/>
  <c r="E125" i="3"/>
  <c r="E88" i="3"/>
  <c r="E448" i="3"/>
  <c r="E32" i="3"/>
  <c r="E496" i="3"/>
  <c r="E437" i="3"/>
  <c r="E434" i="3"/>
  <c r="E213" i="3"/>
  <c r="E97" i="3"/>
  <c r="E546" i="3"/>
  <c r="E471" i="3"/>
  <c r="E82" i="3"/>
  <c r="E259" i="3"/>
  <c r="E138" i="3"/>
  <c r="E155" i="3"/>
  <c r="E50" i="3"/>
  <c r="E15" i="3"/>
  <c r="E498" i="3"/>
  <c r="E324" i="3"/>
  <c r="E534" i="3"/>
  <c r="E281" i="3"/>
  <c r="E430" i="3"/>
  <c r="E449" i="3"/>
  <c r="E103" i="3"/>
  <c r="E381" i="3"/>
  <c r="E96" i="3"/>
  <c r="E287" i="3"/>
  <c r="E451" i="3"/>
  <c r="E412" i="3"/>
  <c r="E326" i="3"/>
  <c r="E486" i="3"/>
  <c r="E202" i="3"/>
  <c r="E170" i="3"/>
  <c r="E123" i="3"/>
  <c r="E552" i="3"/>
  <c r="E51" i="3"/>
  <c r="E284" i="3"/>
  <c r="E39" i="3"/>
  <c r="E154" i="3"/>
  <c r="E306" i="3"/>
  <c r="E257" i="3"/>
  <c r="E403" i="3"/>
  <c r="E501" i="3"/>
  <c r="E418" i="3"/>
  <c r="E221" i="3"/>
  <c r="E238" i="3"/>
  <c r="E177" i="3"/>
  <c r="E424" i="3"/>
  <c r="E73" i="3"/>
  <c r="E580" i="3"/>
  <c r="E164" i="3"/>
  <c r="E558" i="3"/>
  <c r="E121" i="3"/>
  <c r="E30" i="3"/>
  <c r="N6" i="3"/>
  <c r="E229" i="3"/>
  <c r="V6" i="3"/>
  <c r="E114" i="3"/>
  <c r="E117" i="3"/>
  <c r="E578" i="3"/>
  <c r="E453" i="3"/>
  <c r="E45" i="3"/>
  <c r="E527" i="3"/>
  <c r="E72" i="3"/>
  <c r="E318" i="3"/>
  <c r="E271" i="3"/>
  <c r="E477" i="3"/>
  <c r="E27" i="3"/>
  <c r="E384" i="3"/>
  <c r="E305" i="3"/>
  <c r="E337" i="3"/>
  <c r="E561" i="3"/>
  <c r="E185" i="3"/>
  <c r="E503" i="3"/>
  <c r="E350" i="3"/>
  <c r="E77" i="3"/>
  <c r="E228" i="3"/>
  <c r="E472" i="3"/>
  <c r="E454" i="3"/>
  <c r="E214" i="3"/>
  <c r="E227" i="3"/>
  <c r="E327" i="3"/>
  <c r="E400" i="3"/>
  <c r="E489" i="3"/>
  <c r="E211" i="3"/>
  <c r="E109" i="3"/>
  <c r="E322" i="3"/>
  <c r="E431" i="3"/>
  <c r="E514" i="3"/>
  <c r="E387" i="3"/>
  <c r="E69" i="3"/>
  <c r="E445" i="3"/>
  <c r="E191" i="3"/>
  <c r="E385" i="3"/>
  <c r="E200" i="3"/>
  <c r="E296" i="3"/>
  <c r="E240" i="3"/>
  <c r="E142" i="3"/>
  <c r="E479" i="3"/>
  <c r="E300" i="3"/>
  <c r="E21" i="3"/>
  <c r="E383" i="3"/>
  <c r="E205" i="3"/>
  <c r="E13" i="3"/>
  <c r="E78" i="3"/>
  <c r="E188" i="3"/>
  <c r="J6" i="3"/>
  <c r="C29" i="69"/>
  <c r="D27" i="69" s="1"/>
  <c r="C47" i="69"/>
  <c r="D45" i="69" s="1"/>
  <c r="O6" i="3"/>
  <c r="E126" i="3"/>
  <c r="E379" i="3"/>
  <c r="E208" i="3"/>
  <c r="E313" i="3"/>
  <c r="E98" i="3"/>
  <c r="E459" i="3"/>
  <c r="E341" i="3"/>
  <c r="E19" i="3"/>
  <c r="E520" i="3"/>
  <c r="E521" i="3"/>
  <c r="E101" i="3"/>
  <c r="E364" i="3"/>
  <c r="E299" i="3"/>
  <c r="E43" i="3"/>
  <c r="E178" i="3"/>
  <c r="E440" i="3"/>
  <c r="E223" i="3"/>
  <c r="E232" i="3"/>
  <c r="E225" i="3"/>
  <c r="E360" i="3"/>
  <c r="E525" i="3"/>
  <c r="E206" i="3"/>
  <c r="E75" i="3"/>
  <c r="E513" i="3"/>
  <c r="E492" i="3"/>
  <c r="E544" i="3"/>
  <c r="E536" i="3"/>
  <c r="E37" i="3"/>
  <c r="E46" i="3"/>
  <c r="E23" i="3"/>
  <c r="E264" i="3"/>
  <c r="E332" i="3"/>
  <c r="E129" i="3"/>
  <c r="E251" i="3"/>
  <c r="E140" i="3"/>
  <c r="E469"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F59" i="15"/>
  <c r="F59" i="67"/>
  <c r="E510" i="3"/>
  <c r="E212" i="3"/>
  <c r="E442" i="3"/>
  <c r="E255" i="3"/>
  <c r="E491" i="3"/>
  <c r="E95" i="3"/>
  <c r="E292"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575" i="3"/>
  <c r="E466" i="3"/>
  <c r="AP6" i="3"/>
  <c r="E417" i="3"/>
  <c r="E152" i="3"/>
  <c r="E34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241" i="3"/>
  <c r="E517" i="3"/>
  <c r="E502" i="3"/>
  <c r="E81" i="3"/>
  <c r="E33" i="3"/>
  <c r="E249" i="3"/>
  <c r="E484" i="3"/>
  <c r="E258" i="3"/>
  <c r="E554" i="3"/>
  <c r="E499" i="3"/>
  <c r="E16" i="6"/>
  <c r="E3" i="6"/>
  <c r="E6" i="6" s="1"/>
  <c r="D26" i="43"/>
  <c r="C25" i="43" s="1"/>
  <c r="C33" i="43" s="1"/>
  <c r="Q52" i="67"/>
  <c r="C49" i="15"/>
  <c r="Q74" i="67"/>
  <c r="Q73" i="67"/>
  <c r="J10" i="40"/>
  <c r="AC10" i="40" s="1"/>
  <c r="F28" i="12"/>
  <c r="F27" i="11"/>
  <c r="C47" i="11" s="1"/>
  <c r="D45" i="11" s="1"/>
  <c r="AA10" i="39"/>
  <c r="H10" i="39"/>
  <c r="U10" i="39" s="1"/>
  <c r="H10" i="40"/>
  <c r="AB10" i="40" s="1"/>
  <c r="J10" i="39"/>
  <c r="W10" i="39" s="1"/>
  <c r="F10" i="40"/>
  <c r="S10" i="40" s="1"/>
  <c r="Q73" i="15"/>
  <c r="C49" i="67"/>
  <c r="J5" i="15"/>
  <c r="J24" i="15" s="1"/>
  <c r="M17" i="15"/>
  <c r="C21" i="71"/>
  <c r="D22" i="71"/>
  <c r="T40" i="71"/>
  <c r="D40" i="71"/>
  <c r="E286" i="3"/>
  <c r="E539" i="3"/>
  <c r="T52" i="71"/>
  <c r="D52" i="71"/>
  <c r="D56" i="71"/>
  <c r="T56" i="71"/>
  <c r="O65" i="71"/>
  <c r="D66" i="71"/>
  <c r="O66" i="71"/>
  <c r="R36" i="36"/>
  <c r="E76" i="3"/>
  <c r="E363" i="3"/>
  <c r="E192" i="3"/>
  <c r="E56" i="3"/>
  <c r="E435" i="3"/>
  <c r="I3" i="6"/>
  <c r="E541" i="3"/>
  <c r="R6" i="3"/>
  <c r="E199" i="3"/>
  <c r="B40" i="1"/>
  <c r="V42" i="37"/>
  <c r="I42"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52" i="3"/>
  <c r="AY509" i="3"/>
  <c r="AY218" i="3"/>
  <c r="AY151" i="3"/>
  <c r="D3" i="2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M27" i="15"/>
  <c r="C66" i="82" l="1"/>
  <c r="C60" i="82"/>
  <c r="L36" i="43"/>
  <c r="L37" i="43" s="1"/>
  <c r="P37" i="43" s="1"/>
  <c r="F24" i="82"/>
  <c r="C38" i="82"/>
  <c r="C47" i="68"/>
  <c r="D45" i="68" s="1"/>
  <c r="J5" i="67"/>
  <c r="J24" i="67" s="1"/>
  <c r="AY337" i="3"/>
  <c r="AY323" i="3"/>
  <c r="AY328" i="3"/>
  <c r="AY130" i="3"/>
  <c r="AY288" i="3"/>
  <c r="AY587" i="3"/>
  <c r="AY48" i="3"/>
  <c r="AY317" i="3"/>
  <c r="AY164" i="3"/>
  <c r="AY30" i="3"/>
  <c r="AY249" i="3"/>
  <c r="AY324" i="3"/>
  <c r="AY395" i="3"/>
  <c r="BT6" i="3"/>
  <c r="AY79" i="3"/>
  <c r="AY267" i="3"/>
  <c r="AY142" i="3"/>
  <c r="AY213" i="3"/>
  <c r="AY517" i="3"/>
  <c r="AY135" i="3"/>
  <c r="AY345" i="3"/>
  <c r="AY258" i="3"/>
  <c r="AY197" i="3"/>
  <c r="AY477" i="3"/>
  <c r="AY408" i="3"/>
  <c r="AY522" i="3"/>
  <c r="AY583" i="3"/>
  <c r="AY440" i="3"/>
  <c r="AY399" i="3"/>
  <c r="BC6" i="3"/>
  <c r="AY128" i="3"/>
  <c r="AY466" i="3"/>
  <c r="AY78" i="3"/>
  <c r="AY439" i="3"/>
  <c r="AY266" i="3"/>
  <c r="AY552" i="3"/>
  <c r="AY368" i="3"/>
  <c r="AY412" i="3"/>
  <c r="AY444" i="3"/>
  <c r="AY299" i="3"/>
  <c r="AY236" i="3"/>
  <c r="AY71" i="3"/>
  <c r="AY548" i="3"/>
  <c r="D3" i="6"/>
  <c r="AY101" i="3"/>
  <c r="AY557" i="3"/>
  <c r="AY117" i="3"/>
  <c r="AY318" i="3"/>
  <c r="AY386" i="3"/>
  <c r="AY315" i="3"/>
  <c r="AY402" i="3"/>
  <c r="AY474" i="3"/>
  <c r="AY383" i="3"/>
  <c r="AY461" i="3"/>
  <c r="AY416" i="3"/>
  <c r="AY184" i="3"/>
  <c r="AY331" i="3"/>
  <c r="BA6" i="3"/>
  <c r="AY458" i="3"/>
  <c r="AY129" i="3"/>
  <c r="AY580" i="3"/>
  <c r="AY270" i="3"/>
  <c r="AY81" i="3"/>
  <c r="AY546" i="3"/>
  <c r="AY60" i="3"/>
  <c r="AY124" i="3"/>
  <c r="H6" i="3"/>
  <c r="AY22" i="3"/>
  <c r="AY566" i="3"/>
  <c r="AY113" i="3"/>
  <c r="AY304" i="3"/>
  <c r="AY27" i="3"/>
  <c r="AY578" i="3"/>
  <c r="AY364" i="3"/>
  <c r="AY519" i="3"/>
  <c r="AY161" i="3"/>
  <c r="AY255" i="3"/>
  <c r="AY436" i="3"/>
  <c r="AY178" i="3"/>
  <c r="AY561" i="3"/>
  <c r="BJ6" i="3"/>
  <c r="AY77" i="3"/>
  <c r="AY252" i="3"/>
  <c r="AY51" i="3"/>
  <c r="AY240" i="3"/>
  <c r="AY107" i="3"/>
  <c r="AY359" i="3"/>
  <c r="AY493" i="3"/>
  <c r="AY445" i="3"/>
  <c r="AY322" i="3"/>
  <c r="AY102" i="3"/>
  <c r="AY216" i="3"/>
  <c r="AY530" i="3"/>
  <c r="AY205" i="3"/>
  <c r="AY448" i="3"/>
  <c r="AY256" i="3"/>
  <c r="AY558" i="3"/>
  <c r="AY376" i="3"/>
  <c r="AY167" i="3"/>
  <c r="AY499" i="3"/>
  <c r="AY453" i="3"/>
  <c r="AY169" i="3"/>
  <c r="AY503" i="3"/>
  <c r="AY559" i="3"/>
  <c r="AY443" i="3"/>
  <c r="AY143" i="3"/>
  <c r="AY500" i="3"/>
  <c r="AY265" i="3"/>
  <c r="AY515" i="3"/>
  <c r="AY305" i="3"/>
  <c r="AY64" i="3"/>
  <c r="AY272" i="3"/>
  <c r="AY421" i="3"/>
  <c r="AY140" i="3"/>
  <c r="AY17" i="3"/>
  <c r="AY385" i="3"/>
  <c r="AY504" i="3"/>
  <c r="AY338" i="3"/>
  <c r="AY119" i="3"/>
  <c r="AY86" i="3"/>
  <c r="AY456" i="3"/>
  <c r="AY264" i="3"/>
  <c r="AY35" i="3"/>
  <c r="AY542" i="3"/>
  <c r="AY423" i="3"/>
  <c r="AY487" i="3"/>
  <c r="AY234" i="3"/>
  <c r="AY37" i="3"/>
  <c r="AY584" i="3"/>
  <c r="AY483" i="3"/>
  <c r="BB6" i="3"/>
  <c r="AY162" i="3"/>
  <c r="AY43" i="3"/>
  <c r="AY393" i="3"/>
  <c r="AY311" i="3"/>
  <c r="AY491" i="3"/>
  <c r="AY263" i="3"/>
  <c r="AY452" i="3"/>
  <c r="C17" i="4"/>
  <c r="B4" i="52" s="1"/>
  <c r="B43" i="72" s="1"/>
  <c r="AC6" i="3"/>
  <c r="AY66" i="3"/>
  <c r="AY207" i="3"/>
  <c r="AY168" i="3"/>
  <c r="AY139" i="3"/>
  <c r="AY428" i="3"/>
  <c r="AY342" i="3"/>
  <c r="AY553" i="3"/>
  <c r="AY170" i="3"/>
  <c r="AY246" i="3"/>
  <c r="AY41" i="3"/>
  <c r="AY377" i="3"/>
  <c r="AY414" i="3"/>
  <c r="AY16" i="3"/>
  <c r="AY269" i="3"/>
  <c r="AY68" i="3"/>
  <c r="AY365" i="3"/>
  <c r="AY308" i="3"/>
  <c r="AY496" i="3"/>
  <c r="AY489" i="3"/>
  <c r="AY379" i="3"/>
  <c r="AY540" i="3"/>
  <c r="AY198" i="3"/>
  <c r="AY291" i="3"/>
  <c r="AY384" i="3"/>
  <c r="AY88" i="3"/>
  <c r="AY121"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M18" i="9"/>
  <c r="B118" i="9" s="1"/>
  <c r="B1" i="74" s="1"/>
  <c r="AY521" i="3"/>
  <c r="AY307" i="3"/>
  <c r="AY257" i="3"/>
  <c r="AY200" i="3"/>
  <c r="AY568" i="3"/>
  <c r="AY451" i="3"/>
  <c r="AY394" i="3"/>
  <c r="AY172" i="3"/>
  <c r="BP6" i="3"/>
  <c r="AY505" i="3"/>
  <c r="AY476" i="3"/>
  <c r="AY361" i="3"/>
  <c r="AY174" i="3"/>
  <c r="AY15" i="3"/>
  <c r="AY339" i="3"/>
  <c r="AY175" i="3"/>
  <c r="AY576" i="3"/>
  <c r="AY482" i="3"/>
  <c r="AY296" i="3"/>
  <c r="AY47" i="3"/>
  <c r="AY537" i="3"/>
  <c r="AY418" i="3"/>
  <c r="AY336" i="3"/>
  <c r="AY235" i="3"/>
  <c r="AY498" i="3"/>
  <c r="BD6" i="3"/>
  <c r="AY459" i="3"/>
  <c r="AY367" i="3"/>
  <c r="AY241" i="3"/>
  <c r="AY159" i="3"/>
  <c r="AY70" i="3"/>
  <c r="BL6" i="3"/>
  <c r="AY405" i="3"/>
  <c r="AY314" i="3"/>
  <c r="AY378" i="3"/>
  <c r="AY280" i="3"/>
  <c r="AY187" i="3"/>
  <c r="AY63" i="3"/>
  <c r="AY531" i="3"/>
  <c r="AY502" i="3"/>
  <c r="AY506" i="3"/>
  <c r="AY410" i="3"/>
  <c r="AY484" i="3"/>
  <c r="AY344" i="3"/>
  <c r="AY369" i="3"/>
  <c r="AY282" i="3"/>
  <c r="AY158" i="3"/>
  <c r="AY80" i="3"/>
  <c r="AY514" i="3"/>
  <c r="AY520" i="3"/>
  <c r="AY406" i="3"/>
  <c r="AY370" i="3"/>
  <c r="AY181" i="3"/>
  <c r="AY373" i="3"/>
  <c r="AY134" i="3"/>
  <c r="AY69" i="3"/>
  <c r="AY326" i="3"/>
  <c r="AY220" i="3"/>
  <c r="AY516" i="3"/>
  <c r="AY57" i="3"/>
  <c r="AY555" i="3"/>
  <c r="AY237" i="3"/>
  <c r="AY581" i="3"/>
  <c r="AY274" i="3"/>
  <c r="AY357" i="3"/>
  <c r="AY149" i="3"/>
  <c r="AY569" i="3"/>
  <c r="AY245" i="3"/>
  <c r="AY123" i="3"/>
  <c r="AY281" i="3"/>
  <c r="AY400" i="3"/>
  <c r="AY351" i="3"/>
  <c r="AY293" i="3"/>
  <c r="AY54" i="3"/>
  <c r="AY547" i="3"/>
  <c r="AY485" i="3"/>
  <c r="AY248" i="3"/>
  <c r="AY19" i="3"/>
  <c r="AY551" i="3"/>
  <c r="AY415" i="3"/>
  <c r="AY479" i="3"/>
  <c r="AY250" i="3"/>
  <c r="AY21" i="3"/>
  <c r="AY413" i="3"/>
  <c r="AY208" i="3"/>
  <c r="AY195" i="3"/>
  <c r="AY528" i="3"/>
  <c r="AY347" i="3"/>
  <c r="AY120" i="3"/>
  <c r="AY110" i="3"/>
  <c r="AY564" i="3"/>
  <c r="AY450" i="3"/>
  <c r="AY321" i="3"/>
  <c r="AY122" i="3"/>
  <c r="AY586" i="3"/>
  <c r="AY550" i="3"/>
  <c r="AY306" i="3"/>
  <c r="AY391" i="3"/>
  <c r="AY273" i="3"/>
  <c r="AY179" i="3"/>
  <c r="AY55" i="3"/>
  <c r="AY512" i="3"/>
  <c r="AY424" i="3"/>
  <c r="AY346" i="3"/>
  <c r="AY221" i="3"/>
  <c r="AY127" i="3"/>
  <c r="AY192" i="3"/>
  <c r="AY94" i="3"/>
  <c r="BR6" i="3"/>
  <c r="AY524" i="3"/>
  <c r="AY579" i="3"/>
  <c r="AY442" i="3"/>
  <c r="AY471" i="3"/>
  <c r="AY313" i="3"/>
  <c r="AY223" i="3"/>
  <c r="AY287" i="3"/>
  <c r="AY189" i="3"/>
  <c r="AY96" i="3"/>
  <c r="AY494" i="3"/>
  <c r="AY536" i="3"/>
  <c r="AY449" i="3"/>
  <c r="AY215" i="3"/>
  <c r="AY72" i="3"/>
  <c r="AY238" i="3"/>
  <c r="AY141" i="3"/>
  <c r="AY105" i="3"/>
  <c r="AY229" i="3"/>
  <c r="AY132" i="3"/>
  <c r="AY422" i="3"/>
  <c r="AY254" i="3"/>
  <c r="AY535" i="3"/>
  <c r="AY171" i="3"/>
  <c r="AY457" i="3"/>
  <c r="AY114" i="3"/>
  <c r="AY392" i="3"/>
  <c r="AY206" i="3"/>
  <c r="AY513" i="3"/>
  <c r="AY106" i="3"/>
  <c r="AY67" i="3"/>
  <c r="AY42"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E6" i="3"/>
  <c r="L18" i="9"/>
  <c r="D14" i="12"/>
  <c r="D17" i="12" s="1"/>
  <c r="C17" i="12" s="1"/>
  <c r="U10" i="40"/>
  <c r="D3" i="37"/>
  <c r="D19" i="11"/>
  <c r="C19" i="11" s="1"/>
  <c r="C20" i="11" s="1"/>
  <c r="D37" i="11"/>
  <c r="D3" i="33"/>
  <c r="D3" i="34"/>
  <c r="AC10" i="39"/>
  <c r="AA10" i="40"/>
  <c r="W10" i="40"/>
  <c r="C48" i="15"/>
  <c r="C66" i="15" s="1"/>
  <c r="C48" i="67"/>
  <c r="C60" i="67" s="1"/>
  <c r="AB10" i="39"/>
  <c r="D116" i="43"/>
  <c r="I53" i="34"/>
  <c r="J53" i="34" s="1"/>
  <c r="F25" i="12"/>
  <c r="D21" i="71"/>
  <c r="C20" i="71"/>
  <c r="F22" i="68"/>
  <c r="F41" i="68" s="1"/>
  <c r="F22" i="11"/>
  <c r="F24" i="67"/>
  <c r="C24" i="67" s="1"/>
  <c r="F24" i="15"/>
  <c r="C24" i="15" s="1"/>
  <c r="F22" i="69"/>
  <c r="F41" i="69" s="1"/>
  <c r="E49" i="34"/>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4" i="67"/>
  <c r="C17" i="67"/>
  <c r="O37" i="43" l="1"/>
  <c r="M36" i="43"/>
  <c r="P36" i="43"/>
  <c r="Q37" i="43"/>
  <c r="N36" i="43"/>
  <c r="M37" i="43"/>
  <c r="O36" i="43"/>
  <c r="N37" i="43"/>
  <c r="Q36" i="43"/>
  <c r="C24" i="82"/>
  <c r="C23" i="82"/>
  <c r="C28" i="11"/>
  <c r="C27" i="11" s="1"/>
  <c r="D30" i="6"/>
  <c r="C66" i="67"/>
  <c r="H22" i="6"/>
  <c r="H21" i="6"/>
  <c r="R21" i="6" s="1"/>
  <c r="R8" i="1" s="1"/>
  <c r="H25" i="6"/>
  <c r="R25" i="6" s="1"/>
  <c r="R12" i="1" s="1"/>
  <c r="C60" i="15"/>
  <c r="C19" i="71"/>
  <c r="T20" i="71"/>
  <c r="D20" i="71"/>
  <c r="U20" i="71" s="1"/>
  <c r="C44" i="69"/>
  <c r="D41" i="69" s="1"/>
  <c r="C26" i="69"/>
  <c r="D22" i="69" s="1"/>
  <c r="C18" i="67"/>
  <c r="C15" i="67"/>
  <c r="H23" i="6"/>
  <c r="R23" i="6" s="1"/>
  <c r="R10" i="1" s="1"/>
  <c r="C30" i="43"/>
  <c r="B2" i="43" s="1"/>
  <c r="B3" i="43" s="1"/>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2"/>
  <c r="C14" i="15"/>
  <c r="F35" i="82"/>
  <c r="B6" i="76"/>
  <c r="E6" i="76"/>
  <c r="C29" i="82" l="1"/>
  <c r="C36" i="82" s="1"/>
  <c r="J20" i="82"/>
  <c r="J17" i="82" s="1"/>
  <c r="C34" i="82"/>
  <c r="C31" i="82" s="1"/>
  <c r="F63" i="82"/>
  <c r="C62" i="82" s="1"/>
  <c r="C59" i="82" s="1"/>
  <c r="C44" i="11"/>
  <c r="D41" i="11" s="1"/>
  <c r="C24" i="11"/>
  <c r="C44" i="68"/>
  <c r="D41" i="68" s="1"/>
  <c r="B23" i="1"/>
  <c r="B24" i="1"/>
  <c r="C29" i="68"/>
  <c r="D27" i="68" s="1"/>
  <c r="C29" i="11"/>
  <c r="D27" i="11" s="1"/>
  <c r="C18" i="12"/>
  <c r="C18" i="71"/>
  <c r="D19" i="7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3" i="82" l="1"/>
  <c r="M59" i="82"/>
  <c r="L59" i="82" s="1"/>
  <c r="Q49" i="82"/>
  <c r="C57" i="82"/>
  <c r="C64" i="82" s="1"/>
  <c r="C13" i="82"/>
  <c r="C56" i="82" s="1"/>
  <c r="C65" i="82" s="1"/>
  <c r="J14" i="82"/>
  <c r="J13" i="82" s="1"/>
  <c r="J23" i="82" s="1"/>
  <c r="M59" i="15"/>
  <c r="L59" i="15" s="1"/>
  <c r="M59" i="67"/>
  <c r="J53" i="15"/>
  <c r="C29" i="12"/>
  <c r="D28" i="12" s="1"/>
  <c r="F34" i="11"/>
  <c r="F50" i="69"/>
  <c r="F11" i="12"/>
  <c r="C14" i="12" s="1"/>
  <c r="C16" i="12" s="1"/>
  <c r="C21" i="12" s="1"/>
  <c r="C22" i="12" s="1"/>
  <c r="F50" i="11"/>
  <c r="F50" i="68"/>
  <c r="C26" i="12"/>
  <c r="D25" i="12" s="1"/>
  <c r="F34" i="68"/>
  <c r="C23" i="11"/>
  <c r="C26" i="11"/>
  <c r="D22" i="11" s="1"/>
  <c r="C26" i="68"/>
  <c r="D22" i="68" s="1"/>
  <c r="C25" i="11"/>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Q61" i="82" l="1"/>
  <c r="Q74" i="82"/>
  <c r="F1" i="82"/>
  <c r="Q52" i="82"/>
  <c r="C58" i="82"/>
  <c r="C67" i="82" s="1"/>
  <c r="J22" i="82"/>
  <c r="J16" i="82" s="1"/>
  <c r="J25" i="82" s="1"/>
  <c r="Q70" i="82"/>
  <c r="C75" i="82"/>
  <c r="C37" i="82"/>
  <c r="C30" i="82" s="1"/>
  <c r="C39" i="82" s="1"/>
  <c r="Q69" i="82" s="1"/>
  <c r="C36" i="68"/>
  <c r="C34" i="68"/>
  <c r="L56" i="15"/>
  <c r="Q52" i="15"/>
  <c r="F1" i="15"/>
  <c r="C37" i="11"/>
  <c r="C34" i="11"/>
  <c r="C36" i="11"/>
  <c r="Q61" i="15"/>
  <c r="Q74" i="15"/>
  <c r="C22" i="11"/>
  <c r="C31" i="11" s="1"/>
  <c r="C37" i="68"/>
  <c r="D17" i="71"/>
  <c r="C16"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AE8" i="1"/>
  <c r="L51" i="82"/>
  <c r="M21" i="67"/>
  <c r="AE9" i="1"/>
  <c r="F35" i="15"/>
  <c r="F35" i="67"/>
  <c r="F41" i="82"/>
  <c r="M21" i="15"/>
  <c r="F41" i="15"/>
  <c r="Q68" i="82" l="1"/>
  <c r="C80" i="82"/>
  <c r="C79" i="82" s="1"/>
  <c r="F69" i="82"/>
  <c r="C68" i="82" s="1"/>
  <c r="J29" i="82"/>
  <c r="C40" i="82"/>
  <c r="Q67" i="82"/>
  <c r="F69" i="15"/>
  <c r="C38" i="11"/>
  <c r="C35" i="11"/>
  <c r="C35" i="68"/>
  <c r="C38" i="68"/>
  <c r="T16" i="71"/>
  <c r="D16" i="71"/>
  <c r="U16" i="71" s="1"/>
  <c r="C15" i="71"/>
  <c r="E48" i="21"/>
  <c r="E52" i="21" s="1"/>
  <c r="F52" i="21" s="1"/>
  <c r="AC7" i="35"/>
  <c r="V38" i="35" s="1"/>
  <c r="I38" i="35" s="1"/>
  <c r="I42" i="35" s="1"/>
  <c r="J42"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Q47" i="82" l="1"/>
  <c r="Q53" i="82" s="1"/>
  <c r="B2" i="82"/>
  <c r="Q65" i="82"/>
  <c r="Q75" i="82" s="1"/>
  <c r="Q56" i="82"/>
  <c r="Q62" i="82" s="1"/>
  <c r="C43" i="82"/>
  <c r="C83" i="82"/>
  <c r="C82" i="82" s="1"/>
  <c r="C46" i="82"/>
  <c r="C71" i="82"/>
  <c r="C33" i="11"/>
  <c r="C39" i="11" s="1"/>
  <c r="C43" i="11" s="1"/>
  <c r="C33" i="68"/>
  <c r="G43" i="35"/>
  <c r="H43" i="35" s="1"/>
  <c r="E53" i="21"/>
  <c r="F53" i="21" s="1"/>
  <c r="I53" i="21"/>
  <c r="J53" i="21"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B3" i="82" l="1"/>
  <c r="F6" i="12" s="1"/>
  <c r="F8" i="12"/>
  <c r="C42" i="11"/>
  <c r="C41" i="11" s="1"/>
  <c r="C39" i="68"/>
  <c r="C43" i="68" s="1"/>
  <c r="C42" i="68"/>
  <c r="C46" i="11"/>
  <c r="C45" i="11" s="1"/>
  <c r="D14" i="71"/>
  <c r="C13" i="7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1" i="68" l="1"/>
  <c r="C46" i="68"/>
  <c r="C45" i="68" s="1"/>
  <c r="C49" i="11"/>
  <c r="C51" i="11" s="1"/>
  <c r="C52" i="11" s="1"/>
  <c r="B2" i="11" s="1"/>
  <c r="B3" i="11" s="1"/>
  <c r="B3" i="21"/>
  <c r="C6" i="12" s="1"/>
  <c r="C8" i="1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C49" i="68" l="1"/>
  <c r="C51" i="68" s="1"/>
  <c r="C56" i="11"/>
  <c r="C57" i="11" s="1"/>
  <c r="D12" i="7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6" i="1"/>
  <c r="AO8" i="1"/>
  <c r="AO10" i="1"/>
  <c r="AO7" i="1"/>
  <c r="AO11" i="1"/>
  <c r="B3" i="35" l="1"/>
  <c r="D6" i="12" s="1"/>
  <c r="D8" i="12"/>
  <c r="R48" i="39"/>
  <c r="C47" i="39" s="1"/>
  <c r="C10" i="71"/>
  <c r="D11" i="71"/>
  <c r="L46" i="15"/>
  <c r="B2" i="15" s="1"/>
  <c r="E8" i="12" s="1"/>
  <c r="C4" i="12" s="1"/>
  <c r="Q66" i="15"/>
  <c r="Q75" i="15" s="1"/>
  <c r="Q62" i="15"/>
  <c r="B11" i="70"/>
  <c r="B7" i="70"/>
  <c r="B10" i="70"/>
  <c r="B12" i="70"/>
  <c r="B6"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9" i="1"/>
  <c r="C31" i="12" l="1"/>
  <c r="C23" i="12"/>
  <c r="B9" i="70"/>
  <c r="B2" i="70" s="1"/>
  <c r="B3" i="70" s="1"/>
  <c r="B3" i="15"/>
  <c r="E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D9" i="71"/>
  <c r="C8" i="71"/>
  <c r="C42" i="40"/>
  <c r="C43" i="40"/>
  <c r="E47" i="40"/>
  <c r="F47" i="40" s="1"/>
  <c r="E46" i="40"/>
  <c r="F46" i="40" s="1"/>
  <c r="I47" i="40"/>
  <c r="J47" i="40" s="1"/>
  <c r="B2" i="39" l="1"/>
  <c r="B3" i="39" s="1"/>
  <c r="C6" i="68"/>
  <c r="C32" i="12"/>
  <c r="B2"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C7" i="68" l="1"/>
  <c r="C5" i="68" s="1"/>
  <c r="D102" i="9"/>
  <c r="D21" i="9"/>
  <c r="B3" i="12"/>
  <c r="D7" i="71"/>
  <c r="C6" i="71"/>
  <c r="D20" i="9"/>
  <c r="C23" i="68" l="1"/>
  <c r="C20" i="68"/>
  <c r="D103" i="9"/>
  <c r="C5" i="71"/>
  <c r="D5" i="71" s="1"/>
  <c r="M24" i="43" s="1"/>
  <c r="D6" i="71"/>
  <c r="C28" i="68" l="1"/>
  <c r="C27" i="68" s="1"/>
  <c r="C25" i="68"/>
  <c r="C22" i="68" s="1"/>
  <c r="C31" i="68" l="1"/>
  <c r="C52" i="68" s="1"/>
  <c r="B2" i="68" l="1"/>
  <c r="C57" i="68"/>
  <c r="C56" i="68" s="1"/>
  <c r="C19" i="9"/>
  <c r="C102" i="9" l="1"/>
  <c r="C21" i="9"/>
  <c r="D22" i="9"/>
  <c r="G19" i="9"/>
  <c r="G21" i="9" s="1"/>
  <c r="B3" i="68"/>
  <c r="C20" i="9"/>
  <c r="D34" i="9"/>
  <c r="D35" i="9"/>
  <c r="C103" i="9" l="1"/>
  <c r="G20" i="9"/>
  <c r="C32" i="9" s="1"/>
  <c r="C35" i="9" s="1"/>
  <c r="C34" i="9" s="1"/>
  <c r="D118" i="9" s="1"/>
  <c r="D119" i="9" s="1"/>
  <c r="D5" i="52" s="1"/>
  <c r="B49" i="72" s="1"/>
  <c r="H118" i="9" l="1"/>
  <c r="F118" i="9"/>
  <c r="F119" i="9" s="1"/>
  <c r="F5" i="52" s="1"/>
  <c r="B53" i="72" s="1"/>
  <c r="D4" i="52"/>
  <c r="B47" i="72" s="1"/>
  <c r="C104" i="9" l="1"/>
  <c r="D14" i="74"/>
  <c r="I118" i="9"/>
  <c r="H102" i="9" s="1"/>
  <c r="H119" i="9"/>
  <c r="H5" i="52" s="1"/>
  <c r="H4" i="52"/>
  <c r="H101" i="9"/>
  <c r="D5" i="53" s="1"/>
  <c r="G118" i="9"/>
  <c r="G4" i="52" s="1"/>
  <c r="B52" i="72" s="1"/>
  <c r="F4" i="52"/>
  <c r="B51" i="72" s="1"/>
  <c r="G14" i="74" l="1"/>
  <c r="B6" i="74" s="1"/>
  <c r="D6" i="74" s="1"/>
  <c r="H107" i="9"/>
  <c r="H108" i="9" s="1"/>
  <c r="M48" i="9"/>
  <c r="F14" i="74"/>
  <c r="E14" i="74"/>
  <c r="B5" i="74"/>
  <c r="D5" i="74" s="1"/>
  <c r="D45" i="9"/>
  <c r="C93" i="9" s="1"/>
  <c r="C86" i="9" s="1"/>
  <c r="I4" i="52"/>
  <c r="C105" i="9"/>
  <c r="E118" i="9"/>
  <c r="E4" i="52" s="1"/>
  <c r="B48" i="72" s="1"/>
  <c r="D122" i="9"/>
  <c r="B20" i="72"/>
  <c r="D6" i="53"/>
  <c r="B22" i="72" s="1"/>
  <c r="D7" i="53"/>
  <c r="B21" i="72" s="1"/>
  <c r="M49" i="9" l="1"/>
  <c r="L66" i="9" s="1"/>
  <c r="M66" i="9" s="1"/>
  <c r="C5" i="74"/>
  <c r="D13" i="53"/>
  <c r="B30" i="72" s="1"/>
  <c r="C85" i="9"/>
  <c r="C95" i="9" s="1"/>
  <c r="C96" i="9" s="1"/>
  <c r="E96" i="9" s="1"/>
  <c r="E97" i="9" s="1"/>
  <c r="D52" i="9"/>
  <c r="C78" i="9"/>
  <c r="C73" i="9" s="1"/>
  <c r="C72" i="9"/>
  <c r="C64" i="9"/>
  <c r="C63" i="9" s="1"/>
  <c r="C67" i="9" s="1"/>
  <c r="C68" i="9" s="1"/>
  <c r="D54" i="9" s="1"/>
  <c r="D53" i="9"/>
  <c r="D55" i="9"/>
  <c r="M53" i="9" s="1"/>
  <c r="L63" i="9"/>
  <c r="M63" i="9" s="1"/>
  <c r="L68" i="9"/>
  <c r="M68" i="9" s="1"/>
  <c r="C6" i="74"/>
  <c r="D15" i="53"/>
  <c r="B31" i="72" s="1"/>
  <c r="D8" i="52"/>
  <c r="D123" i="9"/>
  <c r="D9" i="52" s="1"/>
  <c r="L65" i="9" l="1"/>
  <c r="M65" i="9" s="1"/>
  <c r="L64" i="9"/>
  <c r="M64" i="9" s="1"/>
  <c r="L67" i="9"/>
  <c r="M67" i="9" s="1"/>
  <c r="C79" i="9"/>
  <c r="C80" i="9" s="1"/>
  <c r="E80" i="9" s="1"/>
  <c r="E81" i="9" s="1"/>
  <c r="D14" i="53"/>
  <c r="B32" i="72" s="1"/>
  <c r="D59" i="9"/>
  <c r="M55" i="9" s="1"/>
  <c r="M69" i="9"/>
  <c r="N69" i="9" s="1"/>
  <c r="C97" i="9"/>
  <c r="D58" i="9" s="1"/>
  <c r="D56" i="9" s="1"/>
  <c r="M54" i="9" s="1"/>
  <c r="N57" i="9" l="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9B72070B-FCBA-46D8-84D7-C1D48CE88D8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B64692B-8773-4A0C-9CCB-617DC5B50EB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53084FDF-E16F-46B2-A393-110E131D3F6C}">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4FE7447-A8F0-456E-9597-51F01ADC049B}">
      <text>
        <r>
          <rPr>
            <sz val="11"/>
            <color indexed="81"/>
            <rFont val="宋体"/>
            <family val="3"/>
            <charset val="134"/>
          </rPr>
          <t>在建项目均选择“是”</t>
        </r>
      </text>
    </comment>
    <comment ref="F59" authorId="1" shapeId="0" xr:uid="{77D9C896-A5EB-4033-8701-18A7C0F7976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769CF8F4-89D7-4CD4-82CB-6412A0A7EF2E}">
      <text>
        <r>
          <rPr>
            <sz val="10"/>
            <color indexed="81"/>
            <rFont val="宋体"/>
            <family val="3"/>
            <charset val="134"/>
          </rPr>
          <t xml:space="preserve">在建
</t>
        </r>
      </text>
    </comment>
    <comment ref="N59" authorId="0" shapeId="0" xr:uid="{DFEA57E3-B06B-4890-AFCB-8DE21EDD0D7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<sst xmlns="http://schemas.openxmlformats.org/spreadsheetml/2006/main" count="10617" uniqueCount="4047">
  <si>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</si>
  <si>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</si>
  <si>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</si>
  <si>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</si>
  <si>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</si>
  <si>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</si>
  <si>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</si>
  <si>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</si>
  <si>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</si>
  <si>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</si>
  <si>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</si>
  <si>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</si>
  <si>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</si>
  <si>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</si>
  <si>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</si>
  <si>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</si>
  <si>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</si>
  <si>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</si>
  <si>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</si>
  <si>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</si>
  <si>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</si>
  <si>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</si>
  <si>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</si>
  <si>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</si>
  <si>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</si>
  <si>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</si>
  <si>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</si>
  <si>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</si>
  <si>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</si>
  <si>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</si>
  <si>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</si>
  <si>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</si>
  <si>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</si>
  <si>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</si>
  <si>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</si>
  <si>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</si>
  <si>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</si>
  <si>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</si>
  <si>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</si>
  <si>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</si>
  <si>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</si>
  <si>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</si>
  <si>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</si>
  <si>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</si>
  <si>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</si>
  <si>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</si>
  <si>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</si>
  <si>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</si>
  <si>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</si>
  <si>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</si>
  <si>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</si>
  <si>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</si>
  <si>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</si>
  <si>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</si>
  <si>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</si>
  <si>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</si>
  <si>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</si>
  <si>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</si>
  <si>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</si>
  <si>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</si>
  <si>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</si>
  <si>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</si>
  <si>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</si>
  <si>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</si>
  <si>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</si>
  <si>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</si>
  <si>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</si>
  <si>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</si>
  <si>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</si>
  <si>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</si>
  <si>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</si>
  <si>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</si>
  <si>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</si>
  <si>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</si>
  <si>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</si>
  <si>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</si>
  <si>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</si>
  <si>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</si>
  <si>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</si>
  <si>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</si>
  <si>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</si>
  <si>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</si>
  <si>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</si>
  <si>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</si>
  <si>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</si>
  <si>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</si>
  <si>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</si>
  <si>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</si>
  <si>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</si>
  <si>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</si>
  <si>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</si>
  <si>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</si>
  <si>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</si>
  <si>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</si>
  <si>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</si>
  <si>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</si>
  <si>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</si>
  <si>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</si>
  <si>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</si>
  <si>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</si>
  <si>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</si>
  <si>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</si>
  <si>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</si>
  <si>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</si>
  <si>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</si>
  <si>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</si>
  <si>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</si>
  <si>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</si>
  <si>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</si>
  <si>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</si>
  <si>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</si>
  <si>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</si>
  <si>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</si>
  <si>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</si>
  <si>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</si>
  <si>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</si>
  <si>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</si>
  <si>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</si>
  <si>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</si>
  <si>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</si>
  <si>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</si>
  <si>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</si>
  <si>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</si>
  <si>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</si>
  <si>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</si>
  <si>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</si>
  <si>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</si>
  <si>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</si>
  <si>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</si>
  <si>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</si>
  <si>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</si>
  <si>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</si>
  <si>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</si>
  <si>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</si>
  <si>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</si>
  <si>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</si>
  <si>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</si>
  <si>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</si>
  <si>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</si>
  <si>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</si>
  <si>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</si>
  <si>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</si>
  <si>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</si>
  <si>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</si>
  <si>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</si>
  <si>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</si>
  <si>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</si>
  <si>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</si>
  <si>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</si>
  <si>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</si>
  <si>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</si>
  <si>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</si>
  <si>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</si>
  <si>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</si>
  <si>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</si>
  <si>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</si>
  <si>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</si>
  <si>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</si>
  <si>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</si>
  <si>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</si>
  <si>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</si>
  <si>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</si>
  <si>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</si>
  <si>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</si>
  <si>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</si>
  <si>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</si>
  <si>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</si>
  <si>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</si>
  <si>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</si>
  <si>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</si>
  <si>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</si>
  <si>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</si>
  <si>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</si>
  <si>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</si>
  <si>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</si>
  <si>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</si>
  <si>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</si>
  <si>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</si>
  <si>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</si>
  <si>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</si>
  <si>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</si>
  <si>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</si>
  <si>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</si>
  <si>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</si>
  <si>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</si>
  <si>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</si>
  <si>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</si>
  <si>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</si>
  <si>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</si>
  <si>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</si>
  <si>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</si>
  <si>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</si>
  <si>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</si>
  <si>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</si>
  <si>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</si>
  <si>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</si>
  <si>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</si>
  <si>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</si>
  <si>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</si>
  <si>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</si>
  <si>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</si>
  <si>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</si>
  <si>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</si>
  <si>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</si>
  <si>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</si>
  <si>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</si>
  <si>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</si>
  <si>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</si>
  <si>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</si>
  <si>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</si>
  <si>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</si>
  <si>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</si>
  <si>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</si>
  <si>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</si>
  <si>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</si>
  <si>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</si>
  <si>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</si>
  <si>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</si>
  <si>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</si>
  <si>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</si>
  <si>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</si>
  <si>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</si>
  <si>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</si>
  <si>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</si>
  <si>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</si>
  <si>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</si>
  <si>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</si>
  <si>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</si>
  <si>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</si>
  <si>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</si>
  <si>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</si>
  <si>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</si>
  <si>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</si>
  <si>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</si>
  <si>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</si>
  <si>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</si>
  <si>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</si>
  <si>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</si>
  <si>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</si>
  <si>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</si>
  <si>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</si>
  <si>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</si>
  <si>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</si>
  <si>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</si>
  <si>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</si>
  <si>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</si>
  <si>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</si>
  <si>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</si>
  <si>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</si>
  <si>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</si>
  <si>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</si>
  <si>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</si>
  <si>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</si>
  <si>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</si>
  <si>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</si>
  <si>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</si>
  <si>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</si>
  <si>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</si>
  <si>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</si>
  <si>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</si>
  <si>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</si>
  <si>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</si>
  <si>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</si>
  <si>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</si>
  <si>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</si>
  <si>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</si>
  <si>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</si>
  <si>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</si>
  <si>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</si>
  <si>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</si>
  <si>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</si>
  <si>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</si>
  <si>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</si>
  <si>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</si>
  <si>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</si>
  <si>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</si>
  <si>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</si>
  <si>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</si>
  <si>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</si>
  <si>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</si>
  <si>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</si>
  <si>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</si>
  <si>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</si>
  <si>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</si>
  <si>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</si>
  <si>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</si>
  <si>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</si>
  <si>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</si>
  <si>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</si>
  <si>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</si>
  <si>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</si>
  <si>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</si>
  <si>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</si>
  <si>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</si>
  <si>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</si>
  <si>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</si>
  <si>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</si>
  <si>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</si>
  <si>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</si>
  <si>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</si>
  <si>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</si>
  <si>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</si>
  <si>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</si>
  <si>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</si>
  <si>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</si>
  <si>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</si>
  <si>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</si>
  <si>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</si>
  <si>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</si>
  <si>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</si>
  <si>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</si>
  <si>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</si>
  <si>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</si>
  <si>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</si>
  <si>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</si>
  <si>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</si>
  <si>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</si>
  <si>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</si>
  <si>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</si>
  <si>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</si>
  <si>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</si>
  <si>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</si>
  <si>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</si>
  <si>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</si>
  <si>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</si>
  <si>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</si>
  <si>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</si>
  <si>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</si>
  <si>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</si>
  <si>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</si>
  <si>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</si>
  <si>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</si>
  <si>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</si>
  <si>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</si>
  <si>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</si>
  <si>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</si>
  <si>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</si>
  <si>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</si>
  <si>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</si>
  <si>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</si>
  <si>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</si>
  <si>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</si>
  <si>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</si>
  <si>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</si>
  <si>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</si>
  <si>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</si>
  <si>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</si>
  <si>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</si>
  <si>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</si>
  <si>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</si>
  <si>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</si>
  <si>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</si>
  <si>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</si>
  <si>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</si>
  <si>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</si>
  <si>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</si>
  <si>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</si>
  <si>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</si>
  <si>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</si>
  <si>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</si>
  <si>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</si>
  <si>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</si>
  <si>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</si>
  <si>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</si>
  <si>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</si>
  <si>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</si>
  <si>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</si>
  <si>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</si>
  <si>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</si>
  <si>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</si>
  <si>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</si>
  <si>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</si>
  <si>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</si>
  <si>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</si>
  <si>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</si>
  <si>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</si>
  <si>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</si>
  <si>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</si>
  <si>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</si>
  <si>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</si>
  <si>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</si>
  <si>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</si>
  <si>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</si>
  <si>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</si>
  <si>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</si>
  <si>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</si>
  <si>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</si>
  <si>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</si>
  <si>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</si>
  <si>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</si>
  <si>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</si>
  <si>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</si>
  <si>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</si>
  <si>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</si>
  <si>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</si>
  <si>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</si>
  <si>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</si>
  <si>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</si>
  <si>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</si>
  <si>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</si>
  <si>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</si>
  <si>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</si>
  <si>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</si>
  <si>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</si>
  <si>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</si>
  <si>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</si>
  <si>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</si>
  <si>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</si>
  <si>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</si>
  <si>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</si>
  <si>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</si>
  <si>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</si>
  <si>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</si>
  <si>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</si>
  <si>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</si>
  <si>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</si>
  <si>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</si>
  <si>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</si>
  <si>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</si>
  <si>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</si>
  <si>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</si>
  <si>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</si>
  <si>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</si>
  <si>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</si>
  <si>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</si>
  <si>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</si>
  <si>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</si>
  <si>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</si>
  <si>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</si>
  <si>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</si>
  <si>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</si>
  <si>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</si>
  <si>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</si>
  <si>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</si>
  <si>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</si>
  <si>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</si>
  <si>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</si>
  <si>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</si>
  <si>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</si>
  <si>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</si>
  <si>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</si>
  <si>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</si>
  <si>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</si>
  <si>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</si>
  <si>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</si>
  <si>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</si>
  <si>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</si>
  <si>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</si>
  <si>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</si>
  <si>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</si>
  <si>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</si>
  <si>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</si>
  <si>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</si>
  <si>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</si>
  <si>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</si>
  <si>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</si>
  <si>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</si>
  <si>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</si>
  <si>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</si>
  <si>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</si>
  <si>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</si>
  <si>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</si>
  <si>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</si>
  <si>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</si>
  <si>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</si>
  <si>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</si>
  <si>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</si>
  <si>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</si>
  <si>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</si>
  <si>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</si>
  <si>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</si>
  <si>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</si>
  <si>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</si>
  <si>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</si>
  <si>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</si>
  <si>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</si>
  <si>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</si>
  <si>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</si>
  <si>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</si>
  <si>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</si>
  <si>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</si>
  <si>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</si>
  <si>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</si>
  <si>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</si>
  <si>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</si>
  <si>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</si>
  <si>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</si>
  <si>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</si>
  <si>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</si>
  <si>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</si>
  <si>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</si>
  <si>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</si>
  <si>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</si>
  <si>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</si>
  <si>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</si>
  <si>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</si>
  <si>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</si>
  <si>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</si>
  <si>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</si>
  <si>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</si>
  <si>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</si>
  <si>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</si>
  <si>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</si>
  <si>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</si>
  <si>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</si>
  <si>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</si>
  <si>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</si>
  <si>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</si>
  <si>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</si>
  <si>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</si>
  <si>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</si>
  <si>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</si>
  <si>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</si>
  <si>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</si>
  <si>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</si>
  <si>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</si>
  <si>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</si>
  <si>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</si>
  <si>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</si>
  <si>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</si>
  <si>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</si>
  <si>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</si>
  <si>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</si>
  <si>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</si>
  <si>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</si>
  <si>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</si>
  <si>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</si>
  <si>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</si>
  <si>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</si>
  <si>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</si>
  <si>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</si>
  <si>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</si>
  <si>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</si>
  <si>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</si>
  <si>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</si>
  <si>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</si>
  <si>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</si>
  <si>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</si>
  <si>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</si>
  <si>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</si>
  <si>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</si>
  <si>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</si>
  <si>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</si>
  <si>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</si>
  <si>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</si>
  <si>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</si>
  <si>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</si>
  <si>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</si>
  <si>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</si>
  <si>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</si>
  <si>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</si>
  <si>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</si>
  <si>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</si>
  <si>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</si>
  <si>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</si>
  <si>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</si>
  <si>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</si>
  <si>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</si>
  <si>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</si>
  <si>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</si>
  <si>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</si>
  <si>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</si>
  <si>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</si>
  <si>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</si>
  <si>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</si>
  <si>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</si>
  <si>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</si>
  <si>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</si>
  <si>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</si>
  <si>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</si>
  <si>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</si>
  <si>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</si>
  <si>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</si>
  <si>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</si>
  <si>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</si>
  <si>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</si>
  <si>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</si>
  <si>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</si>
  <si>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</si>
  <si>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</si>
  <si>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</si>
  <si>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</si>
  <si>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</si>
  <si>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</si>
  <si>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</si>
  <si>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</si>
  <si>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</si>
  <si>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</si>
  <si>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</si>
  <si>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</si>
  <si>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</si>
  <si>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</si>
  <si>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</si>
  <si>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</si>
  <si>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</si>
  <si>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</si>
  <si>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</si>
  <si>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</si>
  <si>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</si>
  <si>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</si>
  <si>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</si>
  <si>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</si>
  <si>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</si>
  <si>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</si>
  <si>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</si>
  <si>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</si>
  <si>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</si>
  <si>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</si>
  <si>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</si>
  <si>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</si>
  <si>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</si>
  <si>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</si>
  <si>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</si>
  <si>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</si>
  <si>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</si>
  <si>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</si>
  <si>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</si>
  <si>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</si>
  <si>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</si>
  <si>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</si>
  <si>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</si>
  <si>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</si>
  <si>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</si>
  <si>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</si>
  <si>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</si>
  <si>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</si>
  <si>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</si>
  <si>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</si>
  <si>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</si>
  <si>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</si>
  <si>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</si>
  <si>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</si>
  <si>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</si>
  <si>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</si>
  <si>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</si>
  <si>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</si>
  <si>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</si>
  <si>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</si>
  <si>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</si>
  <si>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</si>
  <si>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</si>
  <si>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</si>
  <si>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</si>
  <si>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</si>
  <si>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</si>
  <si>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</si>
  <si>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</si>
  <si>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</si>
  <si>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</si>
  <si>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</si>
  <si>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</si>
  <si>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</si>
  <si>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</si>
  <si>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</si>
  <si>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</si>
  <si>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</si>
  <si>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</si>
  <si>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</si>
  <si>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</si>
  <si>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</si>
  <si>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</si>
  <si>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</si>
  <si>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</si>
  <si>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</si>
  <si>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</si>
  <si>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</si>
  <si>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</si>
  <si>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</si>
  <si>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</si>
  <si>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</si>
  <si>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</si>
  <si>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</si>
  <si>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</si>
  <si>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</si>
  <si>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</si>
  <si>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</si>
  <si>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</si>
  <si>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</si>
  <si>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</si>
  <si>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</si>
  <si>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</si>
  <si>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</si>
  <si>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</si>
  <si>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</si>
  <si>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</si>
  <si>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</si>
  <si>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</si>
  <si>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</si>
  <si>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</si>
  <si>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</si>
  <si>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</si>
  <si>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</si>
  <si>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</si>
  <si>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</si>
  <si>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</si>
  <si>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</si>
  <si>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</si>
  <si>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</si>
  <si>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</si>
  <si>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</si>
  <si>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</si>
  <si>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</si>
  <si>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</si>
  <si>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</si>
  <si>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</si>
  <si>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</si>
  <si>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</si>
  <si>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</si>
  <si>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</si>
  <si>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</si>
  <si>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</si>
  <si>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</si>
  <si>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</si>
  <si>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</si>
  <si>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</si>
  <si>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</si>
  <si>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</si>
  <si>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</si>
  <si>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</si>
  <si>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</si>
  <si>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</si>
  <si>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</si>
  <si>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</si>
  <si>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</si>
  <si>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</si>
  <si>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</si>
  <si>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</si>
  <si>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</si>
  <si>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</si>
  <si>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</si>
  <si>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</si>
  <si>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</si>
  <si>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</si>
  <si>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</si>
  <si>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</si>
  <si>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</si>
  <si>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</si>
  <si>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</si>
  <si>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</si>
  <si>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</si>
  <si>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</si>
  <si>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</si>
  <si>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</si>
  <si>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</si>
  <si>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</si>
  <si>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</si>
  <si>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</si>
  <si>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</si>
  <si>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</si>
  <si>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</si>
  <si>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</si>
  <si>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</si>
  <si>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</si>
  <si>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</si>
  <si>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</si>
  <si>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</si>
  <si>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</si>
  <si>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</si>
  <si>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</si>
  <si>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</si>
  <si>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</si>
  <si>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</si>
  <si>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</si>
  <si>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</si>
  <si>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</si>
  <si>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</si>
  <si>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</si>
  <si>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</si>
  <si>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</si>
  <si>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</si>
  <si>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</si>
  <si>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</si>
  <si>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</si>
  <si>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</si>
  <si>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</si>
  <si>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</si>
  <si>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</si>
  <si>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</si>
  <si>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</si>
  <si>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</si>
  <si>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</si>
  <si>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</si>
  <si>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</si>
  <si>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</si>
  <si>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</si>
  <si>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</si>
  <si>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</si>
  <si>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</si>
  <si>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</si>
  <si>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</si>
  <si>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</si>
  <si>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</si>
  <si>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</si>
  <si>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</si>
  <si>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</si>
  <si>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</si>
  <si>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</si>
  <si>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</si>
  <si>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</si>
  <si>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</si>
  <si>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</si>
  <si>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</si>
  <si>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</si>
  <si>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</si>
  <si>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</si>
  <si>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</si>
  <si>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</si>
  <si>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</si>
  <si>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</si>
  <si>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</si>
  <si>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</si>
  <si>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</si>
  <si>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</si>
  <si>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</si>
  <si>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</si>
  <si>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</si>
  <si>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</si>
  <si>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</si>
  <si>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</si>
  <si>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</si>
  <si>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</si>
  <si>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</si>
  <si>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</si>
  <si>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</si>
  <si>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</si>
  <si>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</si>
  <si>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</si>
  <si>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</si>
  <si>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</si>
  <si>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</si>
  <si>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</si>
  <si>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</si>
  <si>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</si>
  <si>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</si>
  <si>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</si>
  <si>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</si>
  <si>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</si>
  <si>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</si>
  <si>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</si>
  <si>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</si>
  <si>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</si>
  <si>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</si>
  <si>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</si>
  <si>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</si>
  <si>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</si>
  <si>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</si>
  <si>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</si>
  <si>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</si>
  <si>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</si>
  <si>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</si>
  <si>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</si>
  <si>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</si>
  <si>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</si>
  <si>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</si>
  <si>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</si>
  <si>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</si>
  <si>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</si>
  <si>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</si>
  <si>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</si>
  <si>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</si>
  <si>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</si>
  <si>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</si>
  <si>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</si>
  <si>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</si>
  <si>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</si>
  <si>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</si>
  <si>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</si>
  <si>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</si>
  <si>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</si>
  <si>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</si>
  <si>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</si>
  <si>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</si>
  <si>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</si>
  <si>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</si>
  <si>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</si>
  <si>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</si>
  <si>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</si>
  <si>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</si>
  <si>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</si>
  <si>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</si>
  <si>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</si>
  <si>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</si>
  <si>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</si>
  <si>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</si>
  <si>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</si>
  <si>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</si>
  <si>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</si>
  <si>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</si>
  <si>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</si>
  <si>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</si>
  <si>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</si>
  <si>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</si>
  <si>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</si>
  <si>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</si>
  <si>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</si>
  <si>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</si>
  <si>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</si>
  <si>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</si>
  <si>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</si>
  <si>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</si>
  <si>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</si>
  <si>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</si>
  <si>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</si>
  <si>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</si>
  <si>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</si>
  <si>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</si>
  <si>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</si>
  <si>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</si>
  <si>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</si>
  <si>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</si>
  <si>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</si>
  <si>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</si>
  <si>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</si>
  <si>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</si>
  <si>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</si>
  <si>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</si>
  <si>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</si>
  <si>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</si>
  <si>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</si>
  <si>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</si>
  <si>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</si>
  <si>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</si>
  <si>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</si>
  <si>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</si>
  <si>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</si>
  <si>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</si>
  <si>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</si>
  <si>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</si>
  <si>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</si>
  <si>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</si>
  <si>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</si>
  <si>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</si>
  <si>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</si>
  <si>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</si>
  <si>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</si>
  <si>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</si>
  <si>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</si>
  <si>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</si>
  <si>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</si>
  <si>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</si>
  <si>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</si>
  <si>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</si>
  <si>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</si>
  <si>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</si>
  <si>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</si>
  <si>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</si>
  <si>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</si>
  <si>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</si>
  <si>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</si>
  <si>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</si>
  <si>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</si>
  <si>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</si>
  <si>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</si>
  <si>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</si>
  <si>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</si>
  <si>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</si>
  <si>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</si>
  <si>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</si>
  <si>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</si>
  <si>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</si>
  <si>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</si>
  <si>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</si>
  <si>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</si>
  <si>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</si>
  <si>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</si>
  <si>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</si>
  <si>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</si>
  <si>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</si>
  <si>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</si>
  <si>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</si>
  <si>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</si>
  <si>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</si>
  <si>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</si>
  <si>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</si>
  <si>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</si>
  <si>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</si>
  <si>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</si>
  <si>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</si>
  <si>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</si>
  <si>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</si>
  <si>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</si>
  <si>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</si>
  <si>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</si>
  <si>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</si>
  <si>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</si>
  <si>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</si>
  <si>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</si>
  <si>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</si>
  <si>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</si>
  <si>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</si>
  <si>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</si>
  <si>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</si>
  <si>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</si>
  <si>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</si>
  <si>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</si>
  <si>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</si>
  <si>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</si>
  <si>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</si>
  <si>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</si>
  <si>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</si>
  <si>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</si>
  <si>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</si>
  <si>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</si>
  <si>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</si>
  <si>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</si>
  <si>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</si>
  <si>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</si>
  <si>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</si>
  <si>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</si>
  <si>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</si>
  <si>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</si>
  <si>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</si>
  <si>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</si>
  <si>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</si>
  <si>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</si>
  <si>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</si>
  <si>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</si>
  <si>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</si>
  <si>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</si>
  <si>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</si>
  <si>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</si>
  <si>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</si>
  <si>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</si>
  <si>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</si>
  <si>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</si>
  <si>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</si>
  <si>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</si>
  <si>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</si>
  <si>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</si>
  <si>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</si>
  <si>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</si>
  <si>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</si>
  <si>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</si>
  <si>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</si>
  <si>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</si>
  <si>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</si>
  <si>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</si>
  <si>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</si>
  <si>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</si>
  <si>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</si>
  <si>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</si>
  <si>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</si>
  <si>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</si>
  <si>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</si>
  <si>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</si>
  <si>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</si>
  <si>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</si>
  <si>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</si>
  <si>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</si>
  <si>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</si>
  <si>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</si>
  <si>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</si>
  <si>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</si>
  <si>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</si>
  <si>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</si>
  <si>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</si>
  <si>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</si>
  <si>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</si>
  <si>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</si>
  <si>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</si>
  <si>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</si>
  <si>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</si>
  <si>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</si>
  <si>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</si>
  <si>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</si>
  <si>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</si>
  <si>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</si>
  <si>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</si>
  <si>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</si>
  <si>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</si>
  <si>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</si>
  <si>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</si>
  <si>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</si>
  <si>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</si>
  <si>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</si>
  <si>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</si>
  <si>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</si>
  <si>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</si>
  <si>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</si>
  <si>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</si>
  <si>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</si>
  <si>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</si>
  <si>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</si>
  <si>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</si>
  <si>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</si>
  <si>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</si>
  <si>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</si>
  <si>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</si>
  <si>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</si>
  <si>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</si>
  <si>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</si>
  <si>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</si>
  <si>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</si>
  <si>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</si>
  <si>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</si>
  <si>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</si>
  <si>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</si>
  <si>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</si>
  <si>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</si>
  <si>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</si>
  <si>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</si>
  <si>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</si>
  <si>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</si>
  <si>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</si>
  <si>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</si>
  <si>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</si>
  <si>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</si>
  <si>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</si>
  <si>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</si>
  <si>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</si>
  <si>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</si>
  <si>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</si>
  <si>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</si>
  <si>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</si>
  <si>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</si>
  <si>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</si>
  <si>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</si>
  <si>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</si>
  <si>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</si>
  <si>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</si>
  <si>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</si>
  <si>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</si>
  <si>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</si>
  <si>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</si>
  <si>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</si>
  <si>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</si>
  <si>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</si>
  <si>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</si>
  <si>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</si>
  <si>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</si>
  <si>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</si>
  <si>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</si>
  <si>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</si>
  <si>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</si>
  <si>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</si>
  <si>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</si>
  <si>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</si>
  <si>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</si>
  <si>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</si>
  <si>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</si>
  <si>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</si>
  <si>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</si>
  <si>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</si>
  <si>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</si>
  <si>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</si>
  <si>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</si>
  <si>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</si>
  <si>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</si>
  <si>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</si>
  <si>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</si>
  <si>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</si>
  <si>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</si>
  <si>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</si>
  <si>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</si>
  <si>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</si>
  <si>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</si>
  <si>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</si>
  <si>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</si>
  <si>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</si>
  <si>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</si>
  <si>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</si>
  <si>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</si>
  <si>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</si>
  <si>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</si>
  <si>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</si>
  <si>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</si>
  <si>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</si>
  <si>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</si>
  <si>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</si>
  <si>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</si>
  <si>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</si>
  <si>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</si>
  <si>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</si>
  <si>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</si>
  <si>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</si>
  <si>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</si>
  <si>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</si>
  <si>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</si>
  <si>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</si>
  <si>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</si>
  <si>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</si>
  <si>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</si>
  <si>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</si>
  <si>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</si>
  <si>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</si>
  <si>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</si>
  <si>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</si>
  <si>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</si>
  <si>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</si>
  <si>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</si>
  <si>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</si>
  <si>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</si>
  <si>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</si>
  <si>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</si>
  <si>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</si>
  <si>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</si>
  <si>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</si>
  <si>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</si>
  <si>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</si>
  <si>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</si>
  <si>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</si>
  <si>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</si>
  <si>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</si>
  <si>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</si>
  <si>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</si>
  <si>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</si>
  <si>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</si>
  <si>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</si>
  <si>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</si>
  <si>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</si>
  <si>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</si>
  <si>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</si>
  <si>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</si>
  <si>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</si>
  <si>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</si>
  <si>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</si>
  <si>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</si>
  <si>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</si>
  <si>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</si>
  <si>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</si>
  <si>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</si>
  <si>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</si>
  <si>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</si>
  <si>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</si>
  <si>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</si>
  <si>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</si>
  <si>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</si>
  <si>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</si>
  <si>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</si>
  <si>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</si>
  <si>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</si>
  <si>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</si>
  <si>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</si>
  <si>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</si>
  <si>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</si>
  <si>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</si>
  <si>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</si>
  <si>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</si>
  <si>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</si>
  <si>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</si>
  <si>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</si>
  <si>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</si>
  <si>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</si>
  <si>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</si>
  <si>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</si>
  <si>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</si>
  <si>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</si>
  <si>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</si>
  <si>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</si>
  <si>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</si>
  <si>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</si>
  <si>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</si>
  <si>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</si>
  <si>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</si>
  <si>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</si>
  <si>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</si>
  <si>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</si>
  <si>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</si>
  <si>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</si>
  <si>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</si>
  <si>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</si>
  <si>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</si>
  <si>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</si>
  <si>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</si>
  <si>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</si>
  <si>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</si>
  <si>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</si>
  <si>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</si>
  <si>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</si>
  <si>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</si>
  <si>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</si>
  <si>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</si>
  <si>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</si>
  <si>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</si>
  <si>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</si>
  <si>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</si>
  <si>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</si>
  <si>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</si>
  <si>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</si>
  <si>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</si>
  <si>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</si>
  <si>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</si>
  <si>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</si>
  <si>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</si>
  <si>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</si>
  <si>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</si>
  <si>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</si>
  <si>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</si>
  <si>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</si>
  <si>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</si>
  <si>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</si>
  <si>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</si>
  <si>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</si>
  <si>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</si>
  <si>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</si>
  <si>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</si>
  <si>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</si>
  <si>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</si>
  <si>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</si>
  <si>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</si>
  <si>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</si>
  <si>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</si>
  <si>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</si>
  <si>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</si>
  <si>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</si>
  <si>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</si>
  <si>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</si>
  <si>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</si>
  <si>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</si>
  <si>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</si>
  <si>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</si>
  <si>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</si>
  <si>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</si>
  <si>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</si>
  <si>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</si>
  <si>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</si>
  <si>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</si>
  <si>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</si>
  <si>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</si>
  <si>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</si>
  <si>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</si>
  <si>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</si>
  <si>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</si>
  <si>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</si>
  <si>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</si>
  <si>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</si>
  <si>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</si>
  <si>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</si>
  <si>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</si>
  <si>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</si>
  <si>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</si>
  <si>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</si>
  <si>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</si>
  <si>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</si>
  <si>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</si>
  <si>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</si>
  <si>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</si>
  <si>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</si>
  <si>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</si>
  <si>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</si>
  <si>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</si>
  <si>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</si>
  <si>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</si>
  <si>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</si>
  <si>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</si>
  <si>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</si>
  <si>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</si>
  <si>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</si>
  <si>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</si>
  <si>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</si>
  <si>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</si>
  <si>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</si>
  <si>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</si>
  <si>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</si>
  <si>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</si>
  <si>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</si>
  <si>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</si>
  <si>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</si>
  <si>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</si>
  <si>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</si>
  <si>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</si>
  <si>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</si>
  <si>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</si>
  <si>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</si>
  <si>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</si>
  <si>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</si>
  <si>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</si>
  <si>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</si>
  <si>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</si>
  <si>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</si>
  <si>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</si>
  <si>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</si>
  <si>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</si>
  <si>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</si>
  <si>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</si>
  <si>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</si>
  <si>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</si>
  <si>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</si>
  <si>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</si>
  <si>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</si>
  <si>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</si>
  <si>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</si>
  <si>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</si>
  <si>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</si>
  <si>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</si>
  <si>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</si>
  <si>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</si>
  <si>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</si>
  <si>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</si>
  <si>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</si>
  <si>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</si>
  <si>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</si>
  <si>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</si>
  <si>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</si>
  <si>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</si>
  <si>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</si>
  <si>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</si>
  <si>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</si>
  <si>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</si>
  <si>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</si>
  <si>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</si>
  <si>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</si>
  <si>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</si>
  <si>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</si>
  <si>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</si>
  <si>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</si>
  <si>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</si>
  <si>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</si>
  <si>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</si>
  <si>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</si>
  <si>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</si>
  <si>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</si>
  <si>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</si>
  <si>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</si>
  <si>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</si>
  <si>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</si>
  <si>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</si>
  <si>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</si>
  <si>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</si>
  <si>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</si>
  <si>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</si>
  <si>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</si>
  <si>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</si>
  <si>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</si>
  <si>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</si>
  <si>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</si>
  <si>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</si>
  <si>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</si>
  <si>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</si>
  <si>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</si>
  <si>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</si>
  <si>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</si>
  <si>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</si>
  <si>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</si>
  <si>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</si>
  <si>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</si>
  <si>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</si>
  <si>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</si>
  <si>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</si>
  <si>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</si>
  <si>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</si>
  <si>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</si>
  <si>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</si>
  <si>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</si>
  <si>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</si>
  <si>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</si>
  <si>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</si>
  <si>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</si>
  <si>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</si>
  <si>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</si>
  <si>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</si>
  <si>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</si>
  <si>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</si>
  <si>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</si>
  <si>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</si>
  <si>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</si>
  <si>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</si>
  <si>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</si>
  <si>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</si>
  <si>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</si>
  <si>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</si>
  <si>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</si>
  <si>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</si>
  <si>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</si>
  <si>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</si>
  <si>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</si>
  <si>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</si>
  <si>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</si>
  <si>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</si>
  <si>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</si>
  <si>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</si>
  <si>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</si>
  <si>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</si>
  <si>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</si>
  <si>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</si>
  <si>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</si>
  <si>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</si>
  <si>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</si>
  <si>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</si>
  <si>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</si>
  <si>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</si>
  <si>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</si>
  <si>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</si>
  <si>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</si>
  <si>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</si>
  <si>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</si>
  <si>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</si>
  <si>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</si>
  <si>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</si>
  <si>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</si>
  <si>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</si>
  <si>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</si>
  <si>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</si>
  <si>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</si>
  <si>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</si>
  <si>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</si>
  <si>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</si>
  <si>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</si>
  <si>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</si>
  <si>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</si>
  <si>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</si>
  <si>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</si>
  <si>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</si>
  <si>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</si>
  <si>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</si>
  <si>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</si>
  <si>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</si>
  <si>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</si>
  <si>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</si>
  <si>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</si>
  <si>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</si>
  <si>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</si>
  <si>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</si>
  <si>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</si>
  <si>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</si>
  <si>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</si>
  <si>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</si>
  <si>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</si>
  <si>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</si>
  <si>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</si>
  <si>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</si>
  <si>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</si>
  <si>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</si>
  <si>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</si>
  <si>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</si>
  <si>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</si>
  <si>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</si>
  <si>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</si>
  <si>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</si>
  <si>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</si>
  <si>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</si>
  <si>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</si>
  <si>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</si>
  <si>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</si>
  <si>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</si>
  <si>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</si>
  <si>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</si>
  <si>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</si>
  <si>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</si>
  <si>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</si>
  <si>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</si>
  <si>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</si>
  <si>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</si>
  <si>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</si>
  <si>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</si>
  <si>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</si>
  <si>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</si>
  <si>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</si>
  <si>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</si>
  <si>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</si>
  <si>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</si>
  <si>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</si>
  <si>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</si>
  <si>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</si>
  <si>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</si>
  <si>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</si>
  <si>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</si>
  <si>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</si>
  <si>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</si>
  <si>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</si>
  <si>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</si>
  <si>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</si>
  <si>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</si>
  <si>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</si>
  <si>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</si>
  <si>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</si>
  <si>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</si>
  <si>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</si>
  <si>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</si>
  <si>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</si>
  <si>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</si>
  <si>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</si>
  <si>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</si>
  <si>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</si>
  <si>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</si>
  <si>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</si>
  <si>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</si>
  <si>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</si>
  <si>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</si>
  <si>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</si>
  <si>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</si>
  <si>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</si>
  <si>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</si>
  <si>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</si>
  <si>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</si>
  <si>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</si>
  <si>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</si>
  <si>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</si>
  <si>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</si>
  <si>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</si>
  <si>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</si>
  <si>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</si>
  <si>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</si>
  <si>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</si>
  <si>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</si>
  <si>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</si>
  <si>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</si>
  <si>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</si>
  <si>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</si>
  <si>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</si>
  <si>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</si>
  <si>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</si>
  <si>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</si>
  <si>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</si>
  <si>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</si>
  <si>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</si>
  <si>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</si>
  <si>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</si>
  <si>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</si>
  <si>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</si>
  <si>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</si>
  <si>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</si>
  <si>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</si>
  <si>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</si>
  <si>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</si>
  <si>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</si>
  <si>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</si>
  <si>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</si>
  <si>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</si>
  <si>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</si>
  <si>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</si>
  <si>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</si>
  <si>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</si>
  <si>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</si>
  <si>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</si>
  <si>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</si>
  <si>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</si>
  <si>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</si>
  <si>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</si>
  <si>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</si>
  <si>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</si>
  <si>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</si>
  <si>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</si>
  <si>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</si>
  <si>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</si>
  <si>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</si>
  <si>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</si>
  <si>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</si>
  <si>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</si>
  <si>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</si>
  <si>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</si>
  <si>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</si>
  <si>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</si>
  <si>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</si>
  <si>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</si>
  <si>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</si>
  <si>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</si>
  <si>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</si>
  <si>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</si>
  <si>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</si>
  <si>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</si>
  <si>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</si>
  <si>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</si>
  <si>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</si>
  <si>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</si>
  <si>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</si>
  <si>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</si>
  <si>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</si>
  <si>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</si>
  <si>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</si>
  <si>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</si>
  <si>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</si>
  <si>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</si>
  <si>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</si>
  <si>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</si>
  <si>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</si>
  <si>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</si>
  <si>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</si>
  <si>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</si>
  <si>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</si>
  <si>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</si>
  <si>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</si>
  <si>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</si>
  <si>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</si>
  <si>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</si>
  <si>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</si>
  <si>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</si>
  <si>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</si>
  <si>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</si>
  <si>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</si>
  <si>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</si>
  <si>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</si>
  <si>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</si>
  <si>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</si>
  <si>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</si>
  <si>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</si>
  <si>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</si>
  <si>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</si>
  <si>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</si>
  <si>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</si>
  <si>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</si>
  <si>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</si>
  <si>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</si>
  <si>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</si>
  <si>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</si>
  <si>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</si>
  <si>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</si>
  <si>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</si>
  <si>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</si>
  <si>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</si>
  <si>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</si>
  <si>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</si>
  <si>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</si>
  <si>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</si>
  <si>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</si>
  <si>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</si>
  <si>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</si>
  <si>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</si>
  <si>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</si>
  <si>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</si>
  <si>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</si>
  <si>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</si>
  <si>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</si>
  <si>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</si>
  <si>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</si>
  <si>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</si>
  <si>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</si>
  <si>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</si>
  <si>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</si>
  <si>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</si>
  <si>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</si>
  <si>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</si>
  <si>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</si>
  <si>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</si>
  <si>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</si>
  <si>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</si>
  <si>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</si>
  <si>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</si>
  <si>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</si>
  <si>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</si>
  <si>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</si>
  <si>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</si>
  <si>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</si>
  <si>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</si>
  <si>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</si>
  <si>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</si>
  <si>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</si>
  <si>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</si>
  <si>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</si>
  <si>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</si>
  <si>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</si>
  <si>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</si>
  <si>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</si>
  <si>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</si>
  <si>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</si>
  <si>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</si>
  <si>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</si>
  <si>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</si>
  <si>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</si>
  <si>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</si>
  <si>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</si>
  <si>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</si>
  <si>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</si>
  <si>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</si>
  <si>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</si>
  <si>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</si>
  <si>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</si>
  <si>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</si>
  <si>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</si>
  <si>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</si>
  <si>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</si>
  <si>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</si>
  <si>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</si>
  <si>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</si>
  <si>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</si>
  <si>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</si>
  <si>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</si>
  <si>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</si>
  <si>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</si>
  <si>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</si>
  <si>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</si>
  <si>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</si>
  <si>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</si>
  <si>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</si>
  <si>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</si>
  <si>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</si>
  <si>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</si>
  <si>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</si>
  <si>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</si>
  <si>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</si>
  <si>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</si>
  <si>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</si>
  <si>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</si>
  <si>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</si>
  <si>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</si>
  <si>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</si>
  <si>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</si>
  <si>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</si>
  <si>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</si>
  <si>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</si>
  <si>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</si>
  <si>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</si>
  <si>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</si>
  <si>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</si>
  <si>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</si>
  <si>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</si>
  <si>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</si>
  <si>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</si>
  <si>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</si>
  <si>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</si>
  <si>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</si>
  <si>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</si>
  <si>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</si>
  <si>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</si>
  <si>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</si>
  <si>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</si>
  <si>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</si>
  <si>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</si>
  <si>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</si>
  <si>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</si>
  <si>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</si>
  <si>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</si>
  <si>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</si>
  <si>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</si>
  <si>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</si>
  <si>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</si>
  <si>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</si>
  <si>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</si>
  <si>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</si>
  <si>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</si>
  <si>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</si>
  <si>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</si>
  <si>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</si>
  <si>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</si>
  <si>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</si>
  <si>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</si>
  <si>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</si>
  <si>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</si>
  <si>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</si>
  <si>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</si>
  <si>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</si>
  <si>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</si>
  <si>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</si>
  <si>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</si>
  <si>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</si>
  <si>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</si>
  <si>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</si>
  <si>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</si>
  <si>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</si>
  <si>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</si>
  <si>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</si>
  <si>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</si>
  <si>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</si>
  <si>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</si>
  <si>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</si>
  <si>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</si>
  <si>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</si>
  <si>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</si>
  <si>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</si>
  <si>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</si>
  <si>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</si>
  <si>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</si>
  <si>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</si>
  <si>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</si>
  <si>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</si>
  <si>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</si>
  <si>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</si>
  <si>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</si>
  <si>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</si>
  <si>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</si>
  <si>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</si>
  <si>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</si>
  <si>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</si>
  <si>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</si>
  <si>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</si>
  <si>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</si>
  <si>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</si>
  <si>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</si>
  <si>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</si>
  <si>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</si>
  <si>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</si>
  <si>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</si>
  <si>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</si>
  <si>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</si>
  <si>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</si>
  <si>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</si>
  <si>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</si>
  <si>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</si>
  <si>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</si>
  <si>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</si>
  <si>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</si>
  <si>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</si>
  <si>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</si>
  <si>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</si>
  <si>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</si>
  <si>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</si>
  <si>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</si>
  <si>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</si>
  <si>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</si>
  <si>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</si>
  <si>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</si>
  <si>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</si>
  <si>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</si>
  <si>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</si>
  <si>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</si>
  <si>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</si>
  <si>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</si>
  <si>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</si>
  <si>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</si>
  <si>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</si>
  <si>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</si>
  <si>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</si>
  <si>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</si>
  <si>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</si>
  <si>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</si>
  <si>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</si>
  <si>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</si>
  <si>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</si>
  <si>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</si>
  <si>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</si>
  <si>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</si>
  <si>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</si>
  <si>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</si>
  <si>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</si>
  <si>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</si>
  <si>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</si>
  <si>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</si>
  <si>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</si>
  <si>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</si>
  <si>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</si>
  <si>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</si>
  <si>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</si>
  <si>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</si>
  <si>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</si>
  <si>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</si>
  <si>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</si>
  <si>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</si>
  <si>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</si>
  <si>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</si>
  <si>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</si>
  <si>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</si>
  <si>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</si>
  <si>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</si>
  <si>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</si>
  <si>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</si>
  <si>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</si>
  <si>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</si>
  <si>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</si>
  <si>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</si>
  <si>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</si>
  <si>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</si>
  <si>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</si>
  <si>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</si>
  <si>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</si>
  <si>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</si>
  <si>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</si>
  <si>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</si>
  <si>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</si>
  <si>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</si>
  <si>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</si>
  <si>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</si>
  <si>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</si>
  <si>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</si>
  <si>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</si>
  <si>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</si>
  <si>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</si>
  <si>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</si>
  <si>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</si>
  <si>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</si>
  <si>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</si>
  <si>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</si>
  <si>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</si>
  <si>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</si>
  <si>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</si>
  <si>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</si>
  <si>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</si>
  <si>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</si>
  <si>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</si>
  <si>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</si>
  <si>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</si>
  <si>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</si>
  <si>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</si>
  <si>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</si>
  <si>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</si>
  <si>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</si>
  <si>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</si>
  <si>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</si>
  <si>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</si>
  <si>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</si>
  <si>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</si>
  <si>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</si>
  <si>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</si>
  <si>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</si>
  <si>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</si>
  <si>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</si>
  <si>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</si>
  <si>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</si>
  <si>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</si>
  <si>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</si>
  <si>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</si>
  <si>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</si>
  <si>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</si>
  <si>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</si>
  <si>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</si>
  <si>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</si>
  <si>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</si>
  <si>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</si>
  <si>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</si>
  <si>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</si>
  <si>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</si>
  <si>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</si>
  <si>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</si>
  <si>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</si>
  <si>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</si>
  <si>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</si>
  <si>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</si>
  <si>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</si>
  <si>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</si>
  <si>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</si>
  <si>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</si>
  <si>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</si>
  <si>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</si>
  <si>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</si>
  <si>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</si>
  <si>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</si>
  <si>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</si>
  <si>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</si>
  <si>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</si>
  <si>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</si>
  <si>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</si>
  <si>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</si>
  <si>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</si>
  <si>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</si>
  <si>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</si>
  <si>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</si>
  <si>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</si>
  <si>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</si>
  <si>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</si>
  <si>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</si>
  <si>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</si>
  <si>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</si>
  <si>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</si>
  <si>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</si>
  <si>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</si>
  <si>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</si>
  <si>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</si>
  <si>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</si>
  <si>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</si>
  <si>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</si>
  <si>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</si>
  <si>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</si>
  <si>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</si>
  <si>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</si>
  <si>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</si>
  <si>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</si>
  <si>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</si>
  <si>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</si>
  <si>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</si>
  <si>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</si>
  <si>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</si>
  <si>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</si>
  <si>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</si>
  <si>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</si>
  <si>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</si>
  <si>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</si>
  <si>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</si>
  <si>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</si>
  <si>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</si>
  <si>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</si>
  <si>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</si>
  <si>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</si>
  <si>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</si>
  <si>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</si>
  <si>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</si>
  <si>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</si>
  <si>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</si>
  <si>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</si>
  <si>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</si>
  <si>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</si>
  <si>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</si>
  <si>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</si>
  <si>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</si>
  <si>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</si>
  <si>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</si>
  <si>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</si>
  <si>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</si>
  <si>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</si>
  <si>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</si>
  <si>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</si>
  <si>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</si>
  <si>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</si>
  <si>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</si>
  <si>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</si>
  <si>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</si>
  <si>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</si>
  <si>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</si>
  <si>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</si>
  <si>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</si>
  <si>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</si>
  <si>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</si>
  <si>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</si>
  <si>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</si>
  <si>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</si>
  <si>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</si>
  <si>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</si>
  <si>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</si>
  <si>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</si>
  <si>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</si>
  <si>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</si>
  <si>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</si>
  <si>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</si>
  <si>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</si>
  <si>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</si>
  <si>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</si>
  <si>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</si>
  <si>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</si>
  <si>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</si>
  <si>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</si>
  <si>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</si>
  <si>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</si>
  <si>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</si>
  <si>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</si>
  <si>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</si>
  <si>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</si>
  <si>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</si>
  <si>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</si>
  <si>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</si>
  <si>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</si>
  <si>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</si>
  <si>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</si>
  <si>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</si>
  <si>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</si>
  <si>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</si>
  <si>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</si>
  <si>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</si>
  <si>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</si>
  <si>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</si>
  <si>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</si>
  <si>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</si>
  <si>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</si>
  <si>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</si>
  <si>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</si>
  <si>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</si>
  <si>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</si>
  <si>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</si>
  <si>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</si>
  <si>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</si>
  <si>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</si>
  <si>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</si>
  <si>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</si>
  <si>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</si>
  <si>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</si>
  <si>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</si>
  <si>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</si>
  <si>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</si>
  <si>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</si>
  <si>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</si>
  <si>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</si>
  <si>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</si>
  <si>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</si>
  <si>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</si>
  <si>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</si>
  <si>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</si>
  <si>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</si>
  <si>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</si>
  <si>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</si>
  <si>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</si>
  <si>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</si>
  <si>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</si>
  <si>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</si>
  <si>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</si>
  <si>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</si>
  <si>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</si>
  <si>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</si>
  <si>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</si>
  <si>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</si>
  <si>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</si>
  <si>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</si>
  <si>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</si>
  <si>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</si>
  <si>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</si>
  <si>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</si>
  <si>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</si>
  <si>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</si>
  <si>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</si>
  <si>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</si>
  <si>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</si>
  <si>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</si>
  <si>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</si>
  <si>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</si>
  <si>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</si>
  <si>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</si>
  <si>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</si>
  <si>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</si>
  <si>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</si>
  <si>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</si>
  <si>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</si>
  <si>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</si>
  <si>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</si>
  <si>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</si>
  <si>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</si>
  <si>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</si>
  <si>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</si>
  <si>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</si>
  <si>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</si>
  <si>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</si>
  <si>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</si>
  <si>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</si>
  <si>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</si>
  <si>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</si>
  <si>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</si>
  <si>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</si>
  <si>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</si>
  <si>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</si>
  <si>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</si>
  <si>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</si>
  <si>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</si>
  <si>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</si>
  <si>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</si>
  <si>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</si>
  <si>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</si>
  <si>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</si>
  <si>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</si>
  <si>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</si>
  <si>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</si>
  <si>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</si>
  <si>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</si>
  <si>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</si>
  <si>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</si>
  <si>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</si>
  <si>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</si>
  <si>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</si>
  <si>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</si>
  <si>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</si>
  <si>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</si>
  <si>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</si>
  <si>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</si>
  <si>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</si>
  <si>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</si>
  <si>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</si>
  <si>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</si>
  <si>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</si>
  <si>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</si>
  <si>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</si>
  <si>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</si>
  <si>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</si>
  <si>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</si>
  <si>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</si>
  <si>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</si>
  <si>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</si>
  <si>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</si>
  <si>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</si>
  <si>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</si>
  <si>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</si>
  <si>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</si>
  <si>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</si>
  <si>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</si>
  <si>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</si>
  <si>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</si>
  <si>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</si>
  <si>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</si>
  <si>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</si>
  <si>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</si>
  <si>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</si>
  <si>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</si>
  <si>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</si>
  <si>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</si>
  <si>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</si>
  <si>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</si>
  <si>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</si>
  <si>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</si>
  <si>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</si>
  <si>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</si>
  <si>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</si>
  <si>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</si>
  <si>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</si>
  <si>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</si>
  <si>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</si>
  <si>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</si>
  <si>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</si>
  <si>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</si>
  <si>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</si>
  <si>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</si>
  <si>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</si>
  <si>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</si>
  <si>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</si>
  <si>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</si>
  <si>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</si>
  <si>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</si>
  <si>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</si>
  <si>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</si>
  <si>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</si>
  <si>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</si>
  <si>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</si>
  <si>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</si>
  <si>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</si>
  <si>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</si>
  <si>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</si>
  <si>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</si>
  <si>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</si>
  <si>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</si>
  <si>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</si>
  <si>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</si>
  <si>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</si>
  <si>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</si>
  <si>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</si>
  <si>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</si>
  <si>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</si>
  <si>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</si>
  <si>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</si>
  <si>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</si>
  <si>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</si>
  <si>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</si>
  <si>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</si>
  <si>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</si>
  <si>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</si>
  <si>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</si>
  <si>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</si>
  <si>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</si>
  <si>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</si>
  <si>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</si>
  <si>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</si>
  <si>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</si>
  <si>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</si>
  <si>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</si>
  <si>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</si>
  <si>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</si>
  <si>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</si>
  <si>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</si>
  <si>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</si>
  <si>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</si>
  <si>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</si>
  <si>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</si>
  <si>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</si>
  <si>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</si>
  <si>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</si>
  <si>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</si>
  <si>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</si>
  <si>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</si>
  <si>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</si>
  <si>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</si>
  <si>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</si>
  <si>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</si>
  <si>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</si>
  <si>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</si>
  <si>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</si>
  <si>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</si>
  <si>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</si>
  <si>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</si>
  <si>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</si>
  <si>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</si>
  <si>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</si>
  <si>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</si>
  <si>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</si>
  <si>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</si>
  <si>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</si>
  <si>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</si>
  <si>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</si>
  <si>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</si>
  <si>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</si>
  <si>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</si>
  <si>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</si>
  <si>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</si>
  <si>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</si>
  <si>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</si>
  <si>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</si>
  <si>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</si>
  <si>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</si>
  <si>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</si>
  <si>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</si>
  <si>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</si>
  <si>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</si>
  <si>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</si>
  <si>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</si>
  <si>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</si>
  <si>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</si>
  <si>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</si>
  <si>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</si>
  <si>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</si>
  <si>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</si>
  <si>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</si>
  <si>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</si>
  <si>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</si>
  <si>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</si>
  <si>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</si>
  <si>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</si>
  <si>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</si>
  <si>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</si>
  <si>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</si>
  <si>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</si>
  <si>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</si>
  <si>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</si>
  <si>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</si>
  <si>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</si>
  <si>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</si>
  <si>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</si>
  <si>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</si>
  <si>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</si>
  <si>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</si>
  <si>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</si>
  <si>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</si>
  <si>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</si>
  <si>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</si>
  <si>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</si>
  <si>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</si>
  <si>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</si>
  <si>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</si>
  <si>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</si>
  <si>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</si>
  <si>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</si>
  <si>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</si>
  <si>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</si>
  <si>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</si>
  <si>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</si>
  <si>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</si>
  <si>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</si>
  <si>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</si>
  <si>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</si>
  <si>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</si>
  <si>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</si>
  <si>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</si>
  <si>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</si>
  <si>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</si>
  <si>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</si>
  <si>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</si>
  <si>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</si>
  <si>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</si>
  <si>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</si>
  <si>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</si>
  <si>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</si>
  <si>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</si>
  <si>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</si>
  <si>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</si>
  <si>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</si>
  <si>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</si>
  <si>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</si>
  <si>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</si>
  <si>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</si>
  <si>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</si>
  <si>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</si>
  <si>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</si>
  <si>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</si>
  <si>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</si>
  <si>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</si>
  <si>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</si>
  <si>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</si>
  <si>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</si>
  <si>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</si>
  <si>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</si>
  <si>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</si>
  <si>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</si>
  <si>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</si>
  <si>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</si>
  <si>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</si>
  <si>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</si>
  <si>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</si>
  <si>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</si>
  <si>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</si>
  <si>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</si>
  <si>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</si>
  <si>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</si>
  <si>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</si>
  <si>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</si>
  <si>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</si>
  <si>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</si>
  <si>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</si>
  <si>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</si>
  <si>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</si>
  <si>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</si>
  <si>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</si>
  <si>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</si>
  <si>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</si>
  <si>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</si>
  <si>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</si>
  <si>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</si>
  <si>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</si>
  <si>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</si>
  <si>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</si>
  <si>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</si>
  <si>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</si>
  <si>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</si>
  <si>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</si>
  <si>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</si>
  <si>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</si>
  <si>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</si>
  <si>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</si>
  <si>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</si>
  <si>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</si>
  <si>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</si>
  <si>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</si>
  <si>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</si>
  <si>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</si>
  <si>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</si>
  <si>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</si>
  <si>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</si>
  <si>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</si>
  <si>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</si>
  <si>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</si>
  <si>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</si>
  <si>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</si>
  <si>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</si>
  <si>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</si>
  <si>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</si>
  <si>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</si>
  <si>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</si>
  <si>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</si>
  <si>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</si>
  <si>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</si>
  <si>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</si>
  <si>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</si>
  <si>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</si>
  <si>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</si>
  <si>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</si>
  <si>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</si>
  <si>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</si>
  <si>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</si>
  <si>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</si>
  <si>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</si>
  <si>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</si>
  <si>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</si>
  <si>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</si>
  <si>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</si>
  <si>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</si>
  <si>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</si>
  <si>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</si>
  <si>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</si>
  <si>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</si>
  <si>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</si>
  <si>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</si>
  <si>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</si>
  <si>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</si>
  <si>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</si>
  <si>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</si>
  <si>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</si>
  <si>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</si>
  <si>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</si>
  <si>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</si>
  <si>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</si>
  <si>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</si>
  <si>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</si>
  <si>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</si>
  <si>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</si>
  <si>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</si>
  <si>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</si>
  <si>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</si>
  <si>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</si>
  <si>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</si>
  <si>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</si>
  <si>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</si>
  <si>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</si>
  <si>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</si>
  <si>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</si>
  <si>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</si>
  <si>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</si>
  <si>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</si>
  <si>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</si>
  <si>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</si>
  <si>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</si>
  <si>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</si>
  <si>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</si>
  <si>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</si>
  <si>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</si>
  <si>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</si>
  <si>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</si>
  <si>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</si>
  <si>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</si>
  <si>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</si>
  <si>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</si>
  <si>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</si>
  <si>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</si>
  <si>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</si>
  <si>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</si>
  <si>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</si>
  <si>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</si>
  <si>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</si>
  <si>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</si>
  <si>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</si>
  <si>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</si>
  <si>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</si>
  <si>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</si>
  <si>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</si>
  <si>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</si>
  <si>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</si>
  <si>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</si>
  <si>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</si>
  <si>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</si>
  <si>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</si>
  <si>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</si>
  <si>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</si>
  <si>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</si>
  <si>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</si>
  <si>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</si>
  <si>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</si>
  <si>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</si>
  <si>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</si>
  <si>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</si>
  <si>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</si>
  <si>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</si>
  <si>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</si>
  <si>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</si>
  <si>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</si>
  <si>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</si>
  <si>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</si>
  <si>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</si>
  <si>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</si>
  <si>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</si>
  <si>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</si>
  <si>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</si>
  <si>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</si>
  <si>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</si>
  <si>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</si>
  <si>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</si>
  <si>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</si>
  <si>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</si>
  <si>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</si>
  <si>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</si>
  <si>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</si>
  <si>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</si>
  <si>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</si>
  <si>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</si>
  <si>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</si>
  <si>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</si>
  <si>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</si>
  <si>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</si>
  <si>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</si>
  <si>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</si>
  <si>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</si>
  <si>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</si>
  <si>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</si>
  <si>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</si>
  <si>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</si>
  <si>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</si>
  <si>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</si>
  <si>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</si>
  <si>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</si>
  <si>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</si>
  <si>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</si>
  <si>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</si>
  <si>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</si>
  <si>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</si>
  <si>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</si>
  <si>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</si>
  <si>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</si>
  <si>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</si>
  <si>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</si>
  <si>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</si>
  <si>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</si>
  <si>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</si>
  <si>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</si>
  <si>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</si>
  <si>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</si>
  <si>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</si>
  <si>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</si>
  <si>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</si>
  <si>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</si>
  <si>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</si>
  <si>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</si>
  <si>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</si>
  <si>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</si>
  <si>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</si>
  <si>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</si>
  <si>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</si>
  <si>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</si>
  <si>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</si>
  <si>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</si>
  <si>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</si>
  <si>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</si>
  <si>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</si>
  <si>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</si>
  <si>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</si>
  <si>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</si>
  <si>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</si>
  <si>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</si>
  <si>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</si>
  <si>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</si>
  <si>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</si>
  <si>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</si>
  <si>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</si>
  <si>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</si>
  <si>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</si>
  <si>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</si>
  <si>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</si>
  <si>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</si>
  <si>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</si>
  <si>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</si>
  <si>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</si>
  <si>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</si>
  <si>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</si>
  <si>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</si>
  <si>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</si>
  <si>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</si>
  <si>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</si>
  <si>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</si>
  <si>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</si>
  <si>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</si>
  <si>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</si>
  <si>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</si>
  <si>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</si>
  <si>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</si>
  <si>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</si>
  <si>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</si>
  <si>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</si>
  <si>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</si>
  <si>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</si>
  <si>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</si>
  <si>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</si>
  <si>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</si>
  <si>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</si>
  <si>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</si>
  <si>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</si>
  <si>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</si>
  <si>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</si>
  <si>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</si>
  <si>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</si>
  <si>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</si>
  <si>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</si>
  <si>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</si>
  <si>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</si>
  <si>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</si>
  <si>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</si>
  <si>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</si>
  <si>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</si>
  <si>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</si>
  <si>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</si>
  <si>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</si>
  <si>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</si>
  <si>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</si>
  <si>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</si>
  <si>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</si>
  <si>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</si>
  <si>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</si>
  <si>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</si>
  <si>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</si>
  <si>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</si>
  <si>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</si>
  <si>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</si>
  <si>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</si>
  <si>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</si>
  <si>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</si>
  <si>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</si>
  <si>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</si>
  <si>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</si>
  <si>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</si>
  <si>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</si>
  <si>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</si>
  <si>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</si>
  <si>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</si>
  <si>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</si>
  <si>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</si>
  <si>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</si>
  <si>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</si>
  <si>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</si>
  <si>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</si>
  <si>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</si>
  <si>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</si>
  <si>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</si>
  <si>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</si>
  <si>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</si>
  <si>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</si>
  <si>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</si>
  <si>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</si>
  <si>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</si>
  <si>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</si>
  <si>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</si>
  <si>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</si>
  <si>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</si>
  <si>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</si>
  <si>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</si>
  <si>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</si>
  <si>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</si>
  <si>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</si>
  <si>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</si>
  <si>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</si>
  <si>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</si>
  <si>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</si>
  <si>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</si>
  <si>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</si>
  <si>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</si>
  <si>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</si>
  <si>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</si>
  <si>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</si>
  <si>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</si>
  <si>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</si>
  <si>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</si>
  <si>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</si>
  <si>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</si>
  <si>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</si>
  <si>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</si>
  <si>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</si>
  <si>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</si>
  <si>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</si>
  <si>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</si>
  <si>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</si>
  <si>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</si>
  <si>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</si>
  <si>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</si>
  <si>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</si>
  <si>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</si>
  <si>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</si>
  <si>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</si>
  <si>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</si>
  <si>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</si>
  <si>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</si>
  <si>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</si>
  <si>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</si>
  <si>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</si>
  <si>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</si>
  <si>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</si>
  <si>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</si>
  <si>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</si>
  <si>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</si>
  <si>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</si>
  <si>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</si>
  <si>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</si>
  <si>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</si>
  <si>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</si>
  <si>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</si>
  <si>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</si>
  <si>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</si>
  <si>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</si>
  <si>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</si>
  <si>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</si>
  <si>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</si>
  <si>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</si>
  <si>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</si>
  <si>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</si>
  <si>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</si>
  <si>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</si>
  <si>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</si>
  <si>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</si>
  <si>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</si>
  <si>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</si>
  <si>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</si>
  <si>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</si>
  <si>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</si>
  <si>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</si>
  <si>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</si>
  <si>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</si>
  <si>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</si>
  <si>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</si>
  <si>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</si>
  <si>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</si>
  <si>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</si>
  <si>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</si>
  <si>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</si>
  <si>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</si>
  <si>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</si>
  <si>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</si>
  <si>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</si>
  <si>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</si>
  <si>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</si>
  <si>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</si>
  <si>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</si>
  <si>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</si>
  <si>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</si>
  <si>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</si>
  <si>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</si>
  <si>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</si>
  <si>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</si>
  <si>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</si>
  <si>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</si>
  <si>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</si>
  <si>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</si>
  <si>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</si>
  <si>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</si>
  <si>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</si>
  <si>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</si>
  <si>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</si>
  <si>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</si>
  <si>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</si>
  <si>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</si>
  <si>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</si>
  <si>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</si>
  <si>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</si>
  <si>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</si>
  <si>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</si>
  <si>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</si>
  <si>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</si>
  <si>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</si>
  <si>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</si>
  <si>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</si>
  <si>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</si>
  <si>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</si>
  <si>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</si>
  <si>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</si>
  <si>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</si>
  <si>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</si>
  <si>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</si>
  <si>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</si>
  <si>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</si>
  <si>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</si>
  <si>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</si>
  <si>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</si>
  <si>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</si>
  <si>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</si>
  <si>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</si>
  <si>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</si>
  <si>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</si>
  <si>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</si>
  <si>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</si>
  <si>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</si>
  <si>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</si>
  <si>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</si>
  <si>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</si>
  <si>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</si>
  <si>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</si>
  <si>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</si>
  <si>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</si>
  <si>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</si>
  <si>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</si>
  <si>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</si>
  <si>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</si>
  <si>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</si>
  <si>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</si>
  <si>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</si>
  <si>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</si>
  <si>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</si>
  <si>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</si>
  <si>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</si>
  <si>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</si>
  <si>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</si>
  <si>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</si>
  <si>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</si>
  <si>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</si>
  <si>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</si>
  <si>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</si>
  <si>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</si>
  <si>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</si>
  <si>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</si>
  <si>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</si>
  <si>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</si>
  <si>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</si>
  <si>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</si>
  <si>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</si>
  <si>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</si>
  <si>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</si>
  <si>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</si>
  <si>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</si>
  <si>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</si>
  <si>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</si>
  <si>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</si>
  <si>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</si>
  <si>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</si>
  <si>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</si>
  <si>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</si>
  <si>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</si>
  <si>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</si>
  <si>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</si>
  <si>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</si>
  <si>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</si>
  <si>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</si>
  <si>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</si>
  <si>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</si>
  <si>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</si>
  <si>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</si>
  <si>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</si>
  <si>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</si>
  <si>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</si>
  <si>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</si>
  <si>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</si>
  <si>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</si>
  <si>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</si>
  <si>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</si>
  <si>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</si>
  <si>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</si>
  <si>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</si>
  <si>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</si>
  <si>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</si>
  <si>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</si>
  <si>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</si>
  <si>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</si>
  <si>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</si>
  <si>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</si>
  <si>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</si>
  <si>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</si>
  <si>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</si>
  <si>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</si>
  <si>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</si>
  <si>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</si>
  <si>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</si>
  <si>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</si>
  <si>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</si>
  <si>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</si>
  <si>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</si>
  <si>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</si>
  <si>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</si>
  <si>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</si>
  <si>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</si>
  <si>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</si>
  <si>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</si>
  <si>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</si>
  <si>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</si>
  <si>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</si>
  <si>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</si>
  <si>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</si>
  <si>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</si>
  <si>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</si>
  <si>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</si>
  <si>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</si>
  <si>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</si>
  <si>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</si>
  <si>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</si>
  <si>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</si>
  <si>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</si>
  <si>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</si>
  <si>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</si>
  <si>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</si>
  <si>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</si>
  <si>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</si>
  <si>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</si>
  <si>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</si>
  <si>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</si>
  <si>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</si>
  <si>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</si>
  <si>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</si>
  <si>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</si>
  <si>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</si>
  <si>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</si>
  <si>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</si>
  <si>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</si>
  <si>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</si>
  <si>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</si>
  <si>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</si>
  <si>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</si>
  <si>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</si>
  <si>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</si>
  <si>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</si>
  <si>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</si>
  <si>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</si>
  <si>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</si>
  <si>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</si>
  <si>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</si>
  <si>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</si>
  <si>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</si>
  <si>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</si>
  <si>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</si>
  <si>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</si>
  <si>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</si>
  <si>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</si>
  <si>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</si>
  <si>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</si>
  <si>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</si>
  <si>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</si>
  <si>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</si>
  <si>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</si>
  <si>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</si>
  <si>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</si>
  <si>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</si>
  <si>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</si>
  <si>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</si>
  <si>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</si>
  <si>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</si>
  <si>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</si>
  <si>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</si>
  <si>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</si>
  <si>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</si>
  <si>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</si>
  <si>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</si>
  <si>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</si>
  <si>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</si>
  <si>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</si>
  <si>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</si>
  <si>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</si>
  <si>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</si>
  <si>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</si>
  <si>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</si>
  <si>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</si>
  <si>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</si>
  <si>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</si>
  <si>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</si>
  <si>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</si>
  <si>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</si>
  <si>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</si>
  <si>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</si>
  <si>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</si>
  <si>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</si>
  <si>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</si>
  <si>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</si>
  <si>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</si>
  <si>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</si>
  <si>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</si>
  <si>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</si>
  <si>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</si>
  <si>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</si>
  <si>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</si>
  <si>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</si>
  <si>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</si>
  <si>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</si>
  <si>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</si>
  <si>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</si>
  <si>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</si>
  <si>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</si>
  <si>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</si>
  <si>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</si>
  <si>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</si>
  <si>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</si>
  <si>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</si>
  <si>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</si>
  <si>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</si>
  <si>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</si>
  <si>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</si>
  <si>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</si>
  <si>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</si>
  <si>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</si>
  <si>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</si>
  <si>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</si>
  <si>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</si>
  <si>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</si>
  <si>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</si>
  <si>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</si>
  <si>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</si>
  <si>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</si>
  <si>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</si>
  <si>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</si>
  <si>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</si>
  <si>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</si>
  <si>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</si>
  <si>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</si>
  <si>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</si>
  <si>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</si>
  <si>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</si>
  <si>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</si>
  <si>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</si>
  <si>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</si>
  <si>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</si>
  <si>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</si>
  <si>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</si>
  <si>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</si>
  <si>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</si>
  <si>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</si>
  <si>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</si>
  <si>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</si>
  <si>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</si>
  <si>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</si>
  <si>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</si>
  <si>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</si>
  <si>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</si>
  <si>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</si>
  <si>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</si>
  <si>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</si>
  <si>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</si>
  <si>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</si>
  <si>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</si>
  <si>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</si>
  <si>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</si>
  <si>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</si>
  <si>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</si>
  <si>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</si>
  <si>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</si>
  <si>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</si>
  <si>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</si>
  <si>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</si>
  <si>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</si>
  <si>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</si>
  <si>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</si>
  <si>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</si>
  <si>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</si>
  <si>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</si>
  <si>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</si>
  <si>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</si>
  <si>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</si>
  <si>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</si>
  <si>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</si>
  <si>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</si>
  <si>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</si>
  <si>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</si>
  <si>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</si>
  <si>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</si>
  <si>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</si>
  <si>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</si>
  <si>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</si>
  <si>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</si>
  <si>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</si>
  <si>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</si>
  <si>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</si>
  <si>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</si>
  <si>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</si>
  <si>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</si>
  <si>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</si>
  <si>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</si>
  <si>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</si>
  <si>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</si>
  <si>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</si>
  <si>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</si>
  <si>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</si>
  <si>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</si>
  <si>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</si>
  <si>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</si>
  <si>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</si>
  <si>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</si>
  <si>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</si>
  <si>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</si>
  <si>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</si>
  <si>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</si>
  <si>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</si>
  <si>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</si>
  <si>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</si>
  <si>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</si>
  <si>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</si>
  <si>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</si>
  <si>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</si>
  <si>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</si>
  <si>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</si>
  <si>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</si>
  <si>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</si>
  <si>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</si>
  <si>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</si>
  <si>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</si>
  <si>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</si>
  <si>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</si>
  <si>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</si>
  <si>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</si>
  <si>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</si>
  <si>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</si>
  <si>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</si>
  <si>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</si>
  <si>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</si>
  <si>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</si>
  <si>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</si>
  <si>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</si>
  <si>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</si>
  <si>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</si>
  <si>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</si>
  <si>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</si>
  <si>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</si>
  <si>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</si>
  <si>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</si>
  <si>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</si>
  <si>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</si>
  <si>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</si>
  <si>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</si>
  <si>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</si>
  <si>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</si>
  <si>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</si>
  <si>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</si>
  <si>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</si>
  <si>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</si>
  <si>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</si>
  <si>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</si>
  <si>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</si>
  <si>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</si>
  <si>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</si>
  <si>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</si>
  <si>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</si>
  <si>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</si>
  <si>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</si>
  <si>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</si>
  <si>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</si>
  <si>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</si>
  <si>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</si>
  <si>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</si>
  <si>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</si>
  <si>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</si>
  <si>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</si>
  <si>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</si>
  <si>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</si>
  <si>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</si>
  <si>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</si>
  <si>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</si>
  <si>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</si>
  <si>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</si>
  <si>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</si>
  <si>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</si>
  <si>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</si>
  <si>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</si>
  <si>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</si>
  <si>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</si>
  <si>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</si>
  <si>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</si>
  <si>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</si>
  <si>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</si>
  <si>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</si>
  <si>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</si>
  <si>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</si>
  <si>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</si>
  <si>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</si>
  <si>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</si>
  <si>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</si>
  <si>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</si>
  <si>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</si>
  <si>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</si>
  <si>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</si>
  <si>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</si>
  <si>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</si>
  <si>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</si>
  <si>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</si>
  <si>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</si>
  <si>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</si>
  <si>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</si>
  <si>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</si>
  <si>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</si>
  <si>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</si>
  <si>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</si>
  <si>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</si>
  <si>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</si>
  <si>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</si>
  <si>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</si>
  <si>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</si>
  <si>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</si>
  <si>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</si>
  <si>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</si>
  <si>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</si>
  <si>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</si>
  <si>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</si>
  <si>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</si>
  <si>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</si>
  <si>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</si>
  <si>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</si>
  <si>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</si>
  <si>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</si>
  <si>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</si>
  <si>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</si>
  <si>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</si>
  <si>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</si>
  <si>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</si>
  <si>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</si>
  <si>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</si>
  <si>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</si>
  <si>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</si>
  <si>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</si>
  <si>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</si>
  <si>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</si>
  <si>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</si>
  <si>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</si>
  <si>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</si>
  <si>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</si>
  <si>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</si>
  <si>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</si>
  <si>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</si>
  <si>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</si>
  <si>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</si>
  <si>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</si>
  <si>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</si>
  <si>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</si>
  <si>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</si>
  <si>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</si>
  <si>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</si>
  <si>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</si>
  <si>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</si>
  <si>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</si>
  <si>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</si>
  <si>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</si>
  <si>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</si>
  <si>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</si>
  <si>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</si>
  <si>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</si>
  <si>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</si>
  <si>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</si>
  <si>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</si>
  <si>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</si>
  <si>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</si>
  <si>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</si>
  <si>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</si>
  <si>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</si>
  <si>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</si>
  <si>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</si>
  <si>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</si>
  <si>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</si>
  <si>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</si>
  <si>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</si>
  <si>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</si>
  <si>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</si>
  <si>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</si>
  <si>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</si>
  <si>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</si>
  <si>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</si>
  <si>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</si>
  <si>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</si>
  <si>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</si>
  <si>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</si>
  <si>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</si>
  <si>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</si>
  <si>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</si>
  <si>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</si>
  <si>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</si>
  <si>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</si>
  <si>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</si>
  <si>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</si>
  <si>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</si>
  <si>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</si>
  <si>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</si>
  <si>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</si>
  <si>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</si>
  <si>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</si>
  <si>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</si>
  <si>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</si>
  <si>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</si>
  <si>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</si>
  <si>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</si>
  <si>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</si>
  <si>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</si>
  <si>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</si>
  <si>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</si>
  <si>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</si>
  <si>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</si>
  <si>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</si>
  <si>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</si>
  <si>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</si>
  <si>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</si>
  <si>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</si>
  <si>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</si>
  <si>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</si>
  <si>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</si>
  <si>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</si>
  <si>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</si>
  <si>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</si>
  <si>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</si>
  <si>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</si>
  <si>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</si>
  <si>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</si>
  <si>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</si>
  <si>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</si>
  <si>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</si>
  <si>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</si>
  <si>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</si>
  <si>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</si>
  <si>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</si>
  <si>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</si>
  <si>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抵押</t>
  </si>
  <si>
    <t>房地产抵押价值</t>
  </si>
  <si>
    <t>北京市</t>
  </si>
  <si>
    <t>Ⅶ-顺1</t>
  </si>
  <si>
    <t>15地块</t>
    <phoneticPr fontId="3" type="noConversion"/>
  </si>
  <si>
    <t>是</t>
  </si>
  <si>
    <t>地上</t>
  </si>
  <si>
    <t>地下</t>
  </si>
  <si>
    <t>机械车位</t>
  </si>
  <si>
    <t>工程进度</t>
  </si>
  <si>
    <t>一般</t>
    <phoneticPr fontId="3" type="noConversion"/>
  </si>
  <si>
    <t>七通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</si>
  <si>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</si>
  <si>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</si>
  <si>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板块</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</si>
  <si>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</si>
  <si>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</si>
  <si>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</si>
  <si>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</si>
  <si>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</si>
  <si>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</si>
  <si>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</si>
  <si>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</si>
  <si>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</si>
  <si>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</si>
  <si>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</si>
  <si>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</si>
  <si>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</si>
  <si>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</si>
  <si>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</si>
  <si>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</si>
  <si>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</si>
  <si>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</si>
  <si>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</si>
  <si>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</si>
  <si>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</si>
  <si>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</si>
  <si>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</si>
  <si>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</si>
  <si>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</si>
  <si>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</si>
  <si>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</si>
  <si>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</si>
  <si>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</si>
  <si>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</si>
  <si>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</si>
  <si>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</si>
  <si>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</si>
  <si>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</si>
  <si>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</si>
  <si>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北京市顺义区顺义新城0201街区东风商场片区项目SY00-0201-093、096地块R2二类居住用地、SY00-0201-086地块A334托幼用地</t>
    <phoneticPr fontId="134" type="noConversion"/>
  </si>
  <si>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</si>
  <si>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</si>
  <si>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</si>
  <si>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</si>
  <si>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</si>
  <si>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</si>
  <si>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</si>
  <si>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</si>
  <si>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</si>
  <si>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</si>
  <si>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</si>
  <si>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</si>
  <si>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</si>
  <si>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</si>
  <si>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</si>
  <si>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</si>
  <si>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</si>
  <si>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</si>
  <si>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</si>
  <si>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</si>
  <si>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</si>
  <si>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</si>
  <si>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</si>
  <si>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</si>
  <si>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</si>
  <si>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</si>
  <si>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</si>
  <si>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</si>
  <si>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</si>
  <si>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</si>
  <si>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</si>
  <si>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</si>
  <si>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</si>
  <si>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</si>
  <si>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</si>
  <si>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</si>
  <si>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</si>
  <si>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</si>
  <si>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</si>
  <si>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</si>
  <si>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</si>
  <si>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</si>
  <si>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</si>
  <si>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</si>
  <si>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</si>
  <si>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</si>
  <si>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</si>
  <si>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</si>
  <si>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</si>
  <si>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</si>
  <si>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</si>
  <si>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</si>
  <si>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</si>
  <si>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</si>
  <si>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</si>
  <si>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</si>
  <si>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</si>
  <si>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</si>
  <si>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</si>
  <si>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</si>
  <si>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</si>
  <si>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</si>
  <si>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</si>
  <si>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</si>
  <si>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</si>
  <si>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</si>
  <si>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</si>
  <si>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</si>
  <si>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托幼</t>
    <phoneticPr fontId="3" type="noConversion"/>
  </si>
  <si>
    <t>规则</t>
    <phoneticPr fontId="3" type="noConversion"/>
  </si>
  <si>
    <t>较规则</t>
    <phoneticPr fontId="3" type="noConversion"/>
  </si>
  <si>
    <t>较不规则</t>
    <phoneticPr fontId="3" type="noConversion"/>
  </si>
  <si>
    <t>不规则</t>
    <phoneticPr fontId="3" type="noConversion"/>
  </si>
  <si>
    <t>一般</t>
  </si>
  <si>
    <t>较规则</t>
  </si>
  <si>
    <t>七通</t>
  </si>
  <si>
    <t>较好</t>
  </si>
  <si>
    <t>较不规则</t>
  </si>
  <si>
    <t>六通</t>
  </si>
  <si>
    <t>正常</t>
  </si>
  <si>
    <t>托幼</t>
  </si>
  <si>
    <t>地铁俸伯</t>
  </si>
  <si>
    <t>好</t>
  </si>
  <si>
    <t>序号</t>
  </si>
  <si>
    <t>楼号</t>
  </si>
  <si>
    <t>房号/用途</t>
  </si>
  <si>
    <t>建筑面积</t>
  </si>
  <si>
    <t>2-1-102</t>
  </si>
  <si>
    <t>2-2-101</t>
  </si>
  <si>
    <t>2-2-102</t>
  </si>
  <si>
    <t>2-2-201</t>
  </si>
  <si>
    <t>3-1-102</t>
  </si>
  <si>
    <t>3-2-101</t>
  </si>
  <si>
    <t>3-2-102</t>
  </si>
  <si>
    <t>3-2-201</t>
  </si>
  <si>
    <t>4-1-202</t>
  </si>
  <si>
    <t>4-1-402</t>
  </si>
  <si>
    <t>4-2-101</t>
  </si>
  <si>
    <t>5-1-101</t>
  </si>
  <si>
    <t>5-1-102</t>
  </si>
  <si>
    <t>5-1-402</t>
  </si>
  <si>
    <t>5-2-202</t>
  </si>
  <si>
    <t>5-2-502</t>
  </si>
  <si>
    <t>5-2-1101</t>
  </si>
  <si>
    <t>5-2-1102</t>
  </si>
  <si>
    <t>5-3-101</t>
  </si>
  <si>
    <t>5-3-102</t>
  </si>
  <si>
    <t>5-3-201</t>
  </si>
  <si>
    <t>5-3-401</t>
  </si>
  <si>
    <t>5-3-1101</t>
  </si>
  <si>
    <t>6-101</t>
  </si>
  <si>
    <t>6-102</t>
  </si>
  <si>
    <t>6-401</t>
  </si>
  <si>
    <t>6-602</t>
  </si>
  <si>
    <t>6-802</t>
  </si>
  <si>
    <t>6-902</t>
  </si>
  <si>
    <t>7-101</t>
  </si>
  <si>
    <t>7-102</t>
  </si>
  <si>
    <t>7-201</t>
  </si>
  <si>
    <t>7-202</t>
  </si>
  <si>
    <t>7-402</t>
  </si>
  <si>
    <t>7-501</t>
  </si>
  <si>
    <t>7-502</t>
  </si>
  <si>
    <t>10-1-101</t>
  </si>
  <si>
    <t>10-1-102</t>
  </si>
  <si>
    <t>10-1-402</t>
  </si>
  <si>
    <t>10-2-101</t>
  </si>
  <si>
    <t>10-2-201</t>
  </si>
  <si>
    <t>10-2-401</t>
  </si>
  <si>
    <t>10-2-1101</t>
  </si>
  <si>
    <t>11-1-101</t>
  </si>
  <si>
    <t>11-1-102</t>
  </si>
  <si>
    <t>11-2-101</t>
  </si>
  <si>
    <t>11-2-201</t>
  </si>
  <si>
    <t>地下车位</t>
  </si>
  <si>
    <t>机械地下车位</t>
  </si>
  <si>
    <t>地下车库</t>
    <phoneticPr fontId="134" type="noConversion"/>
  </si>
  <si>
    <t>机械车库</t>
    <phoneticPr fontId="134" type="noConversion"/>
  </si>
  <si>
    <t>未包含在土地购买价格中</t>
  </si>
  <si>
    <t>全部缴纳</t>
  </si>
  <si>
    <t>已包含在土地取得成本中</t>
  </si>
  <si>
    <t>收益法</t>
  </si>
  <si>
    <t>钢混</t>
  </si>
  <si>
    <t>非生产用房</t>
  </si>
  <si>
    <t>在建（套用方法）</t>
  </si>
  <si>
    <t>北京城建星誉</t>
  </si>
  <si>
    <t>龙湖·云河砚</t>
  </si>
  <si>
    <t>公园和御</t>
  </si>
  <si>
    <t>项目位置</t>
  </si>
  <si>
    <t>多层</t>
  </si>
  <si>
    <t>多层、小高层</t>
  </si>
  <si>
    <t>小高层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</si>
  <si>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</si>
  <si>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</si>
  <si>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</si>
  <si>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</si>
  <si>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</si>
  <si>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</si>
  <si>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</si>
  <si>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</si>
  <si>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中档</t>
  </si>
  <si>
    <t>普通装修</t>
  </si>
  <si>
    <t>专业物业</t>
  </si>
  <si>
    <t>精装修</t>
  </si>
  <si>
    <t>项目模式</t>
  </si>
  <si>
    <t>售价</t>
  </si>
  <si>
    <t>路劲御和府</t>
  </si>
  <si>
    <t>中建宸庐</t>
  </si>
  <si>
    <t>平面</t>
  </si>
  <si>
    <t>否</t>
  </si>
  <si>
    <r>
      <rPr>
        <sz val="11"/>
        <color indexed="8"/>
        <rFont val="仿宋_GB2312"/>
        <family val="3"/>
        <charset val="134"/>
      </rPr>
      <t>正常</t>
    </r>
    <phoneticPr fontId="3" type="noConversion"/>
  </si>
  <si>
    <t>平面</t>
    <phoneticPr fontId="3" type="noConversion"/>
  </si>
  <si>
    <t>是</t>
    <phoneticPr fontId="3" type="noConversion"/>
  </si>
  <si>
    <t>否</t>
    <phoneticPr fontId="3" type="noConversion"/>
  </si>
  <si>
    <t>元/车位</t>
  </si>
  <si>
    <t>在建</t>
  </si>
  <si>
    <t>项目局部</t>
  </si>
  <si>
    <t>成本法</t>
  </si>
  <si>
    <t>假设开发法</t>
  </si>
  <si>
    <t>26-1#住宅楼</t>
  </si>
  <si>
    <t>1-1-101</t>
  </si>
  <si>
    <t>1-1-202</t>
  </si>
  <si>
    <t>1-1-302</t>
  </si>
  <si>
    <t>1-1-402</t>
  </si>
  <si>
    <t>1-1-502</t>
  </si>
  <si>
    <t>1-1-602</t>
  </si>
  <si>
    <t>1-1-702</t>
  </si>
  <si>
    <t>1-1-802</t>
  </si>
  <si>
    <t>1-1-902</t>
  </si>
  <si>
    <t>1-1-1002</t>
  </si>
  <si>
    <t>1-1-1102</t>
  </si>
  <si>
    <t>1-2-102</t>
  </si>
  <si>
    <t>1-2-201</t>
  </si>
  <si>
    <t>1-2-202</t>
  </si>
  <si>
    <t>1-2-401</t>
  </si>
  <si>
    <t>1-2-402</t>
  </si>
  <si>
    <t>1-2-501</t>
  </si>
  <si>
    <t>1-2-502</t>
  </si>
  <si>
    <t>1-2-601</t>
  </si>
  <si>
    <t>1-2-602</t>
  </si>
  <si>
    <t>1-2-701</t>
  </si>
  <si>
    <t>1-2-702</t>
  </si>
  <si>
    <t>1-2-801</t>
  </si>
  <si>
    <t>1-2-802</t>
  </si>
  <si>
    <t>1-2-901</t>
  </si>
  <si>
    <t>1-2-902</t>
  </si>
  <si>
    <t>1-2-1001</t>
  </si>
  <si>
    <t>1-2-1002</t>
  </si>
  <si>
    <t>1-2-1101</t>
  </si>
  <si>
    <t>26-2#住宅楼</t>
  </si>
  <si>
    <t>2-1-101</t>
  </si>
  <si>
    <t>2-1-201</t>
  </si>
  <si>
    <t>2-1-202</t>
  </si>
  <si>
    <t>2-1-301</t>
  </si>
  <si>
    <t>2-1-302</t>
  </si>
  <si>
    <t>2-1-401</t>
  </si>
  <si>
    <t>2-1-402</t>
  </si>
  <si>
    <t>2-1-501</t>
  </si>
  <si>
    <t>2-1-502</t>
  </si>
  <si>
    <t>2-1-601</t>
  </si>
  <si>
    <t>2-1-602</t>
  </si>
  <si>
    <t>2-1-701</t>
  </si>
  <si>
    <t>2-1-702</t>
  </si>
  <si>
    <t>2-1-801</t>
  </si>
  <si>
    <t>2-1-802</t>
  </si>
  <si>
    <t>2-1-901</t>
  </si>
  <si>
    <t>2-1-902</t>
  </si>
  <si>
    <t>2-1-1001</t>
  </si>
  <si>
    <t>2-1-1002</t>
  </si>
  <si>
    <t>2-1-1101</t>
  </si>
  <si>
    <t>2-1-1102</t>
  </si>
  <si>
    <t>2-2-202</t>
  </si>
  <si>
    <t>2-2-301</t>
  </si>
  <si>
    <t>2-2-302</t>
  </si>
  <si>
    <t>2-2-401</t>
  </si>
  <si>
    <t>2-2-402</t>
  </si>
  <si>
    <t>2-2-501</t>
  </si>
  <si>
    <t>2-2-502</t>
  </si>
  <si>
    <t>2-2-601</t>
  </si>
  <si>
    <t>2-2-602</t>
  </si>
  <si>
    <t>2-2-701</t>
  </si>
  <si>
    <t>2-2-702</t>
  </si>
  <si>
    <t>2-2-801</t>
  </si>
  <si>
    <t>2-2-802</t>
  </si>
  <si>
    <t>2-2-901</t>
  </si>
  <si>
    <t>2-2-902</t>
  </si>
  <si>
    <t>2-2-1001</t>
  </si>
  <si>
    <t>2-2-1002</t>
  </si>
  <si>
    <t>2-2-1101</t>
  </si>
  <si>
    <t>2-2-1102</t>
  </si>
  <si>
    <t>26-3#住宅楼</t>
  </si>
  <si>
    <t>3-1-101</t>
  </si>
  <si>
    <t>3-1-301</t>
  </si>
  <si>
    <t>3-1-401</t>
  </si>
  <si>
    <t>3-1-402</t>
  </si>
  <si>
    <t>3-1-502</t>
  </si>
  <si>
    <t>3-1-602</t>
  </si>
  <si>
    <t>3-1-702</t>
  </si>
  <si>
    <t>3-1-802</t>
  </si>
  <si>
    <t>3-1-902</t>
  </si>
  <si>
    <t>3-2-202</t>
  </si>
  <si>
    <t>3-2-301</t>
  </si>
  <si>
    <t>3-2-302</t>
  </si>
  <si>
    <t>3-2-401</t>
  </si>
  <si>
    <t>3-2-402</t>
  </si>
  <si>
    <t>3-2-501</t>
  </si>
  <si>
    <t>3-2-502</t>
  </si>
  <si>
    <t>3-2-701</t>
  </si>
  <si>
    <t>3-2-702</t>
  </si>
  <si>
    <t>3-2-801</t>
  </si>
  <si>
    <t>3-2-802</t>
  </si>
  <si>
    <t>3-2-901</t>
  </si>
  <si>
    <t>26-4#住宅楼</t>
  </si>
  <si>
    <t>4-1-101</t>
  </si>
  <si>
    <t>4-1-102</t>
  </si>
  <si>
    <t>4-1-201</t>
  </si>
  <si>
    <t>4-1-301</t>
  </si>
  <si>
    <t>4-1-302</t>
  </si>
  <si>
    <t>4-1-401</t>
  </si>
  <si>
    <t>4-1-501</t>
  </si>
  <si>
    <t>4-1-502</t>
  </si>
  <si>
    <t>4-1-601</t>
  </si>
  <si>
    <t>4-1-602</t>
  </si>
  <si>
    <t>4-1-701</t>
  </si>
  <si>
    <t>4-1-702</t>
  </si>
  <si>
    <t>4-1-801</t>
  </si>
  <si>
    <t>4-1-802</t>
  </si>
  <si>
    <t>4-2-102</t>
  </si>
  <si>
    <t>4-2-201</t>
  </si>
  <si>
    <t>4-2-202</t>
  </si>
  <si>
    <t>4-2-301</t>
  </si>
  <si>
    <t>4-2-302</t>
  </si>
  <si>
    <t>4-2-401</t>
  </si>
  <si>
    <t>4-2-402</t>
  </si>
  <si>
    <t>4-2-501</t>
  </si>
  <si>
    <t>4-2-502</t>
  </si>
  <si>
    <t>4-2-601</t>
  </si>
  <si>
    <t>4-2-602</t>
  </si>
  <si>
    <t>4-2-701</t>
  </si>
  <si>
    <t>4-2-702</t>
  </si>
  <si>
    <t>4-2-801</t>
  </si>
  <si>
    <t>4-2-802</t>
  </si>
  <si>
    <t>26-5#住宅楼</t>
  </si>
  <si>
    <t>5-1-201</t>
  </si>
  <si>
    <t>5-1-202</t>
  </si>
  <si>
    <t>5-1-302</t>
  </si>
  <si>
    <t>5-1-401</t>
  </si>
  <si>
    <t>5-1-502</t>
  </si>
  <si>
    <t>5-1-602</t>
  </si>
  <si>
    <t>5-1-801</t>
  </si>
  <si>
    <t>5-1-802</t>
  </si>
  <si>
    <t>5-1-1002</t>
  </si>
  <si>
    <t>5-2-102</t>
  </si>
  <si>
    <t>5-2-201</t>
  </si>
  <si>
    <t>5-2-302</t>
  </si>
  <si>
    <t>5-2-401</t>
  </si>
  <si>
    <t>5-2-402</t>
  </si>
  <si>
    <t>5-2-501</t>
  </si>
  <si>
    <t>5-2-601</t>
  </si>
  <si>
    <t>5-2-602</t>
  </si>
  <si>
    <t>5-2-701</t>
  </si>
  <si>
    <t>5-2-702</t>
  </si>
  <si>
    <t>5-2-801</t>
  </si>
  <si>
    <t>5-2-802</t>
  </si>
  <si>
    <t>5-2-901</t>
  </si>
  <si>
    <t>5-2-902</t>
  </si>
  <si>
    <t>5-2-1001</t>
  </si>
  <si>
    <t>5-2-1002</t>
  </si>
  <si>
    <t>5-3-202</t>
  </si>
  <si>
    <t>5-3-301</t>
  </si>
  <si>
    <t>5-3-302</t>
  </si>
  <si>
    <t>5-3-402</t>
  </si>
  <si>
    <t>5-3-501</t>
  </si>
  <si>
    <t>5-3-502</t>
  </si>
  <si>
    <t>5-3-601</t>
  </si>
  <si>
    <t>5-3-801</t>
  </si>
  <si>
    <t>5-3-1001</t>
  </si>
  <si>
    <t>5-3-1002</t>
  </si>
  <si>
    <t>5-3-1102</t>
  </si>
  <si>
    <t>26-6#住宅楼</t>
  </si>
  <si>
    <t>6-201</t>
  </si>
  <si>
    <t>6-202</t>
  </si>
  <si>
    <t>6-301</t>
  </si>
  <si>
    <t>6-302</t>
  </si>
  <si>
    <t>6-402</t>
  </si>
  <si>
    <t>6-501</t>
  </si>
  <si>
    <t>6-502</t>
  </si>
  <si>
    <t>6-601</t>
  </si>
  <si>
    <t>6-701</t>
  </si>
  <si>
    <t>6-702</t>
  </si>
  <si>
    <t>6-801</t>
  </si>
  <si>
    <t>6-901</t>
  </si>
  <si>
    <t>26-7#住宅楼</t>
  </si>
  <si>
    <t>7-301</t>
  </si>
  <si>
    <t>7-302</t>
  </si>
  <si>
    <t>7-401</t>
  </si>
  <si>
    <t>7-601</t>
  </si>
  <si>
    <t>7-602</t>
  </si>
  <si>
    <t>7-701</t>
  </si>
  <si>
    <t>7-702</t>
  </si>
  <si>
    <t>7-801</t>
  </si>
  <si>
    <t>7-802</t>
  </si>
  <si>
    <t>7-901</t>
  </si>
  <si>
    <t>7-902</t>
  </si>
  <si>
    <t>26-8#住宅楼</t>
  </si>
  <si>
    <t>8-1-101</t>
  </si>
  <si>
    <t>8-1-102</t>
  </si>
  <si>
    <t>8-1-201</t>
  </si>
  <si>
    <t>8-1-202</t>
  </si>
  <si>
    <t>8-1-301</t>
  </si>
  <si>
    <t>8-1-302</t>
  </si>
  <si>
    <t>8-1-401</t>
  </si>
  <si>
    <t>8-1-402</t>
  </si>
  <si>
    <t>8-1-501</t>
  </si>
  <si>
    <t>8-1-502</t>
  </si>
  <si>
    <t>8-1-601</t>
  </si>
  <si>
    <t>8-1-602</t>
  </si>
  <si>
    <t>8-1-701</t>
  </si>
  <si>
    <t>8-1-702</t>
  </si>
  <si>
    <t>8-1-801</t>
  </si>
  <si>
    <t>8-1-802</t>
  </si>
  <si>
    <t>8-1-901</t>
  </si>
  <si>
    <t>8-1-902</t>
  </si>
  <si>
    <t>8-2-101</t>
  </si>
  <si>
    <t>8-2-102</t>
  </si>
  <si>
    <t>8-2-201</t>
  </si>
  <si>
    <t>8-2-202</t>
  </si>
  <si>
    <t>8-2-301</t>
  </si>
  <si>
    <t>8-2-302</t>
  </si>
  <si>
    <t>8-2-401</t>
  </si>
  <si>
    <t>8-2-402</t>
  </si>
  <si>
    <t>8-2-501</t>
  </si>
  <si>
    <t>8-2-502</t>
  </si>
  <si>
    <t>8-2-601</t>
  </si>
  <si>
    <t>8-2-602</t>
  </si>
  <si>
    <t>8-2-701</t>
  </si>
  <si>
    <t>8-2-702</t>
  </si>
  <si>
    <t>8-2-801</t>
  </si>
  <si>
    <t>8-2-802</t>
  </si>
  <si>
    <t>8-2-901</t>
  </si>
  <si>
    <t>8-2-902</t>
  </si>
  <si>
    <t>8-3-101</t>
  </si>
  <si>
    <t>8-3-102</t>
  </si>
  <si>
    <t>8-3-201</t>
  </si>
  <si>
    <t>8-3-202</t>
  </si>
  <si>
    <t>8-3-301</t>
  </si>
  <si>
    <t>8-3-302</t>
  </si>
  <si>
    <t>8-3-401</t>
  </si>
  <si>
    <t>8-3-402</t>
  </si>
  <si>
    <t>8-3-501</t>
  </si>
  <si>
    <t>8-3-502</t>
  </si>
  <si>
    <t>8-3-601</t>
  </si>
  <si>
    <t>8-3-602</t>
  </si>
  <si>
    <t>8-3-701</t>
  </si>
  <si>
    <t>8-3-702</t>
  </si>
  <si>
    <t>8-3-801</t>
  </si>
  <si>
    <t>8-3-802</t>
  </si>
  <si>
    <t>8-3-901</t>
  </si>
  <si>
    <t>8-3-902</t>
  </si>
  <si>
    <t>26-9#住宅楼</t>
  </si>
  <si>
    <t>9-1-101</t>
  </si>
  <si>
    <t>9-1-102</t>
  </si>
  <si>
    <t>9-1-202</t>
  </si>
  <si>
    <t>9-1-301</t>
  </si>
  <si>
    <t>9-1-302</t>
  </si>
  <si>
    <t>9-1-402</t>
  </si>
  <si>
    <t>9-1-501</t>
  </si>
  <si>
    <t>9-1-502</t>
  </si>
  <si>
    <t>9-1-602</t>
  </si>
  <si>
    <t>9-1-702</t>
  </si>
  <si>
    <t>9-1-801</t>
  </si>
  <si>
    <t>9-1-802</t>
  </si>
  <si>
    <t>9-1-902</t>
  </si>
  <si>
    <t>9-1-1002</t>
  </si>
  <si>
    <t>9-2-102</t>
  </si>
  <si>
    <t>9-2-201</t>
  </si>
  <si>
    <t>9-2-202</t>
  </si>
  <si>
    <t>9-2-401</t>
  </si>
  <si>
    <t>9-2-402</t>
  </si>
  <si>
    <t>9-2-501</t>
  </si>
  <si>
    <t>9-2-601</t>
  </si>
  <si>
    <t>9-2-701</t>
  </si>
  <si>
    <t>9-2-702</t>
  </si>
  <si>
    <t>9-2-801</t>
  </si>
  <si>
    <t>9-2-802</t>
  </si>
  <si>
    <t>9-2-901</t>
  </si>
  <si>
    <t>9-2-1001</t>
  </si>
  <si>
    <t>9-2-1002</t>
  </si>
  <si>
    <t>9-2-1101</t>
  </si>
  <si>
    <t>26-10#住宅楼</t>
  </si>
  <si>
    <t>10-1-201</t>
  </si>
  <si>
    <t>10-1-202</t>
  </si>
  <si>
    <t>10-1-301</t>
  </si>
  <si>
    <t>10-1-302</t>
  </si>
  <si>
    <t>10-1-401</t>
  </si>
  <si>
    <t>10-1-501</t>
  </si>
  <si>
    <t>10-1-502</t>
  </si>
  <si>
    <t>10-1-601</t>
  </si>
  <si>
    <t>10-1-602</t>
  </si>
  <si>
    <t>10-1-701</t>
  </si>
  <si>
    <t>10-1-702</t>
  </si>
  <si>
    <t>10-1-801</t>
  </si>
  <si>
    <t>10-1-802</t>
  </si>
  <si>
    <t>10-1-901</t>
  </si>
  <si>
    <t>10-1-902</t>
  </si>
  <si>
    <t>10-1-1001</t>
  </si>
  <si>
    <t>10-1-1002</t>
  </si>
  <si>
    <t>10-1-1101</t>
  </si>
  <si>
    <t>10-1-1102</t>
  </si>
  <si>
    <t>10-2-102</t>
  </si>
  <si>
    <t>10-2-202</t>
  </si>
  <si>
    <t>10-2-301</t>
  </si>
  <si>
    <t>10-2-302</t>
  </si>
  <si>
    <t>10-2-402</t>
  </si>
  <si>
    <t>10-2-501</t>
  </si>
  <si>
    <t>10-2-502</t>
  </si>
  <si>
    <t>10-2-601</t>
  </si>
  <si>
    <t>10-2-602</t>
  </si>
  <si>
    <t>10-2-701</t>
  </si>
  <si>
    <t>10-2-702</t>
  </si>
  <si>
    <t>10-2-801</t>
  </si>
  <si>
    <t>10-2-802</t>
  </si>
  <si>
    <t>10-2-901</t>
  </si>
  <si>
    <t>10-2-902</t>
  </si>
  <si>
    <t>10-2-1001</t>
  </si>
  <si>
    <t>10-2-1002</t>
  </si>
  <si>
    <t>10-2-1102</t>
  </si>
  <si>
    <t>26-11#住宅楼</t>
  </si>
  <si>
    <t>11-1-201</t>
  </si>
  <si>
    <t>11-1-202</t>
  </si>
  <si>
    <t>11-1-302</t>
  </si>
  <si>
    <t>11-1-401</t>
  </si>
  <si>
    <t>11-1-402</t>
  </si>
  <si>
    <t>11-1-502</t>
  </si>
  <si>
    <t>11-1-601</t>
  </si>
  <si>
    <t>11-1-602</t>
  </si>
  <si>
    <t>11-1-701</t>
  </si>
  <si>
    <t>11-1-702</t>
  </si>
  <si>
    <t>11-1-801</t>
  </si>
  <si>
    <t>11-1-802</t>
  </si>
  <si>
    <t>11-1-901</t>
  </si>
  <si>
    <t>11-1-902</t>
  </si>
  <si>
    <t>11-1-1101</t>
  </si>
  <si>
    <t>11-1-1102</t>
  </si>
  <si>
    <t>11-2-102</t>
  </si>
  <si>
    <t>11-2-301</t>
  </si>
  <si>
    <t>11-2-401</t>
  </si>
  <si>
    <t>11-2-402</t>
  </si>
  <si>
    <t>11-2-501</t>
  </si>
  <si>
    <t>11-2-502</t>
  </si>
  <si>
    <t>11-2-601</t>
  </si>
  <si>
    <t>11-2-602</t>
  </si>
  <si>
    <t>11-2-701</t>
  </si>
  <si>
    <t>11-2-702</t>
  </si>
  <si>
    <t>11-2-801</t>
  </si>
  <si>
    <t>11-2-802</t>
  </si>
  <si>
    <t>11-2-901</t>
  </si>
  <si>
    <t>11-2-902</t>
  </si>
  <si>
    <t>11-2-1001</t>
  </si>
  <si>
    <t>11-2-1002</t>
  </si>
  <si>
    <t>11-2-1101</t>
  </si>
  <si>
    <t>11-2-1102</t>
  </si>
  <si>
    <t>26-12#住宅楼</t>
  </si>
  <si>
    <t>12-1-101</t>
  </si>
  <si>
    <t>12-1-102</t>
  </si>
  <si>
    <t>12-1-201</t>
  </si>
  <si>
    <t>12-1-202</t>
  </si>
  <si>
    <t>12-1-301</t>
  </si>
  <si>
    <t>12-1-302</t>
  </si>
  <si>
    <t>12-1-401</t>
  </si>
  <si>
    <t>12-1-402</t>
  </si>
  <si>
    <t>12-1-501</t>
  </si>
  <si>
    <t>12-1-502</t>
  </si>
  <si>
    <t>12-1-601</t>
  </si>
  <si>
    <t>12-1-602</t>
  </si>
  <si>
    <t>12-1-701</t>
  </si>
  <si>
    <t>12-1-702</t>
  </si>
  <si>
    <t>12-1-801</t>
  </si>
  <si>
    <t>12-1-802</t>
  </si>
  <si>
    <t>12-1-901</t>
  </si>
  <si>
    <t>12-1-902</t>
  </si>
  <si>
    <t>12-1-1001</t>
  </si>
  <si>
    <t>12-1-1002</t>
  </si>
  <si>
    <t>12-1-1101</t>
  </si>
  <si>
    <t>12-1-1102</t>
  </si>
  <si>
    <t>12-2-101</t>
  </si>
  <si>
    <t>12-2-102</t>
  </si>
  <si>
    <t>12-2-201</t>
  </si>
  <si>
    <t>12-2-202</t>
  </si>
  <si>
    <t>12-2-301</t>
  </si>
  <si>
    <t>12-2-302</t>
  </si>
  <si>
    <t>12-2-401</t>
  </si>
  <si>
    <t>12-2-402</t>
  </si>
  <si>
    <t>12-2-501</t>
  </si>
  <si>
    <t>12-2-502</t>
  </si>
  <si>
    <t>12-2-601</t>
  </si>
  <si>
    <t>12-2-602</t>
  </si>
  <si>
    <t>12-2-701</t>
  </si>
  <si>
    <t>12-2-702</t>
  </si>
  <si>
    <t>12-2-801</t>
  </si>
  <si>
    <t>12-2-802</t>
  </si>
  <si>
    <t>12-2-901</t>
  </si>
  <si>
    <t>12-2-902</t>
  </si>
  <si>
    <t>12-2-1001</t>
  </si>
  <si>
    <t>12-2-1002</t>
  </si>
  <si>
    <t>12-2-1101</t>
  </si>
  <si>
    <t>12-2-1102</t>
  </si>
  <si>
    <t>26-13#配套楼</t>
  </si>
  <si>
    <t>26-地下车库</t>
  </si>
  <si>
    <r>
      <t>合</t>
    </r>
    <r>
      <rPr>
        <sz val="11"/>
        <color rgb="FF000000"/>
        <rFont val="Times New Roman"/>
        <family val="1"/>
      </rPr>
      <t xml:space="preserve"> </t>
    </r>
    <r>
      <rPr>
        <sz val="11"/>
        <color rgb="FF000000"/>
        <rFont val="宋体"/>
        <family val="3"/>
        <charset val="134"/>
      </rPr>
      <t>计（未出售建筑部分）</t>
    </r>
  </si>
  <si>
    <t>分摊土地面积</t>
    <phoneticPr fontId="134" type="noConversion"/>
  </si>
  <si>
    <t>规划用途</t>
    <phoneticPr fontId="134" type="noConversion"/>
  </si>
  <si>
    <t>住宅</t>
    <phoneticPr fontId="134" type="noConversion"/>
  </si>
  <si>
    <t>住宅小计</t>
    <phoneticPr fontId="134" type="noConversion"/>
  </si>
  <si>
    <t>配套小计</t>
    <phoneticPr fontId="134" type="noConversion"/>
  </si>
  <si>
    <t>菜市场</t>
  </si>
  <si>
    <t>小型商服（便利店）</t>
  </si>
  <si>
    <t>其他商业服务</t>
  </si>
  <si>
    <t>室内体育设施</t>
  </si>
  <si>
    <t>配套</t>
    <phoneticPr fontId="134" type="noConversion"/>
  </si>
  <si>
    <t>商业</t>
    <phoneticPr fontId="134" type="noConversion"/>
  </si>
  <si>
    <t>收益法商</t>
  </si>
  <si>
    <t>收益法商</t>
    <phoneticPr fontId="16" type="noConversion"/>
  </si>
  <si>
    <t>押一</t>
  </si>
  <si>
    <t>已全部缴纳</t>
  </si>
  <si>
    <t>总价</t>
  </si>
  <si>
    <t>成本比率</t>
  </si>
  <si>
    <t>工程进度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</si>
</sst>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3"/>
      <charset val="134"/>
      <scheme val="minor"/>
    </font>
    <font>
      <sz val="10"/>
      <color indexed="8"/>
      <name val="Arial Unicode MS"/>
      <family val="2"/>
      <charset val="134"/>
    </font>
    <font>
      <sz val="12"/>
      <color indexed="8"/>
      <name val="仿宋_GB2312"/>
      <family val="3"/>
      <charset val="134"/>
    </font>
    <font>
      <sz val="12"/>
      <color rgb="FF000000"/>
      <name val="仿宋_GB2312"/>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
      <sz val="11"/>
      <color indexed="8"/>
      <name val="仿宋_GB2312"/>
      <family val="3"/>
      <charset val="134"/>
    </font>
    <font>
      <b/>
      <sz val="11"/>
      <color rgb="FF000000"/>
      <name val="宋体"/>
      <family val="3"/>
      <charset val="134"/>
    </font>
    <font>
      <sz val="11"/>
      <color rgb="FF000000"/>
      <name val="宋体"/>
      <family val="3"/>
      <charset val="134"/>
    </font>
    <font>
      <sz val="11"/>
      <color rgb="FF000000"/>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00"/>
        <bgColor rgb="FF000000"/>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272" fillId="0" borderId="1" xfId="0" applyNumberFormat="1" applyFont="1" applyBorder="1" applyAlignment="1" applyProtection="1">
      <alignment horizontal="center" vertical="center"/>
      <protection locked="0"/>
    </xf>
    <xf numFmtId="177" fontId="273" fillId="5" borderId="1" xfId="1" applyNumberFormat="1" applyFont="1" applyFill="1" applyBorder="1" applyAlignment="1" applyProtection="1">
      <alignment horizontal="center" vertical="center"/>
      <protection locked="0"/>
    </xf>
    <xf numFmtId="49" fontId="274" fillId="22" borderId="1" xfId="0" applyNumberFormat="1" applyFont="1" applyFill="1" applyBorder="1" applyAlignment="1" applyProtection="1">
      <alignment horizontal="center" vertical="center" wrapText="1"/>
      <protection locked="0"/>
    </xf>
    <xf numFmtId="0" fontId="274" fillId="22"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208" fillId="0" borderId="24" xfId="0" applyFont="1" applyBorder="1" applyAlignment="1" applyProtection="1">
      <alignment horizontal="left" vertical="center" wrapText="1"/>
      <protection locked="0"/>
    </xf>
    <xf numFmtId="49" fontId="166" fillId="0" borderId="24" xfId="0" applyNumberFormat="1" applyFont="1" applyBorder="1" applyAlignment="1" applyProtection="1">
      <alignment horizontal="left" vertical="center" wrapText="1"/>
      <protection locked="0"/>
    </xf>
    <xf numFmtId="49" fontId="208" fillId="0" borderId="24" xfId="0" applyNumberFormat="1" applyFont="1" applyBorder="1" applyAlignment="1" applyProtection="1">
      <alignment horizontal="left" vertical="center" wrapText="1"/>
      <protection locked="0"/>
    </xf>
    <xf numFmtId="0" fontId="275" fillId="0" borderId="49" xfId="0" applyFont="1" applyBorder="1" applyAlignment="1" applyProtection="1">
      <alignment horizontal="left" vertical="center"/>
      <protection locked="0"/>
    </xf>
    <xf numFmtId="0" fontId="95" fillId="0" borderId="0" xfId="10" applyAlignment="1"/>
    <xf numFmtId="0" fontId="95" fillId="5" borderId="0" xfId="10" applyFill="1" applyAlignment="1"/>
    <xf numFmtId="0" fontId="95" fillId="9" borderId="0" xfId="10" applyFill="1" applyAlignment="1"/>
    <xf numFmtId="0" fontId="95" fillId="0" borderId="0" xfId="10">
      <alignment vertical="center"/>
    </xf>
    <xf numFmtId="0" fontId="277"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279" fillId="0" borderId="82" xfId="0" applyFont="1" applyBorder="1" applyAlignment="1">
      <alignment horizontal="center" vertical="center" wrapText="1"/>
    </xf>
    <xf numFmtId="0" fontId="279" fillId="0" borderId="65" xfId="0" applyFont="1" applyBorder="1" applyAlignment="1">
      <alignment horizontal="center" vertical="center" wrapText="1"/>
    </xf>
    <xf numFmtId="0" fontId="280" fillId="0" borderId="81" xfId="0" applyFont="1" applyBorder="1" applyAlignment="1">
      <alignment horizontal="center" vertical="center"/>
    </xf>
    <xf numFmtId="0" fontId="280" fillId="0" borderId="43" xfId="0" applyFont="1" applyBorder="1" applyAlignment="1">
      <alignment horizontal="center" vertical="center"/>
    </xf>
    <xf numFmtId="0" fontId="280" fillId="0" borderId="43" xfId="0" applyFont="1" applyBorder="1" applyAlignment="1">
      <alignment horizontal="left" vertical="center"/>
    </xf>
    <xf numFmtId="43" fontId="0" fillId="0" borderId="0" xfId="19" applyFont="1">
      <alignment vertical="center"/>
    </xf>
    <xf numFmtId="49" fontId="44" fillId="0" borderId="3" xfId="0" applyNumberFormat="1"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280" fillId="0" borderId="43" xfId="0" applyFont="1" applyBorder="1" applyAlignment="1">
      <alignment horizontal="center" vertical="center" wrapText="1"/>
    </xf>
    <xf numFmtId="0" fontId="280" fillId="0" borderId="43" xfId="0" applyFont="1" applyBorder="1" applyAlignment="1">
      <alignment horizontal="left" vertical="center" wrapText="1"/>
    </xf>
    <xf numFmtId="0" fontId="281" fillId="0" borderId="43" xfId="0" applyFont="1" applyBorder="1" applyAlignment="1">
      <alignment horizontal="center" vertical="center"/>
    </xf>
    <xf numFmtId="0" fontId="280" fillId="5" borderId="43" xfId="0" applyFont="1" applyFill="1" applyBorder="1" applyAlignment="1">
      <alignment horizontal="center" vertical="center"/>
    </xf>
    <xf numFmtId="0" fontId="44" fillId="8" borderId="1"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80" fillId="0" borderId="63" xfId="0" applyFont="1" applyBorder="1" applyAlignment="1">
      <alignment horizontal="center" vertical="center"/>
    </xf>
    <xf numFmtId="0" fontId="280" fillId="0" borderId="64" xfId="0" applyFont="1" applyBorder="1" applyAlignment="1">
      <alignment horizontal="center" vertical="center"/>
    </xf>
    <xf numFmtId="0" fontId="280" fillId="0" borderId="65"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9" fontId="0" fillId="0" borderId="0" xfId="0" applyNumberFormat="1">
      <alignment vertical="center"/>
    </xf>
    <xf numFmtId="9" fontId="0" fillId="0" borderId="0" xfId="17" applyFont="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F01\&#26368;&#32456;\2025-1-0693-&#39034;&#20041;&#22478;&#24314;&#21335;&#23665;&#39033;&#30446;15&#22320;&#22359;0912.xlsx" TargetMode="External"/><Relationship Id="rId1" Type="http://schemas.openxmlformats.org/officeDocument/2006/relationships/externalLinkPath" Target="/&#21608;&#24420;/&#25253;&#21578;/2025&#24180;/2025-1-0693-&#39034;&#20041;&#20161;&#21644;&#22312;&#24314;/F01/&#26368;&#32456;/2025-1-0693-&#39034;&#20041;&#22478;&#24314;&#21335;&#23665;&#39033;&#30446;15&#22320;&#22359;09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车库</v>
          </cell>
        </row>
        <row r="21">
          <cell r="C21" t="str">
            <v>商业</v>
          </cell>
        </row>
        <row r="22">
          <cell r="C22" t="str">
            <v>机械车位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好</v>
          </cell>
          <cell r="D122" t="str">
            <v>较好</v>
          </cell>
          <cell r="E122" t="str">
            <v>一般</v>
          </cell>
          <cell r="F122" t="str">
            <v>较差</v>
          </cell>
          <cell r="G122" t="str">
            <v>差</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cell r="E100" t="str">
            <v>小高层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row>
        <row r="93">
          <cell r="B93" t="str">
            <v>车位类型</v>
          </cell>
          <cell r="C93" t="str">
            <v>平面</v>
          </cell>
        </row>
        <row r="95">
          <cell r="B95" t="str">
            <v>是否直接入户</v>
          </cell>
          <cell r="C95" t="str">
            <v>是</v>
          </cell>
          <cell r="D95" t="str">
            <v>否</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北京市出让国有建设用地使用权及在建建筑物房地产抵押价值预评估</v>
      </c>
    </row>
    <row r="3" spans="1:2">
      <c r="A3" s="1118" t="s">
        <v>523</v>
      </c>
      <c r="B3" s="1119">
        <f>'预评函-封皮'!B40</f>
        <v>0</v>
      </c>
    </row>
    <row r="4" spans="1:2">
      <c r="A4" s="1118" t="s">
        <v>524</v>
      </c>
      <c r="B4" s="1119" t="str">
        <f ca="1">'预评函-封皮'!B46</f>
        <v>郑燚（注册号：0)、（注册号：0)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受贵公司委托，我公司对北京市出让国有建设用地使用权及在建建筑物房地产抵押价值进行了预评估。</v>
      </c>
    </row>
    <row r="7" spans="1:2">
      <c r="A7" s="1118" t="s">
        <v>566</v>
      </c>
      <c r="B7" s="1119" t="str">
        <f>'预评函-1'!A7</f>
        <v>估价对象为北京市出让国有建设用地使用权及在建建筑物房地产，为所有。根据《国有土地使用证》[]，估价对象（分摊）出让国有建设用地使用权面积为17707.41平方米，建筑面积为42993.9100000002平方米。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出让国有建设用地使用权及在建建筑物房地产,属开发建设的，该项目尚在开发建设中。根据《国有土地使用证》[]，估价对象（分摊）出让国有建设用地使用权面积为17707.41平方米，规划建筑面积为42993.9100000002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2025年10月15日（评估专业人员实地查勘之日）</v>
      </c>
    </row>
    <row r="13" spans="1:2">
      <c r="A13" s="1118" t="s">
        <v>529</v>
      </c>
      <c r="B13" s="1119"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本次评估采用的主估价方法为成本法和假设开发法。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93533</v>
      </c>
    </row>
    <row r="21" spans="1:2">
      <c r="A21" s="1118" t="s">
        <v>537</v>
      </c>
      <c r="B21" s="1119">
        <f ca="1">'预评函-2'!D7</f>
        <v>21755</v>
      </c>
    </row>
    <row r="22" spans="1:2">
      <c r="A22" s="1118" t="s">
        <v>538</v>
      </c>
      <c r="B22" s="1119" t="str">
        <f ca="1">'预评函-2'!D6</f>
        <v>玖亿叁仟伍佰叁拾叁万元整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93533</v>
      </c>
    </row>
    <row r="31" spans="1:2">
      <c r="A31" s="1118" t="s">
        <v>576</v>
      </c>
      <c r="B31" s="1119">
        <f ca="1">'预评函-2'!D15</f>
        <v>21755</v>
      </c>
    </row>
    <row r="32" spans="1:2">
      <c r="A32" s="1118" t="s">
        <v>543</v>
      </c>
      <c r="B32" s="1119" t="str">
        <f ca="1">'预评函-2'!D14</f>
        <v>玖亿叁仟伍佰叁拾叁万元整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北京市出让国有建设用地使用权及在建建筑物房地产</v>
      </c>
    </row>
    <row r="42" spans="1:2" ht="31.2">
      <c r="A42" s="1118" t="s">
        <v>590</v>
      </c>
      <c r="B42" s="1119" t="str">
        <f>'预评函-3'!B2</f>
        <v>建筑面积</v>
      </c>
    </row>
    <row r="43" spans="1:2">
      <c r="A43" s="1118" t="s">
        <v>591</v>
      </c>
      <c r="B43" s="1119">
        <f>'预评函-3'!B4</f>
        <v>42993.910000000222</v>
      </c>
    </row>
    <row r="44" spans="1:2" ht="31.2">
      <c r="A44" s="1118" t="s">
        <v>575</v>
      </c>
      <c r="B44" s="1119" t="str">
        <f>'预评函-3'!C2</f>
        <v>(分摊)土地面积</v>
      </c>
    </row>
    <row r="45" spans="1:2">
      <c r="A45" s="1118" t="s">
        <v>547</v>
      </c>
      <c r="B45" s="1119">
        <f>'预评函-3'!C4</f>
        <v>17707.41</v>
      </c>
    </row>
    <row r="46" spans="1:2">
      <c r="A46" s="1118" t="s">
        <v>573</v>
      </c>
      <c r="B46" s="1119" t="str">
        <f>'预评函-3'!D2</f>
        <v>出让国有建设用地使用权价值</v>
      </c>
    </row>
    <row r="47" spans="1:2">
      <c r="A47" s="1118" t="s">
        <v>548</v>
      </c>
      <c r="B47" s="1119">
        <f ca="1">'预评函-3'!D4</f>
        <v>71833</v>
      </c>
    </row>
    <row r="48" spans="1:2">
      <c r="A48" s="1118" t="s">
        <v>549</v>
      </c>
      <c r="B48" s="1119">
        <f ca="1">'预评函-3'!E4</f>
        <v>16708</v>
      </c>
    </row>
    <row r="49" spans="1:2">
      <c r="A49" s="1118" t="s">
        <v>550</v>
      </c>
      <c r="B49" s="1119" t="str">
        <f ca="1">'预评函-3'!D5</f>
        <v>柒亿壹仟捌佰叁拾叁万元整</v>
      </c>
    </row>
    <row r="50" spans="1:2">
      <c r="A50" s="1118" t="s">
        <v>574</v>
      </c>
      <c r="B50" s="1119" t="str">
        <f>'预评函-3'!F2</f>
        <v>在建建筑物价值</v>
      </c>
    </row>
    <row r="51" spans="1:2">
      <c r="A51" s="1118" t="s">
        <v>551</v>
      </c>
      <c r="B51" s="1119">
        <f ca="1">'预评函-3'!F4</f>
        <v>21700</v>
      </c>
    </row>
    <row r="52" spans="1:2">
      <c r="A52" s="1118" t="s">
        <v>552</v>
      </c>
      <c r="B52" s="1119">
        <f ca="1">'预评函-3'!G4</f>
        <v>5047</v>
      </c>
    </row>
    <row r="53" spans="1:2">
      <c r="A53" s="1118" t="s">
        <v>580</v>
      </c>
      <c r="B53" s="1119" t="str">
        <f ca="1">'预评函-3'!F5</f>
        <v>贰亿壹仟柒佰万元整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0" sqref="B20"/>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3395</v>
      </c>
      <c r="AA1" s="1437" t="s">
        <v>3394</v>
      </c>
      <c r="AB1" s="1437" t="s">
        <v>3</v>
      </c>
    </row>
    <row r="2" spans="1:28">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3402</v>
      </c>
      <c r="Z2" s="1444" t="s">
        <v>2443</v>
      </c>
      <c r="AA2" s="1444" t="s">
        <v>3403</v>
      </c>
      <c r="AB2" s="1444" t="s">
        <v>2470</v>
      </c>
    </row>
    <row r="3" spans="1:28">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3404</v>
      </c>
    </row>
    <row r="6" spans="1:28">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3331</v>
      </c>
      <c r="X7" s="1444" t="s">
        <v>2440</v>
      </c>
      <c r="Z7" s="1444" t="s">
        <v>2453</v>
      </c>
      <c r="AB7" s="1444" t="s">
        <v>2479</v>
      </c>
    </row>
    <row r="8" spans="1:28">
      <c r="A8" s="1440" t="s">
        <v>1026</v>
      </c>
      <c r="B8" s="1440" t="s">
        <v>1027</v>
      </c>
      <c r="C8" s="1441" t="s">
        <v>319</v>
      </c>
      <c r="F8" s="1442" t="s">
        <v>1028</v>
      </c>
      <c r="H8" s="1442" t="s">
        <v>2568</v>
      </c>
      <c r="I8" s="1442" t="s">
        <v>3332</v>
      </c>
      <c r="X8" s="1444" t="s">
        <v>3405</v>
      </c>
      <c r="Z8" s="1444" t="s">
        <v>2455</v>
      </c>
      <c r="AB8" s="1444" t="s">
        <v>2481</v>
      </c>
    </row>
    <row r="9" spans="1:28">
      <c r="A9" s="1440" t="s">
        <v>1029</v>
      </c>
      <c r="B9" s="1440" t="s">
        <v>1030</v>
      </c>
      <c r="C9" s="1441" t="s">
        <v>320</v>
      </c>
      <c r="F9" s="1442" t="s">
        <v>1031</v>
      </c>
      <c r="H9" s="1442"/>
      <c r="I9" s="1444" t="s">
        <v>3333</v>
      </c>
      <c r="X9" s="1444" t="s">
        <v>3406</v>
      </c>
      <c r="Z9" s="1444" t="s">
        <v>2457</v>
      </c>
      <c r="AB9" s="1444" t="s">
        <v>2483</v>
      </c>
    </row>
    <row r="10" spans="1:28">
      <c r="A10" s="1440" t="s">
        <v>1032</v>
      </c>
      <c r="B10" s="1440" t="s">
        <v>1033</v>
      </c>
      <c r="C10" s="1441" t="s">
        <v>321</v>
      </c>
      <c r="F10" s="1442" t="s">
        <v>2569</v>
      </c>
      <c r="I10" s="1444" t="s">
        <v>3334</v>
      </c>
      <c r="Z10" s="1444" t="s">
        <v>2459</v>
      </c>
      <c r="AB10" s="1444" t="s">
        <v>2485</v>
      </c>
    </row>
    <row r="11" spans="1:28">
      <c r="A11" s="1440" t="s">
        <v>1034</v>
      </c>
      <c r="B11" s="1440" t="s">
        <v>1035</v>
      </c>
      <c r="C11" s="1441" t="s">
        <v>322</v>
      </c>
      <c r="F11" s="1442" t="s">
        <v>13</v>
      </c>
      <c r="I11" s="1444" t="s">
        <v>3335</v>
      </c>
      <c r="Z11" s="1444" t="s">
        <v>2461</v>
      </c>
      <c r="AB11" s="1444" t="s">
        <v>2487</v>
      </c>
    </row>
    <row r="12" spans="1:28">
      <c r="A12" s="1440" t="s">
        <v>1036</v>
      </c>
      <c r="B12" s="1440" t="s">
        <v>1037</v>
      </c>
      <c r="C12" s="1441" t="s">
        <v>323</v>
      </c>
      <c r="I12" s="1444" t="s">
        <v>3336</v>
      </c>
      <c r="Z12" s="1444" t="s">
        <v>2463</v>
      </c>
      <c r="AB12" s="1444" t="s">
        <v>2489</v>
      </c>
    </row>
    <row r="13" spans="1:28">
      <c r="A13" s="1440" t="s">
        <v>1038</v>
      </c>
      <c r="B13" s="1440" t="s">
        <v>1039</v>
      </c>
      <c r="C13" s="1441" t="s">
        <v>324</v>
      </c>
      <c r="I13" s="1444" t="s">
        <v>3337</v>
      </c>
      <c r="Z13" s="1444" t="s">
        <v>2465</v>
      </c>
    </row>
    <row r="14" spans="1:28">
      <c r="A14" s="1440" t="s">
        <v>1040</v>
      </c>
      <c r="B14" s="1440" t="s">
        <v>1041</v>
      </c>
      <c r="C14" s="1442" t="s">
        <v>13</v>
      </c>
      <c r="I14" s="1444" t="s">
        <v>3338</v>
      </c>
      <c r="Z14" s="1444" t="s">
        <v>2467</v>
      </c>
    </row>
    <row r="15" spans="1:28">
      <c r="A15" s="1440" t="s">
        <v>1042</v>
      </c>
      <c r="B15" s="1440" t="s">
        <v>1043</v>
      </c>
      <c r="C15" s="1441"/>
      <c r="I15" s="1444" t="s">
        <v>3339</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4041</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7"/>
      <c r="B54" s="1446" t="s">
        <v>385</v>
      </c>
      <c r="C54" s="1444" t="s">
        <v>583</v>
      </c>
    </row>
    <row r="55" spans="1:4">
      <c r="A55" s="3237"/>
      <c r="B55" s="1446" t="s">
        <v>386</v>
      </c>
      <c r="C55" s="1444" t="s">
        <v>584</v>
      </c>
    </row>
    <row r="56" spans="1:4">
      <c r="A56" s="3237"/>
      <c r="B56" s="1446" t="s">
        <v>387</v>
      </c>
      <c r="C56" s="1444" t="s">
        <v>588</v>
      </c>
    </row>
    <row r="57" spans="1:4">
      <c r="A57" s="323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2491</v>
      </c>
      <c r="B1" s="2751"/>
      <c r="C1" s="2751"/>
      <c r="D1" s="2751"/>
      <c r="E1" s="2751"/>
      <c r="F1" s="2752"/>
      <c r="I1" s="3128" t="s">
        <v>2584</v>
      </c>
      <c r="J1" s="2777"/>
      <c r="K1" s="2777"/>
      <c r="L1" s="2777"/>
      <c r="M1" s="2777"/>
      <c r="N1" s="2962"/>
      <c r="O1" s="2962"/>
      <c r="P1" s="2962"/>
      <c r="Q1" s="2962"/>
      <c r="R1" s="2962"/>
    </row>
    <row r="2" spans="1:18">
      <c r="A2" s="2754"/>
      <c r="B2" s="2755"/>
      <c r="C2" s="2755"/>
      <c r="D2" s="2755"/>
      <c r="E2" s="2755"/>
      <c r="F2" s="2756"/>
      <c r="I2" s="3238" t="s">
        <v>2571</v>
      </c>
      <c r="J2" s="3238"/>
      <c r="K2" s="3238"/>
      <c r="L2" s="3238"/>
      <c r="M2" s="3238"/>
      <c r="N2" s="3238"/>
      <c r="O2" s="3238"/>
      <c r="P2" s="3238"/>
      <c r="Q2" s="3238"/>
      <c r="R2" s="3238"/>
    </row>
    <row r="3" spans="1:18">
      <c r="A3" s="2757" t="s">
        <v>2492</v>
      </c>
      <c r="B3" s="2758">
        <f>项目基本情况!D3</f>
        <v>45945</v>
      </c>
      <c r="C3" s="2760"/>
      <c r="D3" s="2760"/>
      <c r="E3" s="2760"/>
      <c r="F3" s="2756"/>
      <c r="I3" s="2772"/>
      <c r="J3" s="2772" t="s">
        <v>2575</v>
      </c>
      <c r="K3" s="2772" t="s">
        <v>2576</v>
      </c>
      <c r="L3" s="2772" t="s">
        <v>2577</v>
      </c>
      <c r="M3" s="2772" t="s">
        <v>2578</v>
      </c>
      <c r="N3" s="3129" t="s">
        <v>2579</v>
      </c>
      <c r="O3" s="3129" t="s">
        <v>2580</v>
      </c>
      <c r="P3" s="3129" t="s">
        <v>2581</v>
      </c>
      <c r="Q3" s="3129" t="s">
        <v>2582</v>
      </c>
      <c r="R3" s="3129" t="s">
        <v>2583</v>
      </c>
    </row>
    <row r="4" spans="1:18">
      <c r="A4" s="2757" t="s">
        <v>2493</v>
      </c>
      <c r="B4" s="2760" t="s">
        <v>2494</v>
      </c>
      <c r="C4" s="2760" t="s">
        <v>2495</v>
      </c>
      <c r="D4" s="2760" t="s">
        <v>2496</v>
      </c>
      <c r="E4" s="2760" t="s">
        <v>2497</v>
      </c>
      <c r="F4" s="2756"/>
      <c r="I4" s="2772" t="s">
        <v>2572</v>
      </c>
      <c r="J4" s="2772">
        <v>80</v>
      </c>
      <c r="K4" s="2772">
        <v>70</v>
      </c>
      <c r="L4" s="2772">
        <v>20</v>
      </c>
      <c r="M4" s="2772">
        <v>30</v>
      </c>
      <c r="N4" s="2760">
        <v>45</v>
      </c>
      <c r="O4" s="2760">
        <v>60</v>
      </c>
      <c r="P4" s="2760">
        <v>50</v>
      </c>
      <c r="Q4" s="2760">
        <v>20</v>
      </c>
      <c r="R4" s="2760">
        <v>375</v>
      </c>
    </row>
    <row r="5" spans="1:18">
      <c r="A5" s="2761">
        <v>40</v>
      </c>
      <c r="B5" s="2758">
        <v>46375</v>
      </c>
      <c r="C5" s="2760">
        <f>ROUNDDOWN(MIN((B5-B3)/365,A5),2)</f>
        <v>1.17</v>
      </c>
      <c r="D5" s="2762">
        <f>IF(ISERROR(ROUND(POWER(1+E5,A5-C5)*(POWER(1+E5,C5)-1)/(POWER(1+E5,A5)-1),3)),0,ROUND(POWER(1+E5,A5-C5)*(POWER(1+E5,C5)-1)/(POWER(1+E5,A5)-1),4))</f>
        <v>5.67E-2</v>
      </c>
      <c r="E5" s="2763">
        <v>0.04</v>
      </c>
      <c r="F5" s="2756"/>
      <c r="I5" s="2772" t="s">
        <v>2573</v>
      </c>
      <c r="J5" s="2772">
        <v>70</v>
      </c>
      <c r="K5" s="2772">
        <v>60</v>
      </c>
      <c r="L5" s="2772">
        <v>15</v>
      </c>
      <c r="M5" s="2772">
        <v>25</v>
      </c>
      <c r="N5" s="2760">
        <v>40</v>
      </c>
      <c r="O5" s="2760">
        <v>50</v>
      </c>
      <c r="P5" s="2760">
        <v>40</v>
      </c>
      <c r="Q5" s="2760">
        <v>15</v>
      </c>
      <c r="R5" s="2760">
        <v>315</v>
      </c>
    </row>
    <row r="6" spans="1:18">
      <c r="A6" s="2761">
        <v>50</v>
      </c>
      <c r="B6" s="2758">
        <v>50028</v>
      </c>
      <c r="C6" s="2760">
        <f>ROUNDDOWN(MIN((B6-B3)/365,A6),2)</f>
        <v>11.18</v>
      </c>
      <c r="D6" s="2762">
        <f>IF(ISERROR(ROUND(POWER(1+E6,A6-C6)*(POWER(1+E6,C6)-1)/(POWER(1+E6,A6)-1),3)),0,ROUND(POWER(1+E6,A6-C6)*(POWER(1+E6,C6)-1)/(POWER(1+E6,A6)-1),4))</f>
        <v>0.41310000000000002</v>
      </c>
      <c r="E6" s="2763">
        <v>0.04</v>
      </c>
      <c r="F6" s="2756"/>
      <c r="I6" s="2772" t="s">
        <v>2574</v>
      </c>
      <c r="J6" s="2772">
        <v>60</v>
      </c>
      <c r="K6" s="2772">
        <v>50</v>
      </c>
      <c r="L6" s="2772">
        <v>10</v>
      </c>
      <c r="M6" s="2772">
        <v>20</v>
      </c>
      <c r="N6" s="2760">
        <v>35</v>
      </c>
      <c r="O6" s="2760">
        <v>40</v>
      </c>
      <c r="P6" s="2760">
        <v>30</v>
      </c>
      <c r="Q6" s="2760">
        <v>10</v>
      </c>
      <c r="R6" s="2760">
        <v>255</v>
      </c>
    </row>
    <row r="7" spans="1:18">
      <c r="A7" s="2761">
        <v>70</v>
      </c>
      <c r="B7" s="2758">
        <v>57333</v>
      </c>
      <c r="C7" s="2760">
        <f>ROUNDDOWN(MIN((B7-B3)/365,A7),2)</f>
        <v>31.2</v>
      </c>
      <c r="D7" s="2762">
        <f>IF(ISERROR(ROUND(POWER(1+E7,A7-C7)*(POWER(1+E7,C7)-1)/(POWER(1+E7,A7)-1),3)),0,ROUND(POWER(1+E7,A7-C7)*(POWER(1+E7,C7)-1)/(POWER(1+E7,A7)-1),4))</f>
        <v>0.75429999999999997</v>
      </c>
      <c r="E7" s="2763">
        <v>0.04</v>
      </c>
      <c r="F7" s="2756"/>
    </row>
    <row r="8" spans="1:18">
      <c r="A8" s="2754"/>
      <c r="B8" s="2755"/>
      <c r="C8" s="2755"/>
      <c r="D8" s="2755"/>
      <c r="E8" s="2755"/>
      <c r="F8" s="2756"/>
    </row>
    <row r="9" spans="1:18">
      <c r="A9" s="2757" t="s">
        <v>2498</v>
      </c>
      <c r="B9" s="2760"/>
      <c r="C9" s="2760"/>
      <c r="D9" s="2760"/>
      <c r="E9" s="2760"/>
      <c r="F9" s="2764"/>
    </row>
    <row r="10" spans="1:18">
      <c r="A10" s="2757" t="s">
        <v>2499</v>
      </c>
      <c r="B10" s="2760"/>
      <c r="C10" s="2760"/>
      <c r="D10" s="2760" t="s">
        <v>2497</v>
      </c>
      <c r="E10" s="2760"/>
      <c r="F10" s="2764" t="s">
        <v>2496</v>
      </c>
    </row>
    <row r="11" spans="1:18">
      <c r="A11" s="2757" t="s">
        <v>2500</v>
      </c>
      <c r="B11" s="2765">
        <v>70</v>
      </c>
      <c r="C11" s="2760" t="s">
        <v>2501</v>
      </c>
      <c r="D11" s="2765">
        <v>4.4999999999999998E-2</v>
      </c>
      <c r="E11" s="2760" t="s">
        <v>2502</v>
      </c>
      <c r="F11" s="2766">
        <f>ROUND(1-(1/(POWER(1+D11,B11))),4)</f>
        <v>0.95409999999999995</v>
      </c>
    </row>
    <row r="12" spans="1:18">
      <c r="A12" s="2757" t="s">
        <v>2503</v>
      </c>
      <c r="B12" s="2765">
        <v>40</v>
      </c>
      <c r="C12" s="2760" t="s">
        <v>2504</v>
      </c>
      <c r="D12" s="2765">
        <v>4.4999999999999998E-2</v>
      </c>
      <c r="E12" s="2760" t="s">
        <v>2505</v>
      </c>
      <c r="F12" s="2766">
        <f>ROUND(1-(1/(POWER(1+D12,B12))),4)</f>
        <v>0.82809999999999995</v>
      </c>
    </row>
    <row r="13" spans="1:18">
      <c r="A13" s="2757" t="s">
        <v>2506</v>
      </c>
      <c r="B13" s="2760"/>
      <c r="C13" s="2760"/>
      <c r="D13" s="2755"/>
      <c r="E13" s="2755"/>
      <c r="F13" s="2756"/>
    </row>
    <row r="14" spans="1:18">
      <c r="A14" s="2757" t="s">
        <v>2507</v>
      </c>
      <c r="B14" s="2765">
        <v>5000</v>
      </c>
      <c r="C14" s="2759"/>
      <c r="D14" s="2755"/>
      <c r="E14" s="2755"/>
      <c r="F14" s="2756"/>
    </row>
    <row r="15" spans="1:18">
      <c r="A15" s="2757" t="s">
        <v>2508</v>
      </c>
      <c r="B15" s="2760">
        <f>ROUND(B14*F12/F11,2)</f>
        <v>4339.6899999999996</v>
      </c>
      <c r="C15" s="2760">
        <f>ROUND(F12/F11,4)</f>
        <v>0.8679</v>
      </c>
      <c r="D15" s="2755"/>
      <c r="E15" s="2755"/>
      <c r="F15" s="2756"/>
    </row>
    <row r="16" spans="1:18">
      <c r="A16" s="2757" t="s">
        <v>2509</v>
      </c>
      <c r="B16" s="2760"/>
      <c r="C16" s="2760"/>
      <c r="D16" s="2755"/>
      <c r="E16" s="2755"/>
      <c r="F16" s="2756"/>
    </row>
    <row r="17" spans="1:14">
      <c r="A17" s="2757" t="s">
        <v>2508</v>
      </c>
      <c r="B17" s="2765">
        <v>4810</v>
      </c>
      <c r="C17" s="2759"/>
      <c r="D17" s="2755"/>
      <c r="E17" s="2755"/>
      <c r="F17" s="2756"/>
    </row>
    <row r="18" spans="1:14" ht="15" thickBot="1">
      <c r="A18" s="2767" t="s">
        <v>2507</v>
      </c>
      <c r="B18" s="2768">
        <f>ROUND(B17*F11/F12,2)</f>
        <v>5541.87</v>
      </c>
      <c r="C18" s="2768">
        <f>ROUND(F11/F12,4)</f>
        <v>1.1521999999999999</v>
      </c>
      <c r="D18" s="2769"/>
      <c r="E18" s="2769"/>
      <c r="F18" s="2770"/>
    </row>
    <row r="19" spans="1:14" ht="15" thickBot="1"/>
    <row r="20" spans="1:14" s="2803" customFormat="1" ht="15" thickTop="1">
      <c r="A20" s="2800" t="s">
        <v>2510</v>
      </c>
      <c r="B20" s="2801"/>
      <c r="C20" s="2801"/>
      <c r="D20" s="2801"/>
      <c r="E20" s="2801"/>
      <c r="F20" s="2801"/>
      <c r="G20" s="2802"/>
      <c r="I20" s="2804" t="s">
        <v>2555</v>
      </c>
      <c r="J20" s="2804" t="s">
        <v>2560</v>
      </c>
      <c r="K20" s="2804"/>
      <c r="L20" s="2804"/>
      <c r="M20" s="2804"/>
    </row>
    <row r="21" spans="1:14">
      <c r="A21" s="2771"/>
      <c r="B21" s="2772" t="s">
        <v>2511</v>
      </c>
      <c r="C21" s="2772" t="s">
        <v>2512</v>
      </c>
      <c r="D21" s="2772" t="s">
        <v>2513</v>
      </c>
      <c r="E21" s="2772" t="s">
        <v>2514</v>
      </c>
      <c r="F21" s="2772" t="s">
        <v>2515</v>
      </c>
      <c r="G21" s="2773" t="s">
        <v>2516</v>
      </c>
      <c r="I21" s="2794">
        <v>5</v>
      </c>
      <c r="J21" s="2794">
        <v>54.2</v>
      </c>
    </row>
    <row r="22" spans="1:14">
      <c r="A22" s="2771" t="s">
        <v>2517</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2518</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2558</v>
      </c>
      <c r="N23" s="3146" t="s">
        <v>2559</v>
      </c>
    </row>
    <row r="24" spans="1:14">
      <c r="A24" s="2771" t="s">
        <v>2519</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2557</v>
      </c>
      <c r="N24" s="3146">
        <v>10</v>
      </c>
    </row>
    <row r="25" spans="1:14">
      <c r="A25" s="2771" t="s">
        <v>2520</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2561</v>
      </c>
      <c r="N25" s="3146">
        <v>8</v>
      </c>
    </row>
    <row r="26" spans="1:14">
      <c r="A26" s="2776"/>
      <c r="B26" s="2777"/>
      <c r="C26" s="2777"/>
      <c r="D26" s="2777"/>
      <c r="E26" s="2777"/>
      <c r="F26" s="2777"/>
      <c r="G26" s="2778"/>
      <c r="I26" s="2794">
        <v>30</v>
      </c>
      <c r="J26" s="2794">
        <v>90.5</v>
      </c>
      <c r="K26" s="2794">
        <f t="shared" si="2"/>
        <v>4.2000000000000028</v>
      </c>
      <c r="L26" s="2794" t="s">
        <v>2562</v>
      </c>
      <c r="N26" s="3146">
        <v>5</v>
      </c>
    </row>
    <row r="27" spans="1:14">
      <c r="A27" s="2776" t="s">
        <v>2521</v>
      </c>
      <c r="B27" s="2777"/>
      <c r="C27" s="2777"/>
      <c r="D27" s="2777"/>
      <c r="E27" s="2777"/>
      <c r="F27" s="2777"/>
      <c r="G27" s="2778"/>
      <c r="I27" s="2794">
        <v>35</v>
      </c>
      <c r="J27" s="2794">
        <v>93.8</v>
      </c>
      <c r="K27" s="2794">
        <f t="shared" si="2"/>
        <v>3.2999999999999972</v>
      </c>
      <c r="L27" s="2794" t="s">
        <v>2563</v>
      </c>
      <c r="N27" s="3146">
        <v>3</v>
      </c>
    </row>
    <row r="28" spans="1:14">
      <c r="A28" s="2776" t="s">
        <v>2522</v>
      </c>
      <c r="B28" s="2777"/>
      <c r="C28" s="2777"/>
      <c r="D28" s="2777"/>
      <c r="E28" s="2777"/>
      <c r="F28" s="2777"/>
      <c r="G28" s="2778"/>
      <c r="I28" s="2794">
        <v>40</v>
      </c>
      <c r="J28" s="2794">
        <v>96.4</v>
      </c>
      <c r="K28" s="2794">
        <f t="shared" si="2"/>
        <v>2.6000000000000085</v>
      </c>
      <c r="L28" s="2794" t="s">
        <v>2564</v>
      </c>
      <c r="N28" s="3146">
        <v>2</v>
      </c>
    </row>
    <row r="29" spans="1:14">
      <c r="A29" s="2776" t="s">
        <v>2523</v>
      </c>
      <c r="B29" s="2777"/>
      <c r="C29" s="2777"/>
      <c r="D29" s="2777"/>
      <c r="E29" s="2777"/>
      <c r="F29" s="2777"/>
      <c r="G29" s="2778"/>
      <c r="I29" s="2794">
        <v>45</v>
      </c>
      <c r="J29" s="2794">
        <v>98.4</v>
      </c>
      <c r="K29" s="2794">
        <f t="shared" si="2"/>
        <v>2</v>
      </c>
    </row>
    <row r="30" spans="1:14">
      <c r="A30" s="2776" t="s">
        <v>2524</v>
      </c>
      <c r="B30" s="2777"/>
      <c r="C30" s="2777"/>
      <c r="D30" s="2777"/>
      <c r="E30" s="2777"/>
      <c r="F30" s="2777"/>
      <c r="G30" s="2778"/>
      <c r="I30" s="2794">
        <v>50</v>
      </c>
      <c r="J30" s="2794">
        <v>100</v>
      </c>
      <c r="K30" s="2794">
        <f t="shared" si="2"/>
        <v>1.5999999999999943</v>
      </c>
    </row>
    <row r="31" spans="1:14">
      <c r="A31" s="2776" t="s">
        <v>2525</v>
      </c>
      <c r="B31" s="2777"/>
      <c r="C31" s="2777"/>
      <c r="D31" s="2777"/>
      <c r="E31" s="2777"/>
      <c r="F31" s="2777"/>
      <c r="G31" s="2778"/>
      <c r="I31" s="2794" t="s">
        <v>2556</v>
      </c>
    </row>
    <row r="32" spans="1:14">
      <c r="A32" s="2776" t="s">
        <v>2526</v>
      </c>
      <c r="B32" s="2777"/>
      <c r="C32" s="2777"/>
      <c r="D32" s="2777"/>
      <c r="E32" s="2777"/>
      <c r="F32" s="2777"/>
      <c r="G32" s="2778"/>
    </row>
    <row r="33" spans="1:14">
      <c r="A33" s="2776" t="s">
        <v>2527</v>
      </c>
      <c r="B33" s="2777"/>
      <c r="C33" s="2777"/>
      <c r="D33" s="2777"/>
      <c r="E33" s="2777"/>
      <c r="F33" s="2777"/>
      <c r="G33" s="2778"/>
      <c r="I33" s="2794" t="s">
        <v>2555</v>
      </c>
      <c r="J33" s="2794" t="s">
        <v>2565</v>
      </c>
    </row>
    <row r="34" spans="1:14">
      <c r="A34" s="2776" t="s">
        <v>2528</v>
      </c>
      <c r="B34" s="2777"/>
      <c r="C34" s="2777"/>
      <c r="D34" s="2777"/>
      <c r="E34" s="2777"/>
      <c r="F34" s="2777"/>
      <c r="G34" s="2778"/>
      <c r="I34" s="2794">
        <v>5</v>
      </c>
      <c r="J34" s="2794">
        <v>55.1</v>
      </c>
    </row>
    <row r="35" spans="1:14">
      <c r="A35" s="2776" t="s">
        <v>2529</v>
      </c>
      <c r="B35" s="2777"/>
      <c r="C35" s="2777"/>
      <c r="D35" s="2777"/>
      <c r="E35" s="2777"/>
      <c r="F35" s="2777"/>
      <c r="G35" s="2778"/>
      <c r="I35" s="2794">
        <v>10</v>
      </c>
      <c r="J35" s="2794">
        <v>67</v>
      </c>
      <c r="K35" s="2794">
        <f>J35-J34</f>
        <v>11.899999999999999</v>
      </c>
    </row>
    <row r="36" spans="1:14">
      <c r="A36" s="2776" t="s">
        <v>2530</v>
      </c>
      <c r="B36" s="2777"/>
      <c r="C36" s="2777"/>
      <c r="D36" s="2777"/>
      <c r="E36" s="2777"/>
      <c r="F36" s="2777"/>
      <c r="G36" s="2778"/>
      <c r="I36" s="2794">
        <v>15</v>
      </c>
      <c r="J36" s="2794">
        <v>76.3</v>
      </c>
      <c r="K36" s="2794">
        <f t="shared" ref="K36:K41" si="3">J36-J35</f>
        <v>9.2999999999999972</v>
      </c>
      <c r="L36" s="2794" t="s">
        <v>2558</v>
      </c>
      <c r="N36" s="3146" t="s">
        <v>2559</v>
      </c>
    </row>
    <row r="37" spans="1:14">
      <c r="A37" s="2776" t="s">
        <v>2531</v>
      </c>
      <c r="B37" s="2777"/>
      <c r="C37" s="2777"/>
      <c r="D37" s="2777"/>
      <c r="E37" s="2777"/>
      <c r="F37" s="2777"/>
      <c r="G37" s="2778"/>
      <c r="I37" s="2794">
        <v>20</v>
      </c>
      <c r="J37" s="2794">
        <v>83.6</v>
      </c>
      <c r="K37" s="2794">
        <f t="shared" si="3"/>
        <v>7.2999999999999972</v>
      </c>
      <c r="L37" s="2794" t="s">
        <v>2557</v>
      </c>
      <c r="N37" s="3146">
        <v>10</v>
      </c>
    </row>
    <row r="38" spans="1:14">
      <c r="A38" s="2776" t="s">
        <v>2532</v>
      </c>
      <c r="B38" s="2777"/>
      <c r="C38" s="2777"/>
      <c r="D38" s="2777"/>
      <c r="E38" s="2777"/>
      <c r="F38" s="2777"/>
      <c r="G38" s="2778"/>
      <c r="I38" s="2794">
        <v>25</v>
      </c>
      <c r="J38" s="2794">
        <v>89.3</v>
      </c>
      <c r="K38" s="2794">
        <f t="shared" si="3"/>
        <v>5.7000000000000028</v>
      </c>
      <c r="L38" s="2794" t="s">
        <v>2561</v>
      </c>
      <c r="N38" s="3146">
        <v>8</v>
      </c>
    </row>
    <row r="39" spans="1:14">
      <c r="A39" s="2776"/>
      <c r="B39" s="2777"/>
      <c r="C39" s="2777"/>
      <c r="D39" s="2777"/>
      <c r="E39" s="2777"/>
      <c r="F39" s="2777"/>
      <c r="G39" s="2778"/>
      <c r="I39" s="2794">
        <v>30</v>
      </c>
      <c r="J39" s="2794">
        <v>93.8</v>
      </c>
      <c r="K39" s="2794">
        <f t="shared" si="3"/>
        <v>4.5</v>
      </c>
      <c r="L39" s="2794" t="s">
        <v>2562</v>
      </c>
      <c r="N39" s="3146">
        <v>6</v>
      </c>
    </row>
    <row r="40" spans="1:14">
      <c r="A40" s="2779" t="s">
        <v>2533</v>
      </c>
      <c r="B40" s="2780"/>
      <c r="C40" s="2780"/>
      <c r="D40" s="2780"/>
      <c r="E40" s="2780"/>
      <c r="F40" s="2780"/>
      <c r="G40" s="2781"/>
      <c r="I40" s="2794">
        <v>35</v>
      </c>
      <c r="J40" s="2794">
        <v>97.2</v>
      </c>
      <c r="K40" s="2794">
        <f t="shared" si="3"/>
        <v>3.4000000000000057</v>
      </c>
      <c r="L40" s="2794" t="s">
        <v>2563</v>
      </c>
      <c r="N40" s="3146">
        <v>3</v>
      </c>
    </row>
    <row r="41" spans="1:14">
      <c r="A41" s="2782" t="s">
        <v>2534</v>
      </c>
      <c r="B41" s="2783" t="s">
        <v>2535</v>
      </c>
      <c r="C41" s="2784" t="s">
        <v>2536</v>
      </c>
      <c r="D41" s="2784" t="s">
        <v>2537</v>
      </c>
      <c r="E41" s="2785"/>
      <c r="F41" s="2786"/>
      <c r="G41" s="2787"/>
      <c r="I41" s="2794">
        <v>40</v>
      </c>
      <c r="J41" s="2794">
        <v>100</v>
      </c>
      <c r="K41" s="2794">
        <f t="shared" si="3"/>
        <v>2.7999999999999972</v>
      </c>
    </row>
    <row r="42" spans="1:14">
      <c r="A42" s="2782" t="s">
        <v>2538</v>
      </c>
      <c r="B42" s="2783" t="s">
        <v>2539</v>
      </c>
      <c r="C42" s="2784" t="s">
        <v>2540</v>
      </c>
      <c r="D42" s="2788" t="s">
        <v>2541</v>
      </c>
      <c r="E42" s="2780" t="s">
        <v>2542</v>
      </c>
      <c r="F42" s="2780"/>
      <c r="G42" s="2781"/>
    </row>
    <row r="43" spans="1:14">
      <c r="A43" s="2782" t="s">
        <v>2543</v>
      </c>
      <c r="B43" s="2783" t="s">
        <v>2544</v>
      </c>
      <c r="C43" s="2784" t="s">
        <v>2545</v>
      </c>
      <c r="D43" s="2784" t="s">
        <v>2546</v>
      </c>
      <c r="E43" s="2785" t="s">
        <v>2547</v>
      </c>
      <c r="F43" s="2786"/>
      <c r="G43" s="2787"/>
      <c r="I43" s="2794" t="s">
        <v>2555</v>
      </c>
      <c r="J43" s="2794" t="s">
        <v>2566</v>
      </c>
    </row>
    <row r="44" spans="1:14">
      <c r="A44" s="2782" t="s">
        <v>2548</v>
      </c>
      <c r="B44" s="2783" t="s">
        <v>2549</v>
      </c>
      <c r="C44" s="2784" t="s">
        <v>2550</v>
      </c>
      <c r="D44" s="2788">
        <v>0.5</v>
      </c>
      <c r="E44" s="2785" t="s">
        <v>2551</v>
      </c>
      <c r="F44" s="2786"/>
      <c r="G44" s="2787"/>
      <c r="I44" s="2794">
        <v>30</v>
      </c>
      <c r="J44" s="2794">
        <v>81.7</v>
      </c>
    </row>
    <row r="45" spans="1:14" ht="15" thickBot="1">
      <c r="A45" s="2789" t="s">
        <v>2552</v>
      </c>
      <c r="B45" s="2790" t="s">
        <v>2539</v>
      </c>
      <c r="C45" s="2791" t="s">
        <v>2539</v>
      </c>
      <c r="D45" s="2791" t="s">
        <v>2553</v>
      </c>
      <c r="E45" s="2792" t="s">
        <v>2554</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3375</v>
      </c>
    </row>
    <row r="50" spans="1:4">
      <c r="A50" s="3138" t="s">
        <v>3376</v>
      </c>
      <c r="B50" s="3138" t="s">
        <v>3377</v>
      </c>
      <c r="C50" s="3138" t="s">
        <v>3378</v>
      </c>
      <c r="D50" s="3138" t="s">
        <v>3379</v>
      </c>
    </row>
    <row r="51" spans="1:4">
      <c r="A51" s="3138" t="s">
        <v>3380</v>
      </c>
      <c r="B51" s="2759">
        <f>B52+B53</f>
        <v>15000</v>
      </c>
      <c r="C51" s="3139">
        <f>D51/B51</f>
        <v>2666.6666666666665</v>
      </c>
      <c r="D51" s="2759">
        <f>D52+D53</f>
        <v>40000000</v>
      </c>
    </row>
    <row r="52" spans="1:4">
      <c r="A52" s="3140" t="s">
        <v>3381</v>
      </c>
      <c r="B52" s="3141">
        <v>10000</v>
      </c>
      <c r="C52" s="3141">
        <v>1500</v>
      </c>
      <c r="D52" s="3142">
        <f>C52*B52</f>
        <v>15000000</v>
      </c>
    </row>
    <row r="53" spans="1:4">
      <c r="A53" s="3140" t="s">
        <v>3382</v>
      </c>
      <c r="B53" s="3141">
        <v>5000</v>
      </c>
      <c r="C53" s="3141">
        <v>5000</v>
      </c>
      <c r="D53" s="3142">
        <f>C53*B53</f>
        <v>25000000</v>
      </c>
    </row>
    <row r="54" spans="1:4">
      <c r="A54" s="3138" t="s">
        <v>3383</v>
      </c>
      <c r="B54" s="2759">
        <f>B51</f>
        <v>15000</v>
      </c>
      <c r="C54" s="2765">
        <v>700</v>
      </c>
      <c r="D54" s="2759">
        <f t="shared" ref="D54:D55" si="5">C54*B54</f>
        <v>10500000</v>
      </c>
    </row>
    <row r="55" spans="1:4">
      <c r="A55" s="3138" t="s">
        <v>3384</v>
      </c>
      <c r="B55" s="2759">
        <f>B51</f>
        <v>15000</v>
      </c>
      <c r="C55" s="2765">
        <v>1500</v>
      </c>
      <c r="D55" s="2759">
        <f t="shared" si="5"/>
        <v>22500000</v>
      </c>
    </row>
    <row r="56" spans="1:4">
      <c r="A56" s="3138" t="s">
        <v>3385</v>
      </c>
      <c r="B56" s="2759">
        <f>B51</f>
        <v>15000</v>
      </c>
      <c r="C56" s="3143">
        <f>C51+C54+C55</f>
        <v>4866.6666666666661</v>
      </c>
      <c r="D56" s="2759">
        <f>D51+D54+D55</f>
        <v>73000000</v>
      </c>
    </row>
    <row r="58" spans="1:4">
      <c r="A58" s="3138" t="s">
        <v>3386</v>
      </c>
      <c r="B58" s="3144">
        <v>0.05</v>
      </c>
      <c r="C58" s="2759">
        <f>C56*(1+B58)</f>
        <v>5110</v>
      </c>
      <c r="D58" s="2759">
        <f>D56*B58</f>
        <v>3650000</v>
      </c>
    </row>
    <row r="60" spans="1:4">
      <c r="A60" s="3138" t="s">
        <v>3387</v>
      </c>
      <c r="B60" s="2765">
        <v>3500</v>
      </c>
      <c r="C60" s="2765">
        <f>C53</f>
        <v>5000</v>
      </c>
      <c r="D60" s="2759">
        <f>C60*B60</f>
        <v>17500000</v>
      </c>
    </row>
    <row r="62" spans="1:4">
      <c r="A62" s="3138" t="s">
        <v>3388</v>
      </c>
      <c r="B62" s="2765">
        <f>B51</f>
        <v>15000</v>
      </c>
      <c r="C62" s="3145">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G29" sqref="G29"/>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7" customWidth="1"/>
    <col min="12" max="13" width="10" style="2408"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4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47"/>
      <c r="D1" s="3247"/>
      <c r="E1" s="3247"/>
      <c r="F1" s="3247"/>
      <c r="G1" s="3247"/>
      <c r="H1" s="3247"/>
      <c r="I1" s="3248"/>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7"/>
      <c r="U1" s="1617"/>
      <c r="V1" s="1617"/>
      <c r="W1" s="1617"/>
      <c r="X1" s="1617"/>
      <c r="Y1" s="1617"/>
      <c r="Z1" s="1617"/>
      <c r="AA1" s="1617"/>
      <c r="AB1" s="1617"/>
    </row>
    <row r="2" spans="1:30">
      <c r="A2" s="2181" t="s">
        <v>2169</v>
      </c>
      <c r="B2" s="122"/>
      <c r="D2" s="2442"/>
      <c r="E2" s="2435"/>
      <c r="F2" s="2435"/>
      <c r="G2" s="2436"/>
      <c r="H2" s="2436"/>
      <c r="I2" s="2436"/>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北京市出让国有建设用地使用权及在建建筑物房地产</v>
      </c>
      <c r="T2" s="1617"/>
      <c r="U2" s="1617"/>
      <c r="V2" s="1617"/>
      <c r="W2" s="1617"/>
      <c r="X2" s="1617"/>
      <c r="Y2" s="1617"/>
      <c r="Z2" s="1617"/>
      <c r="AA2" s="1617"/>
      <c r="AB2" s="1617"/>
    </row>
    <row r="3" spans="1:30">
      <c r="A3" s="294" t="s">
        <v>2170</v>
      </c>
      <c r="B3" s="2184">
        <v>45945</v>
      </c>
      <c r="C3" s="2185" t="s">
        <v>2171</v>
      </c>
      <c r="D3" s="2184">
        <f>B3</f>
        <v>45945</v>
      </c>
      <c r="E3" s="2436"/>
      <c r="F3" s="2436"/>
      <c r="G3" s="2436"/>
      <c r="H3" s="2436"/>
      <c r="I3" s="2436"/>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3407</v>
      </c>
      <c r="C4" s="2187">
        <f ca="1">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 ca="1">CONCATENATE(B4,"（注册号：",C4,")、",D4,"（注册号：",E4,")")</f>
        <v>郑燚（注册号：0)、（注册号：0)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36"/>
      <c r="F5" s="2436"/>
      <c r="G5" s="2436"/>
      <c r="H5" s="2436"/>
      <c r="I5" s="2436"/>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5"/>
      <c r="F6" s="2436"/>
      <c r="G6" s="2436"/>
      <c r="H6" s="2436"/>
      <c r="I6" s="2436"/>
      <c r="J6" s="2242"/>
      <c r="K6" s="2395" t="str">
        <f>IF(COUNTIF(B6,"*上海银行*"),"上海银行","")</f>
        <v/>
      </c>
      <c r="L6" s="2393"/>
      <c r="M6" s="2393"/>
      <c r="N6" s="2242"/>
      <c r="O6" s="1669"/>
      <c r="P6" s="2242"/>
      <c r="Q6" s="2242"/>
      <c r="R6" s="2242"/>
    </row>
    <row r="7" spans="1:30">
      <c r="A7" s="2193" t="s">
        <v>2175</v>
      </c>
      <c r="B7" s="2197"/>
      <c r="C7" s="2195"/>
      <c r="D7" s="2196"/>
      <c r="E7" s="2435"/>
      <c r="F7" s="2436"/>
      <c r="G7" s="2436"/>
      <c r="H7" s="2436"/>
      <c r="I7" s="2436"/>
      <c r="J7" s="2242"/>
      <c r="K7" s="2396"/>
      <c r="L7" s="2393"/>
      <c r="M7" s="2393"/>
      <c r="N7" s="2242"/>
      <c r="O7" s="1669"/>
      <c r="P7" s="2242"/>
      <c r="Q7" s="2242"/>
      <c r="R7" s="2242"/>
    </row>
    <row r="8" spans="1:30">
      <c r="A8" s="2198" t="s">
        <v>2176</v>
      </c>
      <c r="B8" s="2199" t="s">
        <v>3408</v>
      </c>
      <c r="C8" s="2200"/>
      <c r="D8" s="3249" t="s">
        <v>2177</v>
      </c>
      <c r="E8" s="2201" t="s">
        <v>3409</v>
      </c>
      <c r="F8" s="2202"/>
      <c r="G8" s="2436"/>
      <c r="H8" s="2436"/>
      <c r="I8" s="2436"/>
      <c r="J8" s="2242"/>
      <c r="K8" s="2394"/>
      <c r="L8" s="2393"/>
      <c r="M8" s="2393"/>
      <c r="N8" s="2242"/>
      <c r="O8" s="1669"/>
      <c r="P8" s="2242"/>
      <c r="Q8" s="2242"/>
      <c r="R8" s="2242"/>
    </row>
    <row r="9" spans="1:30" ht="13.8" thickBot="1">
      <c r="A9" s="2203" t="s">
        <v>2178</v>
      </c>
      <c r="B9" s="2204" t="s">
        <v>3409</v>
      </c>
      <c r="C9" s="2205"/>
      <c r="D9" s="3250"/>
      <c r="E9" s="2204"/>
      <c r="F9" s="2206"/>
      <c r="G9" s="2437"/>
      <c r="H9" s="2437"/>
      <c r="I9" s="2437"/>
      <c r="J9" s="2242"/>
      <c r="K9" s="2396"/>
      <c r="L9" s="2393"/>
      <c r="M9" s="2393"/>
      <c r="N9" s="2242"/>
      <c r="O9" s="1669"/>
      <c r="P9" s="2242"/>
      <c r="Q9" s="2242"/>
      <c r="R9" s="2242"/>
    </row>
    <row r="10" spans="1:30" ht="13.8" thickTop="1">
      <c r="A10" s="2207" t="s">
        <v>2179</v>
      </c>
      <c r="B10" s="2208" t="s">
        <v>3410</v>
      </c>
      <c r="C10" s="2209"/>
      <c r="D10" s="2192"/>
      <c r="E10" s="2210" t="s">
        <v>2180</v>
      </c>
      <c r="F10" s="2438"/>
      <c r="G10" s="2439"/>
      <c r="H10" s="2440"/>
      <c r="I10" s="2441"/>
      <c r="J10" s="2242"/>
      <c r="K10" s="2396"/>
      <c r="L10" s="2393"/>
      <c r="M10" s="2393"/>
      <c r="N10" s="2242"/>
      <c r="O10" s="1669"/>
      <c r="P10" s="2242"/>
      <c r="Q10" s="2242"/>
      <c r="R10" s="2242"/>
    </row>
    <row r="11" spans="1:30">
      <c r="A11" s="2211" t="s">
        <v>2181</v>
      </c>
      <c r="B11" s="2212"/>
      <c r="C11" s="2213"/>
      <c r="D11" s="2214"/>
      <c r="E11" s="2181"/>
      <c r="F11" s="2181"/>
      <c r="G11" s="2181"/>
      <c r="H11" s="2181"/>
      <c r="I11" s="2181"/>
      <c r="J11" s="2796"/>
      <c r="K11" s="2393"/>
      <c r="L11" s="2393"/>
      <c r="M11" s="2393"/>
      <c r="N11" s="2242"/>
      <c r="O11" s="1669"/>
      <c r="P11" s="2242"/>
      <c r="Q11" s="2242"/>
      <c r="R11" s="2242"/>
    </row>
    <row r="12" spans="1:30">
      <c r="A12" s="2215" t="s">
        <v>2182</v>
      </c>
      <c r="B12" s="315" t="s">
        <v>2183</v>
      </c>
      <c r="C12" s="2216" t="s">
        <v>2184</v>
      </c>
      <c r="D12" s="2216" t="s">
        <v>2185</v>
      </c>
      <c r="E12" s="2216" t="s">
        <v>2186</v>
      </c>
      <c r="F12" s="2216" t="s">
        <v>2187</v>
      </c>
      <c r="G12" s="2216" t="s">
        <v>2188</v>
      </c>
      <c r="H12" s="2216" t="s">
        <v>2189</v>
      </c>
      <c r="I12" s="2795" t="s">
        <v>2567</v>
      </c>
      <c r="J12" s="2797"/>
      <c r="K12" s="2393"/>
      <c r="L12" s="2393"/>
      <c r="M12" s="2242"/>
      <c r="N12" s="1669"/>
      <c r="O12" s="2242"/>
      <c r="P12" s="2242"/>
      <c r="Q12" s="2242"/>
      <c r="AD12" s="1617"/>
    </row>
    <row r="13" spans="1:30" ht="15">
      <c r="A13" s="3116" t="s">
        <v>3321</v>
      </c>
      <c r="B13" s="2217" t="s">
        <v>2190</v>
      </c>
      <c r="C13" s="3163">
        <v>71036</v>
      </c>
      <c r="D13" s="3163">
        <v>60079</v>
      </c>
      <c r="E13" s="3163">
        <v>63731</v>
      </c>
      <c r="F13" s="3163">
        <v>63731</v>
      </c>
      <c r="G13" s="3163">
        <v>63731</v>
      </c>
      <c r="H13" s="802"/>
      <c r="I13" s="802"/>
      <c r="J13" s="2797"/>
      <c r="K13" s="2393"/>
      <c r="L13" s="2393"/>
      <c r="M13" s="2242"/>
      <c r="N13" s="1669"/>
      <c r="O13" s="2242"/>
      <c r="P13" s="2242"/>
      <c r="Q13" s="2242"/>
      <c r="AD13" s="1617"/>
    </row>
    <row r="14" spans="1:30" ht="15.6">
      <c r="A14" s="1017"/>
      <c r="B14" s="2217" t="s">
        <v>2191</v>
      </c>
      <c r="C14" s="3164">
        <v>70</v>
      </c>
      <c r="D14" s="3164">
        <v>40</v>
      </c>
      <c r="E14" s="3164">
        <v>50</v>
      </c>
      <c r="F14" s="3164">
        <v>50</v>
      </c>
      <c r="G14" s="3164">
        <v>50</v>
      </c>
      <c r="H14" s="2218"/>
      <c r="I14" s="2218"/>
      <c r="J14" s="2798"/>
      <c r="K14" s="2393"/>
      <c r="L14" s="2393"/>
      <c r="M14" s="2242"/>
      <c r="N14" s="1669"/>
      <c r="O14" s="2242"/>
      <c r="P14" s="2242"/>
      <c r="Q14" s="2242"/>
      <c r="AD14" s="1617"/>
    </row>
    <row r="15" spans="1:30">
      <c r="A15" s="312"/>
      <c r="B15" s="2219" t="s">
        <v>2192</v>
      </c>
      <c r="C15" s="2220">
        <f>IF(A13="出让",IF(C13="","",ROUNDDOWN(MIN((C13-$D$3)/365,C14),2)),C14)</f>
        <v>68.739999999999995</v>
      </c>
      <c r="D15" s="2220">
        <f>IF(A13="出让",IF(D13="","",ROUNDDOWN(MIN((D13-$D$3)/365,D14),2)),D14)</f>
        <v>38.72</v>
      </c>
      <c r="E15" s="2220">
        <f>IF(A13="出让",IF(E13="","",ROUNDDOWN(MIN((E13-$D$3)/365,E14),2)),E14)</f>
        <v>48.72</v>
      </c>
      <c r="F15" s="2220">
        <f>IF(A13="出让",IF(F13="","",ROUNDDOWN(MIN((F13-$D$3)/365,F14),2)),F14)</f>
        <v>48.72</v>
      </c>
      <c r="G15" s="2220">
        <f>IF(A13="出让",IF(G13="","",ROUNDDOWN(MIN((G13-$D$3)/365,G14),2)),G14)</f>
        <v>48.72</v>
      </c>
      <c r="H15" s="2220" t="str">
        <f>IF(A13="出让",IF(H13="","",ROUNDDOWN(MIN((H13-$D$3)/365,H14),2)),H14)</f>
        <v/>
      </c>
      <c r="I15" s="2220" t="str">
        <f>IF(A13="出让",IF(I13="","",ROUNDDOWN(MIN((I13-$D$3)/365,I14),2)),I14)</f>
        <v/>
      </c>
      <c r="J15" s="2799"/>
      <c r="K15" s="1669"/>
      <c r="L15" s="1669"/>
      <c r="M15" s="2242"/>
      <c r="N15" s="1669"/>
      <c r="O15" s="2242"/>
      <c r="P15" s="2242"/>
      <c r="Q15" s="2242"/>
      <c r="AD15" s="1617"/>
    </row>
    <row r="16" spans="1:30">
      <c r="A16" s="2210" t="s">
        <v>2193</v>
      </c>
      <c r="B16" s="3256"/>
      <c r="C16" s="3257"/>
      <c r="D16" s="3258"/>
      <c r="E16" s="2221" t="s">
        <v>2194</v>
      </c>
      <c r="F16" s="3259"/>
      <c r="G16" s="3260"/>
      <c r="H16" s="3260"/>
      <c r="I16" s="3261"/>
      <c r="J16" s="2242"/>
      <c r="K16" s="2397"/>
      <c r="L16" s="1669"/>
      <c r="M16" s="1669"/>
      <c r="N16" s="2242"/>
      <c r="O16" s="1669"/>
      <c r="P16" s="2242"/>
      <c r="Q16" s="2242"/>
      <c r="R16" s="2242"/>
    </row>
    <row r="17" spans="1:28">
      <c r="A17" s="305" t="s">
        <v>2195</v>
      </c>
      <c r="B17" s="294" t="s">
        <v>2196</v>
      </c>
      <c r="C17" s="8">
        <f>'数据-汇总表'!E3</f>
        <v>42993.910000000222</v>
      </c>
      <c r="D17" s="1255" t="s">
        <v>2197</v>
      </c>
      <c r="E17" s="3262" t="s">
        <v>2198</v>
      </c>
      <c r="F17" s="3263"/>
      <c r="G17" s="3263"/>
      <c r="H17" s="3263"/>
      <c r="I17" s="3264"/>
      <c r="J17" s="2242"/>
      <c r="K17" s="2398"/>
      <c r="L17" s="1669"/>
      <c r="M17" s="1669"/>
      <c r="N17" s="2242"/>
      <c r="O17" s="1669"/>
      <c r="P17" s="2242"/>
      <c r="Q17" s="2242"/>
      <c r="R17" s="2242"/>
      <c r="S17" s="2242"/>
      <c r="T17" s="2242"/>
      <c r="U17" s="2242"/>
      <c r="V17" s="2242"/>
    </row>
    <row r="18" spans="1:28" ht="24.6" thickBot="1">
      <c r="A18" s="2222" t="s">
        <v>2199</v>
      </c>
      <c r="B18" s="1026" t="s">
        <v>2200</v>
      </c>
      <c r="C18" s="2223">
        <f>'数据-汇总表'!D3</f>
        <v>17707.41</v>
      </c>
      <c r="D18" s="1028" t="s">
        <v>2201</v>
      </c>
      <c r="E18" s="3265" t="s">
        <v>2202</v>
      </c>
      <c r="F18" s="3266"/>
      <c r="G18" s="3266"/>
      <c r="H18" s="3266"/>
      <c r="I18" s="3267"/>
      <c r="J18" s="2242"/>
      <c r="K18" s="2398"/>
      <c r="L18" s="1669"/>
      <c r="M18" s="1669"/>
      <c r="N18" s="2242"/>
      <c r="O18" s="1669"/>
      <c r="P18" s="2242"/>
      <c r="Q18" s="2242"/>
      <c r="R18" s="2242"/>
      <c r="S18" s="2242"/>
      <c r="T18" s="2242"/>
      <c r="U18" s="2242"/>
      <c r="V18" s="2242"/>
    </row>
    <row r="19" spans="1:28" ht="37.200000000000003" thickTop="1" thickBot="1">
      <c r="A19" s="319" t="s">
        <v>1055</v>
      </c>
      <c r="B19" s="299" t="s">
        <v>2203</v>
      </c>
      <c r="C19" s="1454"/>
      <c r="D19" s="1455" t="s">
        <v>2204</v>
      </c>
      <c r="E19" s="1456"/>
      <c r="F19" s="1457" t="str">
        <f>IF(AND(C19="是",E19="否"),"是否提供他项权证或相关说明","")</f>
        <v/>
      </c>
      <c r="G19" s="1458"/>
      <c r="H19" s="2436"/>
      <c r="I19" s="2436"/>
      <c r="J19" s="2242"/>
      <c r="K19" s="2396"/>
      <c r="L19" s="2393"/>
      <c r="M19" s="2393"/>
      <c r="N19" s="2242"/>
      <c r="O19" s="1669"/>
      <c r="P19" s="2242"/>
      <c r="Q19" s="2242"/>
      <c r="R19" s="2242"/>
      <c r="S19" s="2242"/>
      <c r="T19" s="2242"/>
      <c r="U19" s="2242"/>
      <c r="V19" s="2242"/>
    </row>
    <row r="20" spans="1:28">
      <c r="A20" s="2411" t="s">
        <v>2205</v>
      </c>
      <c r="B20" s="3252" t="s">
        <v>2206</v>
      </c>
      <c r="C20" s="3253"/>
      <c r="D20" s="3254" t="s">
        <v>2207</v>
      </c>
      <c r="E20" s="3255"/>
      <c r="F20" s="2424" t="s">
        <v>1056</v>
      </c>
      <c r="G20" s="2436"/>
      <c r="H20" s="2436"/>
      <c r="I20" s="2436"/>
      <c r="J20" s="2242"/>
      <c r="K20" s="325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1"/>
      <c r="B21" s="2412" t="s">
        <v>2209</v>
      </c>
      <c r="C21" s="2290" t="s">
        <v>1057</v>
      </c>
      <c r="D21" s="1459" t="s">
        <v>2210</v>
      </c>
      <c r="E21" s="2413" t="s">
        <v>1057</v>
      </c>
      <c r="F21" s="2425"/>
      <c r="G21" s="2436"/>
      <c r="H21" s="2436"/>
      <c r="I21" s="2436"/>
      <c r="J21" s="2242"/>
      <c r="K21" s="325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1"/>
      <c r="B22" s="2414" t="s">
        <v>2211</v>
      </c>
      <c r="C22" s="2290" t="s">
        <v>1058</v>
      </c>
      <c r="D22" s="2436"/>
      <c r="E22" s="2436"/>
      <c r="F22" s="2436"/>
      <c r="G22" s="2436"/>
      <c r="H22" s="2436"/>
      <c r="I22" s="2436"/>
      <c r="J22" s="2242"/>
      <c r="K22" s="325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5" t="s">
        <v>2212</v>
      </c>
      <c r="B23" s="2287" t="s">
        <v>2213</v>
      </c>
      <c r="C23" s="2416"/>
      <c r="D23" s="2417" t="s">
        <v>2213</v>
      </c>
      <c r="E23" s="2418"/>
      <c r="F23" s="2436"/>
      <c r="G23" s="2436"/>
      <c r="H23" s="2436"/>
      <c r="I23" s="2436"/>
      <c r="J23" s="2242"/>
      <c r="K23" s="2395"/>
      <c r="L23" s="121"/>
      <c r="M23" s="2393"/>
      <c r="N23" s="2242"/>
      <c r="O23" s="1669"/>
      <c r="P23" s="2242"/>
      <c r="Q23" s="2242"/>
      <c r="R23" s="2242"/>
      <c r="S23" s="2242"/>
      <c r="T23" s="2242"/>
      <c r="U23" s="2242"/>
      <c r="V23" s="2242"/>
    </row>
    <row r="24" spans="1:28">
      <c r="A24" s="2415"/>
      <c r="B24" s="2287" t="s">
        <v>1059</v>
      </c>
      <c r="C24" s="2266"/>
      <c r="D24" s="2415" t="s">
        <v>1059</v>
      </c>
      <c r="E24" s="2419"/>
      <c r="F24" s="2436"/>
      <c r="G24" s="2436"/>
      <c r="H24" s="2436"/>
      <c r="I24" s="2436"/>
      <c r="J24" s="2242"/>
      <c r="K24" s="2395"/>
      <c r="L24" s="121"/>
      <c r="M24" s="2393"/>
      <c r="N24" s="2242"/>
      <c r="O24" s="1669"/>
      <c r="P24" s="2242"/>
      <c r="Q24" s="2242"/>
      <c r="R24" s="2242"/>
      <c r="S24" s="2242"/>
      <c r="T24" s="2242"/>
      <c r="U24" s="2242"/>
      <c r="V24" s="2242"/>
    </row>
    <row r="25" spans="1:28">
      <c r="A25" s="2415"/>
      <c r="B25" s="2287" t="s">
        <v>1060</v>
      </c>
      <c r="C25" s="2266"/>
      <c r="D25" s="2415" t="s">
        <v>1060</v>
      </c>
      <c r="E25" s="2419"/>
      <c r="F25" s="2436"/>
      <c r="G25" s="2436"/>
      <c r="H25" s="2436"/>
      <c r="I25" s="2436"/>
      <c r="J25" s="2242"/>
      <c r="K25" s="2396"/>
      <c r="L25" s="2393"/>
      <c r="M25" s="2393"/>
      <c r="N25" s="2242"/>
      <c r="O25" s="1669"/>
      <c r="P25" s="2242"/>
      <c r="Q25" s="2242"/>
      <c r="R25" s="2242"/>
      <c r="S25" s="2242"/>
      <c r="T25" s="2242"/>
      <c r="U25" s="2242"/>
      <c r="V25" s="2242"/>
    </row>
    <row r="26" spans="1:28" ht="13.8" thickBot="1">
      <c r="A26" s="2420"/>
      <c r="B26" s="2421" t="s">
        <v>1061</v>
      </c>
      <c r="C26" s="2422"/>
      <c r="D26" s="2420" t="s">
        <v>1061</v>
      </c>
      <c r="E26" s="2423"/>
      <c r="F26" s="2437"/>
      <c r="G26" s="2437"/>
      <c r="H26" s="2437"/>
      <c r="I26" s="2437"/>
      <c r="J26" s="2242"/>
      <c r="K26" s="2396"/>
      <c r="L26" s="2393"/>
      <c r="M26" s="2393"/>
      <c r="N26" s="2242"/>
      <c r="O26" s="1669"/>
      <c r="P26" s="2242"/>
      <c r="Q26" s="2242"/>
      <c r="R26" s="2242"/>
      <c r="S26" s="2242"/>
      <c r="T26" s="2242"/>
      <c r="U26" s="2242"/>
      <c r="V26" s="2242"/>
    </row>
    <row r="27" spans="1:28" ht="13.8" thickTop="1">
      <c r="A27" s="3240" t="s">
        <v>2214</v>
      </c>
      <c r="B27" s="312" t="s">
        <v>2215</v>
      </c>
      <c r="C27" s="2224"/>
      <c r="D27" s="2225"/>
      <c r="E27" s="2436"/>
      <c r="F27" s="2436"/>
      <c r="G27" s="2436"/>
      <c r="H27" s="2436"/>
      <c r="I27" s="2436"/>
      <c r="J27" s="2242"/>
      <c r="K27" s="2397"/>
      <c r="L27" s="1669"/>
      <c r="M27" s="1669"/>
      <c r="N27" s="2242"/>
      <c r="O27" s="1669"/>
      <c r="P27" s="2242"/>
      <c r="Q27" s="2242"/>
      <c r="R27" s="2242"/>
      <c r="S27" s="2242"/>
      <c r="T27" s="2242"/>
      <c r="U27" s="2242"/>
      <c r="V27" s="2242"/>
    </row>
    <row r="28" spans="1:28">
      <c r="A28" s="3240"/>
      <c r="B28" s="294" t="s">
        <v>2216</v>
      </c>
      <c r="C28" s="2226"/>
      <c r="D28" s="2227"/>
      <c r="E28" s="2436"/>
      <c r="F28" s="2436"/>
      <c r="G28" s="2436"/>
      <c r="H28" s="2436"/>
      <c r="I28" s="2436"/>
      <c r="J28" s="2242"/>
      <c r="K28" s="2396"/>
      <c r="L28" s="2393"/>
      <c r="M28" s="2393"/>
      <c r="N28" s="2242"/>
      <c r="O28" s="1669"/>
      <c r="P28" s="2242"/>
      <c r="Q28" s="2242"/>
      <c r="R28" s="2242"/>
      <c r="S28" s="2242"/>
      <c r="T28" s="2242"/>
      <c r="U28" s="2242"/>
      <c r="V28" s="2242"/>
    </row>
    <row r="29" spans="1:28">
      <c r="A29" s="3240"/>
      <c r="B29" s="294" t="s">
        <v>2217</v>
      </c>
      <c r="C29" s="2228"/>
      <c r="D29" s="2229"/>
      <c r="E29" s="2436"/>
      <c r="F29" s="2436"/>
      <c r="G29" s="2436"/>
      <c r="H29" s="2436"/>
      <c r="I29" s="2436"/>
      <c r="J29" s="2242"/>
      <c r="K29" s="2396"/>
      <c r="L29" s="2393"/>
      <c r="M29" s="2393"/>
      <c r="N29" s="2242"/>
      <c r="O29" s="1669"/>
      <c r="P29" s="2242"/>
      <c r="Q29" s="2242"/>
      <c r="R29" s="2242"/>
      <c r="S29" s="2242"/>
      <c r="T29" s="2242"/>
      <c r="U29" s="2242"/>
      <c r="V29" s="2242"/>
    </row>
    <row r="30" spans="1:28">
      <c r="A30" s="3241"/>
      <c r="B30" s="294" t="s">
        <v>2218</v>
      </c>
      <c r="C30" s="3242"/>
      <c r="D30" s="3243"/>
      <c r="E30" s="2436"/>
      <c r="F30" s="2436"/>
      <c r="G30" s="2436"/>
      <c r="H30" s="2436"/>
      <c r="I30" s="2436"/>
      <c r="J30" s="2242"/>
      <c r="K30" s="2396"/>
      <c r="L30" s="2393"/>
      <c r="M30" s="2393"/>
      <c r="N30" s="2242"/>
      <c r="O30" s="1669"/>
      <c r="P30" s="2242"/>
      <c r="Q30" s="2242"/>
      <c r="R30" s="2242"/>
      <c r="S30" s="2242"/>
      <c r="T30" s="2242"/>
      <c r="U30" s="2242"/>
      <c r="V30" s="2242"/>
    </row>
    <row r="31" spans="1:28">
      <c r="A31" s="3244" t="s">
        <v>2219</v>
      </c>
      <c r="B31" s="2230"/>
      <c r="C31" s="12" t="str">
        <f>IF(B31="现房","成新及维护状况正常否",IF(B31="在建","工程状态是否正常",IF(B31="土地","是否闲置","-")))</f>
        <v>-</v>
      </c>
      <c r="D31" s="1280"/>
      <c r="E31" s="2231"/>
      <c r="F31" s="2436"/>
      <c r="G31" s="2436"/>
      <c r="H31" s="2436"/>
      <c r="I31" s="2436"/>
      <c r="J31" s="2242"/>
      <c r="K31" s="2395"/>
      <c r="L31" s="2393"/>
      <c r="M31" s="2393"/>
      <c r="N31" s="2242"/>
      <c r="O31" s="1669"/>
      <c r="P31" s="2242"/>
      <c r="Q31" s="2242"/>
      <c r="R31" s="2242"/>
      <c r="S31" s="2242"/>
      <c r="T31" s="2242"/>
      <c r="U31" s="2242"/>
      <c r="V31" s="2242"/>
    </row>
    <row r="32" spans="1:28">
      <c r="A32" s="3245"/>
      <c r="B32" s="2230"/>
      <c r="C32" s="12" t="str">
        <f>IF(B32="现房","成新及维护状况是否正常",IF(B32="在建","工程状态是否正常",IF(B32="土地","是否闲置","-")))</f>
        <v>-</v>
      </c>
      <c r="D32" s="1280"/>
      <c r="E32" s="2231"/>
      <c r="F32" s="2436"/>
      <c r="G32" s="2436"/>
      <c r="H32" s="2436"/>
      <c r="I32" s="2436"/>
      <c r="J32" s="2242"/>
      <c r="K32" s="2396"/>
      <c r="L32" s="2393"/>
      <c r="M32" s="2393"/>
      <c r="N32" s="2242"/>
      <c r="O32" s="1669"/>
      <c r="P32" s="2242"/>
      <c r="Q32" s="2242"/>
      <c r="R32" s="2242"/>
      <c r="S32" s="2242"/>
      <c r="T32" s="2242"/>
      <c r="U32" s="2242"/>
      <c r="V32" s="2242"/>
    </row>
    <row r="33" spans="1:30">
      <c r="A33" s="3245"/>
      <c r="B33" s="2233"/>
      <c r="C33" s="1477" t="str">
        <f>IF(B33="现房","成新及维护状况是否正常",IF(B33="在建","工程状态是否正常",IF(B33="土地","是否闲置","-")))</f>
        <v>-</v>
      </c>
      <c r="D33" s="1273"/>
      <c r="E33" s="2234"/>
      <c r="F33" s="2436"/>
      <c r="G33" s="2436"/>
      <c r="H33" s="2436"/>
      <c r="I33" s="2436"/>
      <c r="J33" s="2242"/>
      <c r="K33" s="2396"/>
      <c r="L33" s="2393"/>
      <c r="M33" s="2393"/>
      <c r="N33" s="2242"/>
      <c r="O33" s="1669"/>
      <c r="P33" s="2242"/>
      <c r="Q33" s="2242"/>
      <c r="R33" s="2242"/>
      <c r="S33" s="2242"/>
      <c r="T33" s="2242"/>
      <c r="U33" s="2242"/>
      <c r="V33" s="2242"/>
    </row>
    <row r="34" spans="1:30">
      <c r="A34" s="294" t="s">
        <v>2220</v>
      </c>
      <c r="B34" s="1869"/>
      <c r="C34" s="1869"/>
      <c r="D34" s="1869"/>
      <c r="E34" s="1869"/>
      <c r="F34" s="1869"/>
      <c r="G34" s="1869"/>
      <c r="H34" s="1869"/>
      <c r="I34" s="2436"/>
      <c r="J34" s="2242"/>
      <c r="K34" s="8">
        <f>COUNTIF(B34:H34,"——")</f>
        <v>0</v>
      </c>
      <c r="L34" s="315" t="s">
        <v>2221</v>
      </c>
      <c r="M34" s="315" t="s">
        <v>2222</v>
      </c>
      <c r="N34" s="315" t="s">
        <v>2223</v>
      </c>
      <c r="O34" s="315" t="s">
        <v>2224</v>
      </c>
      <c r="P34" s="315" t="s">
        <v>2225</v>
      </c>
      <c r="Q34" s="315" t="s">
        <v>2226</v>
      </c>
      <c r="R34" s="315" t="s">
        <v>2227</v>
      </c>
      <c r="S34" s="3239" t="s">
        <v>2228</v>
      </c>
      <c r="T34" s="315" t="str">
        <f>NUMBERSTRING(7-K34,1)&amp;"通"</f>
        <v>七通</v>
      </c>
      <c r="U34" s="2242"/>
      <c r="V34" s="2242"/>
    </row>
    <row r="35" spans="1:30">
      <c r="A35" s="2235"/>
      <c r="B35" s="3239" t="s">
        <v>2229</v>
      </c>
      <c r="C35" s="3239"/>
      <c r="D35" s="3239"/>
      <c r="E35" s="3239"/>
      <c r="F35" s="8">
        <f>C10</f>
        <v>0</v>
      </c>
      <c r="G35" s="2436"/>
      <c r="H35" s="2436"/>
      <c r="I35" s="2436"/>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2"/>
      <c r="V35" s="2242"/>
    </row>
    <row r="36" spans="1:30">
      <c r="A36" s="2182"/>
      <c r="B36" s="8" t="s">
        <v>2185</v>
      </c>
      <c r="C36" s="8" t="s">
        <v>2186</v>
      </c>
      <c r="D36" s="8" t="s">
        <v>2184</v>
      </c>
      <c r="E36" s="8" t="s">
        <v>2189</v>
      </c>
      <c r="F36" s="2795" t="s">
        <v>2570</v>
      </c>
      <c r="G36" s="2436"/>
      <c r="H36" s="2436"/>
      <c r="I36" s="2436"/>
      <c r="J36" s="2242"/>
      <c r="K36" s="2396"/>
      <c r="L36" s="2393"/>
      <c r="M36" s="2393"/>
      <c r="N36" s="2242"/>
      <c r="O36" s="1669"/>
      <c r="P36" s="2242"/>
      <c r="Q36" s="2242"/>
      <c r="R36" s="2242"/>
      <c r="S36" s="2242"/>
      <c r="T36" s="2242"/>
      <c r="U36" s="2242"/>
      <c r="V36" s="2242"/>
    </row>
    <row r="37" spans="1:30" ht="15.6">
      <c r="A37" s="2409" t="s">
        <v>2230</v>
      </c>
      <c r="B37" s="3165" t="s">
        <v>304</v>
      </c>
      <c r="C37" s="3165" t="s">
        <v>304</v>
      </c>
      <c r="D37" s="3165" t="s">
        <v>304</v>
      </c>
      <c r="E37" s="3165"/>
      <c r="F37" s="3165" t="s">
        <v>304</v>
      </c>
      <c r="G37" s="2436"/>
      <c r="H37" s="2436"/>
      <c r="I37" s="2436"/>
      <c r="J37" s="2242"/>
      <c r="K37" s="2396"/>
      <c r="L37" s="2393"/>
      <c r="M37" s="2393"/>
      <c r="N37" s="2242"/>
      <c r="O37" s="1669"/>
      <c r="P37" s="2242"/>
      <c r="Q37" s="2242"/>
      <c r="R37" s="2242"/>
      <c r="S37" s="2242"/>
      <c r="T37" s="2242"/>
      <c r="U37" s="2242"/>
      <c r="V37" s="2242"/>
    </row>
    <row r="38" spans="1:30" ht="16.2" thickBot="1">
      <c r="A38" s="2410" t="s">
        <v>2231</v>
      </c>
      <c r="B38" s="3165" t="s">
        <v>3411</v>
      </c>
      <c r="C38" s="3165" t="s">
        <v>3411</v>
      </c>
      <c r="D38" s="3165" t="s">
        <v>3411</v>
      </c>
      <c r="E38" s="3166"/>
      <c r="F38" s="3166"/>
      <c r="G38" s="2437"/>
      <c r="H38" s="2437"/>
      <c r="I38" s="2437"/>
      <c r="J38" s="2242"/>
      <c r="K38" s="2396"/>
      <c r="L38" s="2393"/>
      <c r="M38" s="2393"/>
      <c r="N38" s="2242"/>
      <c r="O38" s="1669"/>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81"/>
      <c r="B40" s="2181"/>
      <c r="C40" s="2181"/>
      <c r="D40" s="2181"/>
      <c r="E40" s="2181"/>
      <c r="F40" s="2181"/>
      <c r="G40" s="2181"/>
      <c r="H40" s="2181"/>
      <c r="I40" s="1465"/>
      <c r="J40" s="2242"/>
      <c r="K40" s="2395"/>
      <c r="L40" s="1669"/>
      <c r="M40" s="1669"/>
      <c r="N40" s="2242"/>
      <c r="O40" s="1669"/>
      <c r="P40" s="2242"/>
      <c r="Q40" s="2242"/>
      <c r="R40" s="2242"/>
      <c r="S40" s="2242"/>
      <c r="T40" s="2242"/>
      <c r="U40" s="2242"/>
      <c r="V40" s="2242"/>
    </row>
    <row r="41" spans="1:30">
      <c r="A41" s="2239" t="s">
        <v>2233</v>
      </c>
      <c r="B41" s="1626"/>
      <c r="C41" s="1280"/>
      <c r="D41" s="2181"/>
      <c r="E41" s="2181"/>
      <c r="F41" s="2181"/>
      <c r="G41" s="2181"/>
      <c r="H41" s="2181"/>
      <c r="I41" s="1465"/>
      <c r="J41" s="2242"/>
      <c r="K41" s="2396"/>
      <c r="L41" s="2393"/>
      <c r="M41" s="2393"/>
      <c r="N41" s="2242"/>
      <c r="O41" s="1669"/>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5" t="s">
        <v>2243</v>
      </c>
      <c r="K42" s="2406" t="s">
        <v>2244</v>
      </c>
      <c r="L42" s="2406" t="s">
        <v>2245</v>
      </c>
      <c r="M42" s="2406" t="s">
        <v>2246</v>
      </c>
      <c r="N42" s="2399" t="s">
        <v>2247</v>
      </c>
      <c r="O42" s="2399" t="s">
        <v>2248</v>
      </c>
      <c r="P42" s="2399" t="s">
        <v>2249</v>
      </c>
      <c r="Q42" s="2400" t="s">
        <v>2250</v>
      </c>
      <c r="R42" s="2400"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A7785-2D52-4EF9-B1DB-01A305F7339D}">
  <dimension ref="A1:N756"/>
  <sheetViews>
    <sheetView workbookViewId="0">
      <selection activeCell="N23" sqref="N23"/>
    </sheetView>
  </sheetViews>
  <sheetFormatPr defaultRowHeight="14.4"/>
  <cols>
    <col min="2" max="2" width="13.88671875" bestFit="1" customWidth="1"/>
    <col min="3" max="3" width="11.5546875" customWidth="1"/>
    <col min="4" max="4" width="11.44140625" customWidth="1"/>
    <col min="5" max="5" width="17.21875" customWidth="1"/>
    <col min="6" max="6" width="20.88671875" customWidth="1"/>
    <col min="9" max="9" width="11.44140625" customWidth="1"/>
    <col min="10" max="10" width="12.77734375" customWidth="1"/>
    <col min="11" max="11" width="13.88671875" bestFit="1" customWidth="1"/>
    <col min="12" max="12" width="11.5546875" customWidth="1"/>
  </cols>
  <sheetData>
    <row r="1" spans="1:14" ht="15" thickBot="1">
      <c r="A1" s="3184" t="s">
        <v>3542</v>
      </c>
      <c r="B1" s="3185" t="s">
        <v>3543</v>
      </c>
      <c r="C1" s="3185" t="s">
        <v>3544</v>
      </c>
      <c r="D1" s="3185" t="s">
        <v>3545</v>
      </c>
      <c r="E1" s="3185" t="s">
        <v>4029</v>
      </c>
      <c r="F1" s="3185" t="s">
        <v>4030</v>
      </c>
    </row>
    <row r="2" spans="1:14" ht="15" thickBot="1">
      <c r="A2" s="3186">
        <v>1</v>
      </c>
      <c r="B2" s="3187" t="s">
        <v>3638</v>
      </c>
      <c r="C2" s="3187" t="s">
        <v>3639</v>
      </c>
      <c r="D2" s="3187">
        <v>76.180000000000007</v>
      </c>
      <c r="E2" s="3187">
        <v>31.38</v>
      </c>
      <c r="F2" s="3192" t="s">
        <v>4031</v>
      </c>
      <c r="I2" s="1404" t="s">
        <v>2543</v>
      </c>
      <c r="J2">
        <f>SUM(D2:D424)</f>
        <v>36485.100000000202</v>
      </c>
    </row>
    <row r="3" spans="1:14" ht="15" thickBot="1">
      <c r="A3" s="3186">
        <v>2</v>
      </c>
      <c r="B3" s="3187" t="s">
        <v>3638</v>
      </c>
      <c r="C3" s="3187" t="s">
        <v>3640</v>
      </c>
      <c r="D3" s="3187">
        <v>87.43</v>
      </c>
      <c r="E3" s="3187">
        <v>36.01</v>
      </c>
      <c r="F3" s="3192" t="s">
        <v>4031</v>
      </c>
      <c r="I3" s="1404" t="s">
        <v>4038</v>
      </c>
      <c r="J3">
        <f>SUM(D426:D430)</f>
        <v>1573.2800000000002</v>
      </c>
      <c r="L3" s="1404" t="s">
        <v>4039</v>
      </c>
      <c r="M3">
        <f>SUM(D427,D428,D430)</f>
        <v>1236.5999999999999</v>
      </c>
    </row>
    <row r="4" spans="1:14" ht="15" thickBot="1">
      <c r="A4" s="3186">
        <v>3</v>
      </c>
      <c r="B4" s="3187" t="s">
        <v>3638</v>
      </c>
      <c r="C4" s="3187" t="s">
        <v>3641</v>
      </c>
      <c r="D4" s="3187">
        <v>87.43</v>
      </c>
      <c r="E4" s="3187">
        <v>36.01</v>
      </c>
      <c r="F4" s="3192" t="s">
        <v>4031</v>
      </c>
      <c r="I4" s="1404" t="s">
        <v>3595</v>
      </c>
      <c r="J4">
        <f>SUM(D432:D754)-J5</f>
        <v>4148.920000000021</v>
      </c>
    </row>
    <row r="5" spans="1:14" ht="15" thickBot="1">
      <c r="A5" s="3186">
        <v>4</v>
      </c>
      <c r="B5" s="3187" t="s">
        <v>3638</v>
      </c>
      <c r="C5" s="3187" t="s">
        <v>3642</v>
      </c>
      <c r="D5" s="3187">
        <v>87.43</v>
      </c>
      <c r="E5" s="3187">
        <v>36.01</v>
      </c>
      <c r="F5" s="3192" t="s">
        <v>4031</v>
      </c>
      <c r="I5" s="1404" t="s">
        <v>3596</v>
      </c>
      <c r="J5">
        <f>SUM(D597:D602,D607,D609,D620:D622,D624:D628,D630:D631)</f>
        <v>786.60999999999979</v>
      </c>
    </row>
    <row r="6" spans="1:14" ht="15" thickBot="1">
      <c r="A6" s="3186">
        <v>5</v>
      </c>
      <c r="B6" s="3187" t="s">
        <v>3638</v>
      </c>
      <c r="C6" s="3187" t="s">
        <v>3643</v>
      </c>
      <c r="D6" s="3187">
        <v>87.43</v>
      </c>
      <c r="E6" s="3187">
        <v>36.01</v>
      </c>
      <c r="F6" s="3192" t="s">
        <v>4031</v>
      </c>
      <c r="J6">
        <f>SUM(J2:J5)</f>
        <v>42993.910000000222</v>
      </c>
    </row>
    <row r="7" spans="1:14" ht="15" thickBot="1">
      <c r="A7" s="3186">
        <v>6</v>
      </c>
      <c r="B7" s="3187" t="s">
        <v>3638</v>
      </c>
      <c r="C7" s="3187" t="s">
        <v>3644</v>
      </c>
      <c r="D7" s="3187">
        <v>87.43</v>
      </c>
      <c r="E7" s="3187">
        <v>36.01</v>
      </c>
      <c r="F7" s="3192" t="s">
        <v>4031</v>
      </c>
      <c r="J7" s="3189">
        <f>J6-D756</f>
        <v>0</v>
      </c>
    </row>
    <row r="8" spans="1:14" ht="15" thickBot="1">
      <c r="A8" s="3186">
        <v>7</v>
      </c>
      <c r="B8" s="3187" t="s">
        <v>3638</v>
      </c>
      <c r="C8" s="3187" t="s">
        <v>3645</v>
      </c>
      <c r="D8" s="3187">
        <v>87.43</v>
      </c>
      <c r="E8" s="3187">
        <v>36.01</v>
      </c>
      <c r="F8" s="3192" t="s">
        <v>4031</v>
      </c>
    </row>
    <row r="9" spans="1:14" ht="15" thickBot="1">
      <c r="A9" s="3186">
        <v>8</v>
      </c>
      <c r="B9" s="3187" t="s">
        <v>3638</v>
      </c>
      <c r="C9" s="3187" t="s">
        <v>3646</v>
      </c>
      <c r="D9" s="3187">
        <v>87.43</v>
      </c>
      <c r="E9" s="3187">
        <v>36.01</v>
      </c>
      <c r="F9" s="3192" t="s">
        <v>4031</v>
      </c>
      <c r="L9" s="1404" t="s">
        <v>4046</v>
      </c>
    </row>
    <row r="10" spans="1:14" ht="15" thickBot="1">
      <c r="A10" s="3186">
        <v>9</v>
      </c>
      <c r="B10" s="3187" t="s">
        <v>3638</v>
      </c>
      <c r="C10" s="3187" t="s">
        <v>3647</v>
      </c>
      <c r="D10" s="3187">
        <v>87.43</v>
      </c>
      <c r="E10" s="3187">
        <v>36.01</v>
      </c>
      <c r="F10" s="3192" t="s">
        <v>4031</v>
      </c>
      <c r="J10">
        <v>1</v>
      </c>
      <c r="K10">
        <f>SUM(D2:D30)</f>
        <v>2425.2100000000005</v>
      </c>
      <c r="L10" s="3537">
        <v>0.2</v>
      </c>
      <c r="M10" s="3537">
        <v>0.35</v>
      </c>
      <c r="N10" s="3537">
        <f>SUM(L10:M10)</f>
        <v>0.55000000000000004</v>
      </c>
    </row>
    <row r="11" spans="1:14" ht="15" thickBot="1">
      <c r="A11" s="3186">
        <v>10</v>
      </c>
      <c r="B11" s="3187" t="s">
        <v>3638</v>
      </c>
      <c r="C11" s="3187" t="s">
        <v>3648</v>
      </c>
      <c r="D11" s="3187">
        <v>87.43</v>
      </c>
      <c r="E11" s="3187">
        <v>36.01</v>
      </c>
      <c r="F11" s="3192" t="s">
        <v>4031</v>
      </c>
      <c r="J11">
        <v>2</v>
      </c>
      <c r="K11">
        <f>SUM(D31:D74)</f>
        <v>3621.1999999999985</v>
      </c>
      <c r="L11" s="3537">
        <v>0.2</v>
      </c>
      <c r="M11" s="3537">
        <v>0.35</v>
      </c>
      <c r="N11" s="3537">
        <f t="shared" ref="N11:N21" si="0">SUM(L11:M11)</f>
        <v>0.55000000000000004</v>
      </c>
    </row>
    <row r="12" spans="1:14" ht="15" thickBot="1">
      <c r="A12" s="3186">
        <v>11</v>
      </c>
      <c r="B12" s="3187" t="s">
        <v>3638</v>
      </c>
      <c r="C12" s="3187" t="s">
        <v>3649</v>
      </c>
      <c r="D12" s="3187">
        <v>87.43</v>
      </c>
      <c r="E12" s="3187">
        <v>36.01</v>
      </c>
      <c r="F12" s="3192" t="s">
        <v>4031</v>
      </c>
      <c r="J12">
        <v>3</v>
      </c>
      <c r="K12">
        <f>SUM(D75:D99)</f>
        <v>2157.9499999999994</v>
      </c>
      <c r="L12" s="3537">
        <v>0.2</v>
      </c>
      <c r="M12" s="3537">
        <v>0.35</v>
      </c>
      <c r="N12" s="3537">
        <f t="shared" si="0"/>
        <v>0.55000000000000004</v>
      </c>
    </row>
    <row r="13" spans="1:14" ht="15" thickBot="1">
      <c r="A13" s="3186">
        <v>12</v>
      </c>
      <c r="B13" s="3187" t="s">
        <v>3638</v>
      </c>
      <c r="C13" s="3187" t="s">
        <v>3650</v>
      </c>
      <c r="D13" s="3187">
        <v>76.180000000000007</v>
      </c>
      <c r="E13" s="3187">
        <v>31.38</v>
      </c>
      <c r="F13" s="3192" t="s">
        <v>4031</v>
      </c>
      <c r="J13">
        <v>4</v>
      </c>
      <c r="K13">
        <f>SUM(D100:D131)</f>
        <v>2717.6799999999989</v>
      </c>
      <c r="L13" s="3537">
        <v>0.2</v>
      </c>
      <c r="M13" s="3537">
        <v>0.35</v>
      </c>
      <c r="N13" s="3537">
        <f t="shared" si="0"/>
        <v>0.55000000000000004</v>
      </c>
    </row>
    <row r="14" spans="1:14" ht="15" thickBot="1">
      <c r="A14" s="3186">
        <v>13</v>
      </c>
      <c r="B14" s="3187" t="s">
        <v>3638</v>
      </c>
      <c r="C14" s="3187" t="s">
        <v>3651</v>
      </c>
      <c r="D14" s="3187">
        <v>87.43</v>
      </c>
      <c r="E14" s="3187">
        <v>36.01</v>
      </c>
      <c r="F14" s="3192" t="s">
        <v>4031</v>
      </c>
      <c r="J14">
        <v>5</v>
      </c>
      <c r="K14">
        <f>SUM(D132:D179)</f>
        <v>4170.0200000000013</v>
      </c>
      <c r="L14" s="3537">
        <v>0.2</v>
      </c>
      <c r="M14" s="3537">
        <v>0.35</v>
      </c>
      <c r="N14" s="3537">
        <f t="shared" si="0"/>
        <v>0.55000000000000004</v>
      </c>
    </row>
    <row r="15" spans="1:14" ht="15" thickBot="1">
      <c r="A15" s="3186">
        <v>14</v>
      </c>
      <c r="B15" s="3187" t="s">
        <v>3638</v>
      </c>
      <c r="C15" s="3187" t="s">
        <v>3652</v>
      </c>
      <c r="D15" s="3187">
        <v>76.459999999999994</v>
      </c>
      <c r="E15" s="3187">
        <v>31.5</v>
      </c>
      <c r="F15" s="3192" t="s">
        <v>4031</v>
      </c>
      <c r="I15">
        <v>9</v>
      </c>
      <c r="J15">
        <v>6</v>
      </c>
      <c r="K15" s="3152">
        <f>SUM(D180:D197)</f>
        <v>1933.0200000000009</v>
      </c>
      <c r="L15" s="3537">
        <v>0.2</v>
      </c>
      <c r="M15" s="3538">
        <f>M10*8/I15</f>
        <v>0.31111111111111112</v>
      </c>
      <c r="N15" s="3537">
        <f t="shared" si="0"/>
        <v>0.51111111111111107</v>
      </c>
    </row>
    <row r="16" spans="1:14" ht="15" thickBot="1">
      <c r="A16" s="3186">
        <v>15</v>
      </c>
      <c r="B16" s="3187" t="s">
        <v>3638</v>
      </c>
      <c r="C16" s="3187" t="s">
        <v>3653</v>
      </c>
      <c r="D16" s="3187">
        <v>87.43</v>
      </c>
      <c r="E16" s="3187">
        <v>36.01</v>
      </c>
      <c r="F16" s="3192" t="s">
        <v>4031</v>
      </c>
      <c r="J16">
        <v>7</v>
      </c>
      <c r="K16">
        <f>SUM(D198:D215)</f>
        <v>1933.0200000000009</v>
      </c>
      <c r="L16" s="3537">
        <v>0.2</v>
      </c>
      <c r="M16" s="3537">
        <v>0.35</v>
      </c>
      <c r="N16" s="3537">
        <f t="shared" si="0"/>
        <v>0.55000000000000004</v>
      </c>
    </row>
    <row r="17" spans="1:14" ht="15" thickBot="1">
      <c r="A17" s="3186">
        <v>16</v>
      </c>
      <c r="B17" s="3187" t="s">
        <v>3638</v>
      </c>
      <c r="C17" s="3187" t="s">
        <v>3654</v>
      </c>
      <c r="D17" s="3187">
        <v>76.459999999999994</v>
      </c>
      <c r="E17" s="3187">
        <v>31.5</v>
      </c>
      <c r="F17" s="3192" t="s">
        <v>4031</v>
      </c>
      <c r="I17">
        <v>9</v>
      </c>
      <c r="J17">
        <v>8</v>
      </c>
      <c r="K17" s="3152">
        <f>SUM(D216:D269)</f>
        <v>4721.9400000000014</v>
      </c>
      <c r="L17" s="3537">
        <v>0.2</v>
      </c>
      <c r="M17" s="3538">
        <f>M12*8/I17</f>
        <v>0.31111111111111112</v>
      </c>
      <c r="N17" s="3537">
        <f t="shared" si="0"/>
        <v>0.51111111111111107</v>
      </c>
    </row>
    <row r="18" spans="1:14" ht="15" thickBot="1">
      <c r="A18" s="3186">
        <v>17</v>
      </c>
      <c r="B18" s="3187" t="s">
        <v>3638</v>
      </c>
      <c r="C18" s="3187" t="s">
        <v>3655</v>
      </c>
      <c r="D18" s="3187">
        <v>87.43</v>
      </c>
      <c r="E18" s="3187">
        <v>36.01</v>
      </c>
      <c r="F18" s="3192" t="s">
        <v>4031</v>
      </c>
      <c r="J18">
        <v>9</v>
      </c>
      <c r="K18">
        <f>SUM(D270:D298)</f>
        <v>2421.14</v>
      </c>
      <c r="L18" s="3537">
        <v>0.2</v>
      </c>
      <c r="M18" s="3537">
        <v>0.35</v>
      </c>
      <c r="N18" s="3537">
        <f t="shared" si="0"/>
        <v>0.55000000000000004</v>
      </c>
    </row>
    <row r="19" spans="1:14" ht="15" thickBot="1">
      <c r="A19" s="3186">
        <v>18</v>
      </c>
      <c r="B19" s="3187" t="s">
        <v>3638</v>
      </c>
      <c r="C19" s="3187" t="s">
        <v>3656</v>
      </c>
      <c r="D19" s="3187">
        <v>76.459999999999994</v>
      </c>
      <c r="E19" s="3187">
        <v>31.5</v>
      </c>
      <c r="F19" s="3192" t="s">
        <v>4031</v>
      </c>
      <c r="J19">
        <v>10</v>
      </c>
      <c r="K19">
        <f>SUM(D299:D342)</f>
        <v>3621.1999999999985</v>
      </c>
      <c r="L19" s="3537">
        <v>0.2</v>
      </c>
      <c r="M19" s="3537">
        <v>0.35</v>
      </c>
      <c r="N19" s="3537">
        <f t="shared" si="0"/>
        <v>0.55000000000000004</v>
      </c>
    </row>
    <row r="20" spans="1:14" ht="15" thickBot="1">
      <c r="A20" s="3186">
        <v>19</v>
      </c>
      <c r="B20" s="3187" t="s">
        <v>3638</v>
      </c>
      <c r="C20" s="3187" t="s">
        <v>3657</v>
      </c>
      <c r="D20" s="3187">
        <v>87.43</v>
      </c>
      <c r="E20" s="3187">
        <v>36.01</v>
      </c>
      <c r="F20" s="3192" t="s">
        <v>4031</v>
      </c>
      <c r="I20">
        <v>11</v>
      </c>
      <c r="J20">
        <v>11</v>
      </c>
      <c r="K20" s="3152">
        <f>SUM(D343:D380)</f>
        <v>3149.4399999999987</v>
      </c>
      <c r="L20" s="3537">
        <v>0.2</v>
      </c>
      <c r="M20" s="3538">
        <f>M15*10/I20</f>
        <v>0.28282828282828282</v>
      </c>
      <c r="N20" s="3537">
        <f t="shared" si="0"/>
        <v>0.48282828282828283</v>
      </c>
    </row>
    <row r="21" spans="1:14" ht="15" thickBot="1">
      <c r="A21" s="3186">
        <v>20</v>
      </c>
      <c r="B21" s="3187" t="s">
        <v>3638</v>
      </c>
      <c r="C21" s="3187" t="s">
        <v>3658</v>
      </c>
      <c r="D21" s="3187">
        <v>76.459999999999994</v>
      </c>
      <c r="E21" s="3187">
        <v>31.5</v>
      </c>
      <c r="F21" s="3192" t="s">
        <v>4031</v>
      </c>
      <c r="J21">
        <v>12</v>
      </c>
      <c r="K21">
        <f>SUM(D381:D424)</f>
        <v>3613.2799999999966</v>
      </c>
      <c r="L21" s="3537">
        <v>0.2</v>
      </c>
      <c r="M21" s="3537">
        <v>0.35</v>
      </c>
      <c r="N21" s="3537">
        <f t="shared" si="0"/>
        <v>0.55000000000000004</v>
      </c>
    </row>
    <row r="22" spans="1:14" ht="15" thickBot="1">
      <c r="A22" s="3186">
        <v>21</v>
      </c>
      <c r="B22" s="3187" t="s">
        <v>3638</v>
      </c>
      <c r="C22" s="3187" t="s">
        <v>3659</v>
      </c>
      <c r="D22" s="3187">
        <v>87.43</v>
      </c>
      <c r="E22" s="3187">
        <v>36.01</v>
      </c>
      <c r="F22" s="3192" t="s">
        <v>4031</v>
      </c>
      <c r="K22">
        <f>SUM(K10:K21)</f>
        <v>36485.099999999991</v>
      </c>
      <c r="N22" s="3537">
        <f>SUMPRODUCT(N10:N21,K10:K21)/K22</f>
        <v>0.5371082361586158</v>
      </c>
    </row>
    <row r="23" spans="1:14" ht="15" thickBot="1">
      <c r="A23" s="3186">
        <v>22</v>
      </c>
      <c r="B23" s="3187" t="s">
        <v>3638</v>
      </c>
      <c r="C23" s="3187" t="s">
        <v>3660</v>
      </c>
      <c r="D23" s="3187">
        <v>76.459999999999994</v>
      </c>
      <c r="E23" s="3187">
        <v>31.5</v>
      </c>
      <c r="F23" s="3192" t="s">
        <v>4031</v>
      </c>
      <c r="K23">
        <f>K22-J2</f>
        <v>-2.1100277081131935E-10</v>
      </c>
    </row>
    <row r="24" spans="1:14" ht="15" thickBot="1">
      <c r="A24" s="3186">
        <v>23</v>
      </c>
      <c r="B24" s="3187" t="s">
        <v>3638</v>
      </c>
      <c r="C24" s="3187" t="s">
        <v>3661</v>
      </c>
      <c r="D24" s="3187">
        <v>87.43</v>
      </c>
      <c r="E24" s="3187">
        <v>36.01</v>
      </c>
      <c r="F24" s="3192" t="s">
        <v>4031</v>
      </c>
    </row>
    <row r="25" spans="1:14" ht="15" thickBot="1">
      <c r="A25" s="3186">
        <v>24</v>
      </c>
      <c r="B25" s="3187" t="s">
        <v>3638</v>
      </c>
      <c r="C25" s="3187" t="s">
        <v>3662</v>
      </c>
      <c r="D25" s="3187">
        <v>76.459999999999994</v>
      </c>
      <c r="E25" s="3187">
        <v>31.5</v>
      </c>
      <c r="F25" s="3192" t="s">
        <v>4031</v>
      </c>
    </row>
    <row r="26" spans="1:14" ht="15" thickBot="1">
      <c r="A26" s="3186">
        <v>25</v>
      </c>
      <c r="B26" s="3187" t="s">
        <v>3638</v>
      </c>
      <c r="C26" s="3187" t="s">
        <v>3663</v>
      </c>
      <c r="D26" s="3187">
        <v>87.43</v>
      </c>
      <c r="E26" s="3187">
        <v>36.01</v>
      </c>
      <c r="F26" s="3192" t="s">
        <v>4031</v>
      </c>
    </row>
    <row r="27" spans="1:14" ht="15" thickBot="1">
      <c r="A27" s="3186">
        <v>26</v>
      </c>
      <c r="B27" s="3187" t="s">
        <v>3638</v>
      </c>
      <c r="C27" s="3187" t="s">
        <v>3664</v>
      </c>
      <c r="D27" s="3187">
        <v>76.459999999999994</v>
      </c>
      <c r="E27" s="3187">
        <v>31.5</v>
      </c>
      <c r="F27" s="3192" t="s">
        <v>4031</v>
      </c>
    </row>
    <row r="28" spans="1:14" ht="15" thickBot="1">
      <c r="A28" s="3186">
        <v>27</v>
      </c>
      <c r="B28" s="3187" t="s">
        <v>3638</v>
      </c>
      <c r="C28" s="3187" t="s">
        <v>3665</v>
      </c>
      <c r="D28" s="3187">
        <v>87.43</v>
      </c>
      <c r="E28" s="3187">
        <v>36.01</v>
      </c>
      <c r="F28" s="3192" t="s">
        <v>4031</v>
      </c>
    </row>
    <row r="29" spans="1:14" ht="15" thickBot="1">
      <c r="A29" s="3186">
        <v>28</v>
      </c>
      <c r="B29" s="3187" t="s">
        <v>3638</v>
      </c>
      <c r="C29" s="3187" t="s">
        <v>3666</v>
      </c>
      <c r="D29" s="3187">
        <v>76.459999999999994</v>
      </c>
      <c r="E29" s="3187">
        <v>31.5</v>
      </c>
      <c r="F29" s="3192" t="s">
        <v>4031</v>
      </c>
    </row>
    <row r="30" spans="1:14" ht="15" thickBot="1">
      <c r="A30" s="3186">
        <v>29</v>
      </c>
      <c r="B30" s="3187" t="s">
        <v>3638</v>
      </c>
      <c r="C30" s="3187" t="s">
        <v>3667</v>
      </c>
      <c r="D30" s="3187">
        <v>87.43</v>
      </c>
      <c r="E30" s="3187">
        <v>36.01</v>
      </c>
      <c r="F30" s="3192" t="s">
        <v>4031</v>
      </c>
    </row>
    <row r="31" spans="1:14" ht="15" thickBot="1">
      <c r="A31" s="3186">
        <v>30</v>
      </c>
      <c r="B31" s="3187" t="s">
        <v>3668</v>
      </c>
      <c r="C31" s="3187" t="s">
        <v>3669</v>
      </c>
      <c r="D31" s="3187">
        <v>76.790000000000006</v>
      </c>
      <c r="E31" s="3187">
        <v>31.63</v>
      </c>
      <c r="F31" s="3192" t="s">
        <v>4031</v>
      </c>
    </row>
    <row r="32" spans="1:14" ht="15" thickBot="1">
      <c r="A32" s="3186">
        <v>31</v>
      </c>
      <c r="B32" s="3187" t="s">
        <v>3668</v>
      </c>
      <c r="C32" s="3187" t="s">
        <v>3546</v>
      </c>
      <c r="D32" s="3187">
        <v>87.81</v>
      </c>
      <c r="E32" s="3187">
        <v>36.17</v>
      </c>
      <c r="F32" s="3192" t="s">
        <v>4031</v>
      </c>
    </row>
    <row r="33" spans="1:6" ht="15" thickBot="1">
      <c r="A33" s="3186">
        <v>32</v>
      </c>
      <c r="B33" s="3187" t="s">
        <v>3668</v>
      </c>
      <c r="C33" s="3187" t="s">
        <v>3670</v>
      </c>
      <c r="D33" s="3187">
        <v>76.790000000000006</v>
      </c>
      <c r="E33" s="3187">
        <v>31.63</v>
      </c>
      <c r="F33" s="3192" t="s">
        <v>4031</v>
      </c>
    </row>
    <row r="34" spans="1:6" ht="15" thickBot="1">
      <c r="A34" s="3186">
        <v>33</v>
      </c>
      <c r="B34" s="3187" t="s">
        <v>3668</v>
      </c>
      <c r="C34" s="3187" t="s">
        <v>3671</v>
      </c>
      <c r="D34" s="3187">
        <v>87.81</v>
      </c>
      <c r="E34" s="3187">
        <v>36.17</v>
      </c>
      <c r="F34" s="3192" t="s">
        <v>4031</v>
      </c>
    </row>
    <row r="35" spans="1:6" ht="15" thickBot="1">
      <c r="A35" s="3186">
        <v>34</v>
      </c>
      <c r="B35" s="3187" t="s">
        <v>3668</v>
      </c>
      <c r="C35" s="3187" t="s">
        <v>3672</v>
      </c>
      <c r="D35" s="3187">
        <v>76.790000000000006</v>
      </c>
      <c r="E35" s="3187">
        <v>31.63</v>
      </c>
      <c r="F35" s="3192" t="s">
        <v>4031</v>
      </c>
    </row>
    <row r="36" spans="1:6" ht="15" thickBot="1">
      <c r="A36" s="3186">
        <v>35</v>
      </c>
      <c r="B36" s="3187" t="s">
        <v>3668</v>
      </c>
      <c r="C36" s="3187" t="s">
        <v>3673</v>
      </c>
      <c r="D36" s="3187">
        <v>87.81</v>
      </c>
      <c r="E36" s="3187">
        <v>36.17</v>
      </c>
      <c r="F36" s="3192" t="s">
        <v>4031</v>
      </c>
    </row>
    <row r="37" spans="1:6" ht="15" thickBot="1">
      <c r="A37" s="3186">
        <v>36</v>
      </c>
      <c r="B37" s="3187" t="s">
        <v>3668</v>
      </c>
      <c r="C37" s="3187" t="s">
        <v>3674</v>
      </c>
      <c r="D37" s="3187">
        <v>76.790000000000006</v>
      </c>
      <c r="E37" s="3187">
        <v>31.63</v>
      </c>
      <c r="F37" s="3192" t="s">
        <v>4031</v>
      </c>
    </row>
    <row r="38" spans="1:6" ht="15" thickBot="1">
      <c r="A38" s="3186">
        <v>37</v>
      </c>
      <c r="B38" s="3187" t="s">
        <v>3668</v>
      </c>
      <c r="C38" s="3187" t="s">
        <v>3675</v>
      </c>
      <c r="D38" s="3187">
        <v>87.81</v>
      </c>
      <c r="E38" s="3187">
        <v>36.17</v>
      </c>
      <c r="F38" s="3192" t="s">
        <v>4031</v>
      </c>
    </row>
    <row r="39" spans="1:6" ht="15" thickBot="1">
      <c r="A39" s="3186">
        <v>38</v>
      </c>
      <c r="B39" s="3187" t="s">
        <v>3668</v>
      </c>
      <c r="C39" s="3187" t="s">
        <v>3676</v>
      </c>
      <c r="D39" s="3187">
        <v>76.790000000000006</v>
      </c>
      <c r="E39" s="3187">
        <v>31.63</v>
      </c>
      <c r="F39" s="3192" t="s">
        <v>4031</v>
      </c>
    </row>
    <row r="40" spans="1:6" ht="15" thickBot="1">
      <c r="A40" s="3186">
        <v>39</v>
      </c>
      <c r="B40" s="3187" t="s">
        <v>3668</v>
      </c>
      <c r="C40" s="3187" t="s">
        <v>3677</v>
      </c>
      <c r="D40" s="3187">
        <v>87.81</v>
      </c>
      <c r="E40" s="3187">
        <v>36.17</v>
      </c>
      <c r="F40" s="3192" t="s">
        <v>4031</v>
      </c>
    </row>
    <row r="41" spans="1:6" ht="15" thickBot="1">
      <c r="A41" s="3186">
        <v>40</v>
      </c>
      <c r="B41" s="3187" t="s">
        <v>3668</v>
      </c>
      <c r="C41" s="3187" t="s">
        <v>3678</v>
      </c>
      <c r="D41" s="3187">
        <v>76.790000000000006</v>
      </c>
      <c r="E41" s="3187">
        <v>31.63</v>
      </c>
      <c r="F41" s="3192" t="s">
        <v>4031</v>
      </c>
    </row>
    <row r="42" spans="1:6" ht="15" thickBot="1">
      <c r="A42" s="3186">
        <v>41</v>
      </c>
      <c r="B42" s="3187" t="s">
        <v>3668</v>
      </c>
      <c r="C42" s="3187" t="s">
        <v>3679</v>
      </c>
      <c r="D42" s="3187">
        <v>87.81</v>
      </c>
      <c r="E42" s="3187">
        <v>36.17</v>
      </c>
      <c r="F42" s="3192" t="s">
        <v>4031</v>
      </c>
    </row>
    <row r="43" spans="1:6" ht="15" thickBot="1">
      <c r="A43" s="3186">
        <v>42</v>
      </c>
      <c r="B43" s="3187" t="s">
        <v>3668</v>
      </c>
      <c r="C43" s="3187" t="s">
        <v>3680</v>
      </c>
      <c r="D43" s="3187">
        <v>76.790000000000006</v>
      </c>
      <c r="E43" s="3187">
        <v>31.63</v>
      </c>
      <c r="F43" s="3192" t="s">
        <v>4031</v>
      </c>
    </row>
    <row r="44" spans="1:6" ht="15" thickBot="1">
      <c r="A44" s="3186">
        <v>43</v>
      </c>
      <c r="B44" s="3187" t="s">
        <v>3668</v>
      </c>
      <c r="C44" s="3187" t="s">
        <v>3681</v>
      </c>
      <c r="D44" s="3187">
        <v>87.81</v>
      </c>
      <c r="E44" s="3187">
        <v>36.17</v>
      </c>
      <c r="F44" s="3192" t="s">
        <v>4031</v>
      </c>
    </row>
    <row r="45" spans="1:6" ht="15" thickBot="1">
      <c r="A45" s="3186">
        <v>44</v>
      </c>
      <c r="B45" s="3187" t="s">
        <v>3668</v>
      </c>
      <c r="C45" s="3187" t="s">
        <v>3682</v>
      </c>
      <c r="D45" s="3187">
        <v>76.790000000000006</v>
      </c>
      <c r="E45" s="3187">
        <v>31.63</v>
      </c>
      <c r="F45" s="3192" t="s">
        <v>4031</v>
      </c>
    </row>
    <row r="46" spans="1:6" ht="15" thickBot="1">
      <c r="A46" s="3186">
        <v>45</v>
      </c>
      <c r="B46" s="3187" t="s">
        <v>3668</v>
      </c>
      <c r="C46" s="3187" t="s">
        <v>3683</v>
      </c>
      <c r="D46" s="3187">
        <v>87.81</v>
      </c>
      <c r="E46" s="3187">
        <v>36.17</v>
      </c>
      <c r="F46" s="3192" t="s">
        <v>4031</v>
      </c>
    </row>
    <row r="47" spans="1:6" ht="15" thickBot="1">
      <c r="A47" s="3186">
        <v>46</v>
      </c>
      <c r="B47" s="3187" t="s">
        <v>3668</v>
      </c>
      <c r="C47" s="3187" t="s">
        <v>3684</v>
      </c>
      <c r="D47" s="3187">
        <v>76.790000000000006</v>
      </c>
      <c r="E47" s="3187">
        <v>31.63</v>
      </c>
      <c r="F47" s="3192" t="s">
        <v>4031</v>
      </c>
    </row>
    <row r="48" spans="1:6" ht="15" thickBot="1">
      <c r="A48" s="3186">
        <v>47</v>
      </c>
      <c r="B48" s="3187" t="s">
        <v>3668</v>
      </c>
      <c r="C48" s="3187" t="s">
        <v>3685</v>
      </c>
      <c r="D48" s="3187">
        <v>87.81</v>
      </c>
      <c r="E48" s="3187">
        <v>36.17</v>
      </c>
      <c r="F48" s="3192" t="s">
        <v>4031</v>
      </c>
    </row>
    <row r="49" spans="1:6" ht="15" thickBot="1">
      <c r="A49" s="3186">
        <v>48</v>
      </c>
      <c r="B49" s="3187" t="s">
        <v>3668</v>
      </c>
      <c r="C49" s="3187" t="s">
        <v>3686</v>
      </c>
      <c r="D49" s="3187">
        <v>76.790000000000006</v>
      </c>
      <c r="E49" s="3187">
        <v>31.63</v>
      </c>
      <c r="F49" s="3192" t="s">
        <v>4031</v>
      </c>
    </row>
    <row r="50" spans="1:6" ht="15" thickBot="1">
      <c r="A50" s="3186">
        <v>49</v>
      </c>
      <c r="B50" s="3187" t="s">
        <v>3668</v>
      </c>
      <c r="C50" s="3187" t="s">
        <v>3687</v>
      </c>
      <c r="D50" s="3187">
        <v>87.81</v>
      </c>
      <c r="E50" s="3187">
        <v>36.17</v>
      </c>
      <c r="F50" s="3192" t="s">
        <v>4031</v>
      </c>
    </row>
    <row r="51" spans="1:6" ht="15" thickBot="1">
      <c r="A51" s="3186">
        <v>50</v>
      </c>
      <c r="B51" s="3187" t="s">
        <v>3668</v>
      </c>
      <c r="C51" s="3187" t="s">
        <v>3688</v>
      </c>
      <c r="D51" s="3187">
        <v>76.790000000000006</v>
      </c>
      <c r="E51" s="3187">
        <v>31.63</v>
      </c>
      <c r="F51" s="3192" t="s">
        <v>4031</v>
      </c>
    </row>
    <row r="52" spans="1:6" ht="15" thickBot="1">
      <c r="A52" s="3186">
        <v>51</v>
      </c>
      <c r="B52" s="3187" t="s">
        <v>3668</v>
      </c>
      <c r="C52" s="3187" t="s">
        <v>3689</v>
      </c>
      <c r="D52" s="3187">
        <v>87.81</v>
      </c>
      <c r="E52" s="3187">
        <v>36.17</v>
      </c>
      <c r="F52" s="3192" t="s">
        <v>4031</v>
      </c>
    </row>
    <row r="53" spans="1:6" ht="14.4" customHeight="1" thickBot="1">
      <c r="A53" s="3186">
        <v>52</v>
      </c>
      <c r="B53" s="3187" t="s">
        <v>3668</v>
      </c>
      <c r="C53" s="3187" t="s">
        <v>3547</v>
      </c>
      <c r="D53" s="3187">
        <v>87.81</v>
      </c>
      <c r="E53" s="3187">
        <v>36.17</v>
      </c>
      <c r="F53" s="3192" t="s">
        <v>4031</v>
      </c>
    </row>
    <row r="54" spans="1:6" ht="15" thickBot="1">
      <c r="A54" s="3186">
        <v>53</v>
      </c>
      <c r="B54" s="3187" t="s">
        <v>3668</v>
      </c>
      <c r="C54" s="3187" t="s">
        <v>3548</v>
      </c>
      <c r="D54" s="3187">
        <v>76.790000000000006</v>
      </c>
      <c r="E54" s="3187">
        <v>31.63</v>
      </c>
      <c r="F54" s="3192" t="s">
        <v>4031</v>
      </c>
    </row>
    <row r="55" spans="1:6" ht="15" thickBot="1">
      <c r="A55" s="3186">
        <v>54</v>
      </c>
      <c r="B55" s="3187" t="s">
        <v>3668</v>
      </c>
      <c r="C55" s="3187" t="s">
        <v>3549</v>
      </c>
      <c r="D55" s="3187">
        <v>87.81</v>
      </c>
      <c r="E55" s="3187">
        <v>36.17</v>
      </c>
      <c r="F55" s="3192" t="s">
        <v>4031</v>
      </c>
    </row>
    <row r="56" spans="1:6" ht="15" thickBot="1">
      <c r="A56" s="3186">
        <v>55</v>
      </c>
      <c r="B56" s="3187" t="s">
        <v>3668</v>
      </c>
      <c r="C56" s="3187" t="s">
        <v>3690</v>
      </c>
      <c r="D56" s="3187">
        <v>76.790000000000006</v>
      </c>
      <c r="E56" s="3187">
        <v>31.63</v>
      </c>
      <c r="F56" s="3192" t="s">
        <v>4031</v>
      </c>
    </row>
    <row r="57" spans="1:6" ht="15" thickBot="1">
      <c r="A57" s="3186">
        <v>56</v>
      </c>
      <c r="B57" s="3187" t="s">
        <v>3668</v>
      </c>
      <c r="C57" s="3187" t="s">
        <v>3691</v>
      </c>
      <c r="D57" s="3187">
        <v>87.81</v>
      </c>
      <c r="E57" s="3187">
        <v>36.17</v>
      </c>
      <c r="F57" s="3192" t="s">
        <v>4031</v>
      </c>
    </row>
    <row r="58" spans="1:6" ht="15" thickBot="1">
      <c r="A58" s="3186">
        <v>57</v>
      </c>
      <c r="B58" s="3187" t="s">
        <v>3668</v>
      </c>
      <c r="C58" s="3187" t="s">
        <v>3692</v>
      </c>
      <c r="D58" s="3187">
        <v>76.790000000000006</v>
      </c>
      <c r="E58" s="3187">
        <v>31.63</v>
      </c>
      <c r="F58" s="3192" t="s">
        <v>4031</v>
      </c>
    </row>
    <row r="59" spans="1:6" ht="15" thickBot="1">
      <c r="A59" s="3186">
        <v>58</v>
      </c>
      <c r="B59" s="3187" t="s">
        <v>3668</v>
      </c>
      <c r="C59" s="3187" t="s">
        <v>3693</v>
      </c>
      <c r="D59" s="3187">
        <v>87.81</v>
      </c>
      <c r="E59" s="3187">
        <v>36.17</v>
      </c>
      <c r="F59" s="3192" t="s">
        <v>4031</v>
      </c>
    </row>
    <row r="60" spans="1:6" ht="15" thickBot="1">
      <c r="A60" s="3186">
        <v>59</v>
      </c>
      <c r="B60" s="3187" t="s">
        <v>3668</v>
      </c>
      <c r="C60" s="3187" t="s">
        <v>3694</v>
      </c>
      <c r="D60" s="3187">
        <v>76.790000000000006</v>
      </c>
      <c r="E60" s="3187">
        <v>31.63</v>
      </c>
      <c r="F60" s="3192" t="s">
        <v>4031</v>
      </c>
    </row>
    <row r="61" spans="1:6" ht="15" thickBot="1">
      <c r="A61" s="3186">
        <v>60</v>
      </c>
      <c r="B61" s="3187" t="s">
        <v>3668</v>
      </c>
      <c r="C61" s="3187" t="s">
        <v>3695</v>
      </c>
      <c r="D61" s="3187">
        <v>87.81</v>
      </c>
      <c r="E61" s="3187">
        <v>36.17</v>
      </c>
      <c r="F61" s="3192" t="s">
        <v>4031</v>
      </c>
    </row>
    <row r="62" spans="1:6" ht="15" thickBot="1">
      <c r="A62" s="3186">
        <v>61</v>
      </c>
      <c r="B62" s="3187" t="s">
        <v>3668</v>
      </c>
      <c r="C62" s="3187" t="s">
        <v>3696</v>
      </c>
      <c r="D62" s="3187">
        <v>76.790000000000006</v>
      </c>
      <c r="E62" s="3187">
        <v>31.63</v>
      </c>
      <c r="F62" s="3192" t="s">
        <v>4031</v>
      </c>
    </row>
    <row r="63" spans="1:6" ht="15" thickBot="1">
      <c r="A63" s="3186">
        <v>62</v>
      </c>
      <c r="B63" s="3187" t="s">
        <v>3668</v>
      </c>
      <c r="C63" s="3187" t="s">
        <v>3697</v>
      </c>
      <c r="D63" s="3187">
        <v>87.81</v>
      </c>
      <c r="E63" s="3187">
        <v>36.17</v>
      </c>
      <c r="F63" s="3192" t="s">
        <v>4031</v>
      </c>
    </row>
    <row r="64" spans="1:6" ht="15" thickBot="1">
      <c r="A64" s="3186">
        <v>63</v>
      </c>
      <c r="B64" s="3187" t="s">
        <v>3668</v>
      </c>
      <c r="C64" s="3187" t="s">
        <v>3698</v>
      </c>
      <c r="D64" s="3187">
        <v>76.790000000000006</v>
      </c>
      <c r="E64" s="3187">
        <v>31.63</v>
      </c>
      <c r="F64" s="3192" t="s">
        <v>4031</v>
      </c>
    </row>
    <row r="65" spans="1:6" ht="15" thickBot="1">
      <c r="A65" s="3186">
        <v>64</v>
      </c>
      <c r="B65" s="3187" t="s">
        <v>3668</v>
      </c>
      <c r="C65" s="3187" t="s">
        <v>3699</v>
      </c>
      <c r="D65" s="3187">
        <v>87.81</v>
      </c>
      <c r="E65" s="3187">
        <v>36.17</v>
      </c>
      <c r="F65" s="3192" t="s">
        <v>4031</v>
      </c>
    </row>
    <row r="66" spans="1:6" ht="15" thickBot="1">
      <c r="A66" s="3186">
        <v>65</v>
      </c>
      <c r="B66" s="3187" t="s">
        <v>3668</v>
      </c>
      <c r="C66" s="3187" t="s">
        <v>3700</v>
      </c>
      <c r="D66" s="3187">
        <v>76.790000000000006</v>
      </c>
      <c r="E66" s="3187">
        <v>31.63</v>
      </c>
      <c r="F66" s="3192" t="s">
        <v>4031</v>
      </c>
    </row>
    <row r="67" spans="1:6" ht="15" thickBot="1">
      <c r="A67" s="3186">
        <v>66</v>
      </c>
      <c r="B67" s="3187" t="s">
        <v>3668</v>
      </c>
      <c r="C67" s="3187" t="s">
        <v>3701</v>
      </c>
      <c r="D67" s="3187">
        <v>87.81</v>
      </c>
      <c r="E67" s="3187">
        <v>36.17</v>
      </c>
      <c r="F67" s="3192" t="s">
        <v>4031</v>
      </c>
    </row>
    <row r="68" spans="1:6" ht="15" thickBot="1">
      <c r="A68" s="3186">
        <v>67</v>
      </c>
      <c r="B68" s="3187" t="s">
        <v>3668</v>
      </c>
      <c r="C68" s="3187" t="s">
        <v>3702</v>
      </c>
      <c r="D68" s="3187">
        <v>76.790000000000006</v>
      </c>
      <c r="E68" s="3187">
        <v>31.63</v>
      </c>
      <c r="F68" s="3192" t="s">
        <v>4031</v>
      </c>
    </row>
    <row r="69" spans="1:6" ht="15" thickBot="1">
      <c r="A69" s="3186">
        <v>68</v>
      </c>
      <c r="B69" s="3187" t="s">
        <v>3668</v>
      </c>
      <c r="C69" s="3187" t="s">
        <v>3703</v>
      </c>
      <c r="D69" s="3187">
        <v>87.81</v>
      </c>
      <c r="E69" s="3187">
        <v>36.17</v>
      </c>
      <c r="F69" s="3192" t="s">
        <v>4031</v>
      </c>
    </row>
    <row r="70" spans="1:6" ht="15" thickBot="1">
      <c r="A70" s="3186">
        <v>69</v>
      </c>
      <c r="B70" s="3187" t="s">
        <v>3668</v>
      </c>
      <c r="C70" s="3187" t="s">
        <v>3704</v>
      </c>
      <c r="D70" s="3187">
        <v>76.790000000000006</v>
      </c>
      <c r="E70" s="3187">
        <v>31.63</v>
      </c>
      <c r="F70" s="3192" t="s">
        <v>4031</v>
      </c>
    </row>
    <row r="71" spans="1:6" ht="15" thickBot="1">
      <c r="A71" s="3186">
        <v>70</v>
      </c>
      <c r="B71" s="3187" t="s">
        <v>3668</v>
      </c>
      <c r="C71" s="3187" t="s">
        <v>3705</v>
      </c>
      <c r="D71" s="3187">
        <v>87.81</v>
      </c>
      <c r="E71" s="3187">
        <v>36.17</v>
      </c>
      <c r="F71" s="3192" t="s">
        <v>4031</v>
      </c>
    </row>
    <row r="72" spans="1:6" ht="15" thickBot="1">
      <c r="A72" s="3186">
        <v>71</v>
      </c>
      <c r="B72" s="3187" t="s">
        <v>3668</v>
      </c>
      <c r="C72" s="3187" t="s">
        <v>3706</v>
      </c>
      <c r="D72" s="3187">
        <v>76.790000000000006</v>
      </c>
      <c r="E72" s="3187">
        <v>31.63</v>
      </c>
      <c r="F72" s="3192" t="s">
        <v>4031</v>
      </c>
    </row>
    <row r="73" spans="1:6" ht="15" thickBot="1">
      <c r="A73" s="3186">
        <v>72</v>
      </c>
      <c r="B73" s="3187" t="s">
        <v>3668</v>
      </c>
      <c r="C73" s="3187" t="s">
        <v>3707</v>
      </c>
      <c r="D73" s="3187">
        <v>87.81</v>
      </c>
      <c r="E73" s="3187">
        <v>36.17</v>
      </c>
      <c r="F73" s="3192" t="s">
        <v>4031</v>
      </c>
    </row>
    <row r="74" spans="1:6" ht="15" thickBot="1">
      <c r="A74" s="3186">
        <v>73</v>
      </c>
      <c r="B74" s="3187" t="s">
        <v>3668</v>
      </c>
      <c r="C74" s="3187" t="s">
        <v>3708</v>
      </c>
      <c r="D74" s="3187">
        <v>76.790000000000006</v>
      </c>
      <c r="E74" s="3187">
        <v>31.63</v>
      </c>
      <c r="F74" s="3192" t="s">
        <v>4031</v>
      </c>
    </row>
    <row r="75" spans="1:6" ht="15" thickBot="1">
      <c r="A75" s="3186">
        <v>74</v>
      </c>
      <c r="B75" s="3187" t="s">
        <v>3709</v>
      </c>
      <c r="C75" s="3187" t="s">
        <v>3710</v>
      </c>
      <c r="D75" s="3187">
        <v>76.56</v>
      </c>
      <c r="E75" s="3187">
        <v>31.54</v>
      </c>
      <c r="F75" s="3192" t="s">
        <v>4031</v>
      </c>
    </row>
    <row r="76" spans="1:6" ht="15" thickBot="1">
      <c r="A76" s="3186">
        <v>75</v>
      </c>
      <c r="B76" s="3187" t="s">
        <v>3709</v>
      </c>
      <c r="C76" s="3187" t="s">
        <v>3550</v>
      </c>
      <c r="D76" s="3187">
        <v>87.55</v>
      </c>
      <c r="E76" s="3187">
        <v>36.06</v>
      </c>
      <c r="F76" s="3192" t="s">
        <v>4031</v>
      </c>
    </row>
    <row r="77" spans="1:6" ht="15" thickBot="1">
      <c r="A77" s="3186">
        <v>76</v>
      </c>
      <c r="B77" s="3187" t="s">
        <v>3709</v>
      </c>
      <c r="C77" s="3187" t="s">
        <v>3711</v>
      </c>
      <c r="D77" s="3187">
        <v>76.56</v>
      </c>
      <c r="E77" s="3187">
        <v>31.54</v>
      </c>
      <c r="F77" s="3192" t="s">
        <v>4031</v>
      </c>
    </row>
    <row r="78" spans="1:6" ht="15" thickBot="1">
      <c r="A78" s="3186">
        <v>77</v>
      </c>
      <c r="B78" s="3187" t="s">
        <v>3709</v>
      </c>
      <c r="C78" s="3187" t="s">
        <v>3712</v>
      </c>
      <c r="D78" s="3187">
        <v>76.56</v>
      </c>
      <c r="E78" s="3187">
        <v>31.54</v>
      </c>
      <c r="F78" s="3192" t="s">
        <v>4031</v>
      </c>
    </row>
    <row r="79" spans="1:6" ht="15" thickBot="1">
      <c r="A79" s="3186">
        <v>78</v>
      </c>
      <c r="B79" s="3187" t="s">
        <v>3709</v>
      </c>
      <c r="C79" s="3187" t="s">
        <v>3713</v>
      </c>
      <c r="D79" s="3187">
        <v>87.55</v>
      </c>
      <c r="E79" s="3187">
        <v>36.06</v>
      </c>
      <c r="F79" s="3192" t="s">
        <v>4031</v>
      </c>
    </row>
    <row r="80" spans="1:6" ht="15" thickBot="1">
      <c r="A80" s="3186">
        <v>79</v>
      </c>
      <c r="B80" s="3187" t="s">
        <v>3709</v>
      </c>
      <c r="C80" s="3187" t="s">
        <v>3714</v>
      </c>
      <c r="D80" s="3187">
        <v>87.55</v>
      </c>
      <c r="E80" s="3187">
        <v>36.06</v>
      </c>
      <c r="F80" s="3192" t="s">
        <v>4031</v>
      </c>
    </row>
    <row r="81" spans="1:6" ht="15" thickBot="1">
      <c r="A81" s="3186">
        <v>80</v>
      </c>
      <c r="B81" s="3187" t="s">
        <v>3709</v>
      </c>
      <c r="C81" s="3187" t="s">
        <v>3715</v>
      </c>
      <c r="D81" s="3187">
        <v>87.55</v>
      </c>
      <c r="E81" s="3187">
        <v>36.06</v>
      </c>
      <c r="F81" s="3192" t="s">
        <v>4031</v>
      </c>
    </row>
    <row r="82" spans="1:6" ht="15" thickBot="1">
      <c r="A82" s="3186">
        <v>81</v>
      </c>
      <c r="B82" s="3187" t="s">
        <v>3709</v>
      </c>
      <c r="C82" s="3187" t="s">
        <v>3716</v>
      </c>
      <c r="D82" s="3187">
        <v>87.55</v>
      </c>
      <c r="E82" s="3187">
        <v>36.06</v>
      </c>
      <c r="F82" s="3192" t="s">
        <v>4031</v>
      </c>
    </row>
    <row r="83" spans="1:6" ht="15" thickBot="1">
      <c r="A83" s="3186">
        <v>82</v>
      </c>
      <c r="B83" s="3187" t="s">
        <v>3709</v>
      </c>
      <c r="C83" s="3187" t="s">
        <v>3717</v>
      </c>
      <c r="D83" s="3187">
        <v>87.55</v>
      </c>
      <c r="E83" s="3187">
        <v>36.06</v>
      </c>
      <c r="F83" s="3192" t="s">
        <v>4031</v>
      </c>
    </row>
    <row r="84" spans="1:6" ht="15" thickBot="1">
      <c r="A84" s="3186">
        <v>83</v>
      </c>
      <c r="B84" s="3187" t="s">
        <v>3709</v>
      </c>
      <c r="C84" s="3187" t="s">
        <v>3718</v>
      </c>
      <c r="D84" s="3187">
        <v>87.55</v>
      </c>
      <c r="E84" s="3187">
        <v>36.06</v>
      </c>
      <c r="F84" s="3192" t="s">
        <v>4031</v>
      </c>
    </row>
    <row r="85" spans="1:6" ht="15" thickBot="1">
      <c r="A85" s="3186">
        <v>84</v>
      </c>
      <c r="B85" s="3187" t="s">
        <v>3709</v>
      </c>
      <c r="C85" s="3187" t="s">
        <v>3551</v>
      </c>
      <c r="D85" s="3187">
        <v>87.55</v>
      </c>
      <c r="E85" s="3187">
        <v>36.06</v>
      </c>
      <c r="F85" s="3192" t="s">
        <v>4031</v>
      </c>
    </row>
    <row r="86" spans="1:6" ht="15" thickBot="1">
      <c r="A86" s="3186">
        <v>85</v>
      </c>
      <c r="B86" s="3187" t="s">
        <v>3709</v>
      </c>
      <c r="C86" s="3187" t="s">
        <v>3552</v>
      </c>
      <c r="D86" s="3187">
        <v>87.86</v>
      </c>
      <c r="E86" s="3187">
        <v>36.19</v>
      </c>
      <c r="F86" s="3192" t="s">
        <v>4031</v>
      </c>
    </row>
    <row r="87" spans="1:6" ht="15" thickBot="1">
      <c r="A87" s="3186">
        <v>86</v>
      </c>
      <c r="B87" s="3187" t="s">
        <v>3709</v>
      </c>
      <c r="C87" s="3187" t="s">
        <v>3553</v>
      </c>
      <c r="D87" s="3187">
        <v>87.55</v>
      </c>
      <c r="E87" s="3187">
        <v>36.06</v>
      </c>
      <c r="F87" s="3192" t="s">
        <v>4031</v>
      </c>
    </row>
    <row r="88" spans="1:6" ht="15" thickBot="1">
      <c r="A88" s="3186">
        <v>87</v>
      </c>
      <c r="B88" s="3187" t="s">
        <v>3709</v>
      </c>
      <c r="C88" s="3187" t="s">
        <v>3719</v>
      </c>
      <c r="D88" s="3187">
        <v>87.86</v>
      </c>
      <c r="E88" s="3187">
        <v>36.19</v>
      </c>
      <c r="F88" s="3192" t="s">
        <v>4031</v>
      </c>
    </row>
    <row r="89" spans="1:6" ht="15" thickBot="1">
      <c r="A89" s="3186">
        <v>88</v>
      </c>
      <c r="B89" s="3187" t="s">
        <v>3709</v>
      </c>
      <c r="C89" s="3187" t="s">
        <v>3720</v>
      </c>
      <c r="D89" s="3187">
        <v>87.55</v>
      </c>
      <c r="E89" s="3187">
        <v>36.06</v>
      </c>
      <c r="F89" s="3192" t="s">
        <v>4031</v>
      </c>
    </row>
    <row r="90" spans="1:6" ht="15" thickBot="1">
      <c r="A90" s="3186">
        <v>89</v>
      </c>
      <c r="B90" s="3187" t="s">
        <v>3709</v>
      </c>
      <c r="C90" s="3187" t="s">
        <v>3721</v>
      </c>
      <c r="D90" s="3187">
        <v>87.86</v>
      </c>
      <c r="E90" s="3187">
        <v>36.19</v>
      </c>
      <c r="F90" s="3192" t="s">
        <v>4031</v>
      </c>
    </row>
    <row r="91" spans="1:6" ht="15" thickBot="1">
      <c r="A91" s="3186">
        <v>90</v>
      </c>
      <c r="B91" s="3187" t="s">
        <v>3709</v>
      </c>
      <c r="C91" s="3187" t="s">
        <v>3722</v>
      </c>
      <c r="D91" s="3187">
        <v>87.55</v>
      </c>
      <c r="E91" s="3187">
        <v>36.06</v>
      </c>
      <c r="F91" s="3192" t="s">
        <v>4031</v>
      </c>
    </row>
    <row r="92" spans="1:6" ht="15" thickBot="1">
      <c r="A92" s="3186">
        <v>91</v>
      </c>
      <c r="B92" s="3187" t="s">
        <v>3709</v>
      </c>
      <c r="C92" s="3187" t="s">
        <v>3723</v>
      </c>
      <c r="D92" s="3187">
        <v>87.86</v>
      </c>
      <c r="E92" s="3187">
        <v>36.19</v>
      </c>
      <c r="F92" s="3192" t="s">
        <v>4031</v>
      </c>
    </row>
    <row r="93" spans="1:6" ht="15" thickBot="1">
      <c r="A93" s="3186">
        <v>92</v>
      </c>
      <c r="B93" s="3187" t="s">
        <v>3709</v>
      </c>
      <c r="C93" s="3187" t="s">
        <v>3724</v>
      </c>
      <c r="D93" s="3187">
        <v>87.55</v>
      </c>
      <c r="E93" s="3187">
        <v>36.06</v>
      </c>
      <c r="F93" s="3192" t="s">
        <v>4031</v>
      </c>
    </row>
    <row r="94" spans="1:6" ht="15" thickBot="1">
      <c r="A94" s="3186">
        <v>93</v>
      </c>
      <c r="B94" s="3187" t="s">
        <v>3709</v>
      </c>
      <c r="C94" s="3187" t="s">
        <v>3725</v>
      </c>
      <c r="D94" s="3187">
        <v>87.86</v>
      </c>
      <c r="E94" s="3187">
        <v>36.19</v>
      </c>
      <c r="F94" s="3192" t="s">
        <v>4031</v>
      </c>
    </row>
    <row r="95" spans="1:6" ht="15" thickBot="1">
      <c r="A95" s="3186">
        <v>94</v>
      </c>
      <c r="B95" s="3187" t="s">
        <v>3709</v>
      </c>
      <c r="C95" s="3187" t="s">
        <v>3726</v>
      </c>
      <c r="D95" s="3187">
        <v>87.55</v>
      </c>
      <c r="E95" s="3187">
        <v>36.06</v>
      </c>
      <c r="F95" s="3192" t="s">
        <v>4031</v>
      </c>
    </row>
    <row r="96" spans="1:6" ht="15" thickBot="1">
      <c r="A96" s="3186">
        <v>95</v>
      </c>
      <c r="B96" s="3187" t="s">
        <v>3709</v>
      </c>
      <c r="C96" s="3187" t="s">
        <v>3727</v>
      </c>
      <c r="D96" s="3187">
        <v>87.86</v>
      </c>
      <c r="E96" s="3187">
        <v>36.19</v>
      </c>
      <c r="F96" s="3192" t="s">
        <v>4031</v>
      </c>
    </row>
    <row r="97" spans="1:6" ht="15" thickBot="1">
      <c r="A97" s="3186">
        <v>96</v>
      </c>
      <c r="B97" s="3187" t="s">
        <v>3709</v>
      </c>
      <c r="C97" s="3187" t="s">
        <v>3728</v>
      </c>
      <c r="D97" s="3187">
        <v>87.55</v>
      </c>
      <c r="E97" s="3187">
        <v>36.06</v>
      </c>
      <c r="F97" s="3192" t="s">
        <v>4031</v>
      </c>
    </row>
    <row r="98" spans="1:6" ht="15" thickBot="1">
      <c r="A98" s="3186">
        <v>97</v>
      </c>
      <c r="B98" s="3187" t="s">
        <v>3709</v>
      </c>
      <c r="C98" s="3187" t="s">
        <v>3729</v>
      </c>
      <c r="D98" s="3187">
        <v>87.86</v>
      </c>
      <c r="E98" s="3187">
        <v>36.19</v>
      </c>
      <c r="F98" s="3192" t="s">
        <v>4031</v>
      </c>
    </row>
    <row r="99" spans="1:6" ht="15" thickBot="1">
      <c r="A99" s="3186">
        <v>98</v>
      </c>
      <c r="B99" s="3187" t="s">
        <v>3709</v>
      </c>
      <c r="C99" s="3187" t="s">
        <v>3730</v>
      </c>
      <c r="D99" s="3187">
        <v>87.55</v>
      </c>
      <c r="E99" s="3187">
        <v>36.06</v>
      </c>
      <c r="F99" s="3192" t="s">
        <v>4031</v>
      </c>
    </row>
    <row r="100" spans="1:6" ht="15" thickBot="1">
      <c r="A100" s="3186">
        <v>99</v>
      </c>
      <c r="B100" s="3187" t="s">
        <v>3731</v>
      </c>
      <c r="C100" s="3187" t="s">
        <v>3732</v>
      </c>
      <c r="D100" s="3187">
        <v>76.599999999999994</v>
      </c>
      <c r="E100" s="3187">
        <v>31.55</v>
      </c>
      <c r="F100" s="3192" t="s">
        <v>4031</v>
      </c>
    </row>
    <row r="101" spans="1:6" ht="15" thickBot="1">
      <c r="A101" s="3186">
        <v>100</v>
      </c>
      <c r="B101" s="3187" t="s">
        <v>3731</v>
      </c>
      <c r="C101" s="3187" t="s">
        <v>3733</v>
      </c>
      <c r="D101" s="3187">
        <v>87.6</v>
      </c>
      <c r="E101" s="3187">
        <v>36.08</v>
      </c>
      <c r="F101" s="3192" t="s">
        <v>4031</v>
      </c>
    </row>
    <row r="102" spans="1:6" ht="15" thickBot="1">
      <c r="A102" s="3186">
        <v>101</v>
      </c>
      <c r="B102" s="3187" t="s">
        <v>3731</v>
      </c>
      <c r="C102" s="3187" t="s">
        <v>3734</v>
      </c>
      <c r="D102" s="3187">
        <v>76.599999999999994</v>
      </c>
      <c r="E102" s="3187">
        <v>31.55</v>
      </c>
      <c r="F102" s="3192" t="s">
        <v>4031</v>
      </c>
    </row>
    <row r="103" spans="1:6" ht="15" thickBot="1">
      <c r="A103" s="3186">
        <v>102</v>
      </c>
      <c r="B103" s="3187" t="s">
        <v>3731</v>
      </c>
      <c r="C103" s="3187" t="s">
        <v>3554</v>
      </c>
      <c r="D103" s="3187">
        <v>87.6</v>
      </c>
      <c r="E103" s="3187">
        <v>36.08</v>
      </c>
      <c r="F103" s="3192" t="s">
        <v>4031</v>
      </c>
    </row>
    <row r="104" spans="1:6" ht="15" thickBot="1">
      <c r="A104" s="3186">
        <v>103</v>
      </c>
      <c r="B104" s="3187" t="s">
        <v>3731</v>
      </c>
      <c r="C104" s="3187" t="s">
        <v>3735</v>
      </c>
      <c r="D104" s="3187">
        <v>76.599999999999994</v>
      </c>
      <c r="E104" s="3187">
        <v>31.55</v>
      </c>
      <c r="F104" s="3192" t="s">
        <v>4031</v>
      </c>
    </row>
    <row r="105" spans="1:6" ht="15" thickBot="1">
      <c r="A105" s="3186">
        <v>104</v>
      </c>
      <c r="B105" s="3187" t="s">
        <v>3731</v>
      </c>
      <c r="C105" s="3187" t="s">
        <v>3736</v>
      </c>
      <c r="D105" s="3187">
        <v>87.6</v>
      </c>
      <c r="E105" s="3187">
        <v>36.08</v>
      </c>
      <c r="F105" s="3192" t="s">
        <v>4031</v>
      </c>
    </row>
    <row r="106" spans="1:6" ht="15" thickBot="1">
      <c r="A106" s="3186">
        <v>105</v>
      </c>
      <c r="B106" s="3187" t="s">
        <v>3731</v>
      </c>
      <c r="C106" s="3187" t="s">
        <v>3737</v>
      </c>
      <c r="D106" s="3187">
        <v>76.599999999999994</v>
      </c>
      <c r="E106" s="3187">
        <v>31.55</v>
      </c>
      <c r="F106" s="3192" t="s">
        <v>4031</v>
      </c>
    </row>
    <row r="107" spans="1:6" ht="15" thickBot="1">
      <c r="A107" s="3186">
        <v>106</v>
      </c>
      <c r="B107" s="3187" t="s">
        <v>3731</v>
      </c>
      <c r="C107" s="3187" t="s">
        <v>3555</v>
      </c>
      <c r="D107" s="3187">
        <v>87.6</v>
      </c>
      <c r="E107" s="3187">
        <v>36.08</v>
      </c>
      <c r="F107" s="3192" t="s">
        <v>4031</v>
      </c>
    </row>
    <row r="108" spans="1:6" ht="15" thickBot="1">
      <c r="A108" s="3186">
        <v>107</v>
      </c>
      <c r="B108" s="3187" t="s">
        <v>3731</v>
      </c>
      <c r="C108" s="3187" t="s">
        <v>3738</v>
      </c>
      <c r="D108" s="3187">
        <v>76.599999999999994</v>
      </c>
      <c r="E108" s="3187">
        <v>31.55</v>
      </c>
      <c r="F108" s="3192" t="s">
        <v>4031</v>
      </c>
    </row>
    <row r="109" spans="1:6" ht="15" thickBot="1">
      <c r="A109" s="3186">
        <v>108</v>
      </c>
      <c r="B109" s="3187" t="s">
        <v>3731</v>
      </c>
      <c r="C109" s="3187" t="s">
        <v>3739</v>
      </c>
      <c r="D109" s="3187">
        <v>87.6</v>
      </c>
      <c r="E109" s="3187">
        <v>36.08</v>
      </c>
      <c r="F109" s="3192" t="s">
        <v>4031</v>
      </c>
    </row>
    <row r="110" spans="1:6" ht="15" thickBot="1">
      <c r="A110" s="3186">
        <v>109</v>
      </c>
      <c r="B110" s="3187" t="s">
        <v>3731</v>
      </c>
      <c r="C110" s="3187" t="s">
        <v>3740</v>
      </c>
      <c r="D110" s="3187">
        <v>76.599999999999994</v>
      </c>
      <c r="E110" s="3187">
        <v>31.55</v>
      </c>
      <c r="F110" s="3192" t="s">
        <v>4031</v>
      </c>
    </row>
    <row r="111" spans="1:6" ht="15" thickBot="1">
      <c r="A111" s="3186">
        <v>110</v>
      </c>
      <c r="B111" s="3187" t="s">
        <v>3731</v>
      </c>
      <c r="C111" s="3187" t="s">
        <v>3741</v>
      </c>
      <c r="D111" s="3187">
        <v>87.6</v>
      </c>
      <c r="E111" s="3187">
        <v>36.08</v>
      </c>
      <c r="F111" s="3192" t="s">
        <v>4031</v>
      </c>
    </row>
    <row r="112" spans="1:6" ht="15" thickBot="1">
      <c r="A112" s="3186">
        <v>111</v>
      </c>
      <c r="B112" s="3187" t="s">
        <v>3731</v>
      </c>
      <c r="C112" s="3187" t="s">
        <v>3742</v>
      </c>
      <c r="D112" s="3187">
        <v>76.599999999999994</v>
      </c>
      <c r="E112" s="3187">
        <v>31.55</v>
      </c>
      <c r="F112" s="3192" t="s">
        <v>4031</v>
      </c>
    </row>
    <row r="113" spans="1:6" ht="15" thickBot="1">
      <c r="A113" s="3186">
        <v>112</v>
      </c>
      <c r="B113" s="3187" t="s">
        <v>3731</v>
      </c>
      <c r="C113" s="3187" t="s">
        <v>3743</v>
      </c>
      <c r="D113" s="3187">
        <v>87.6</v>
      </c>
      <c r="E113" s="3187">
        <v>36.08</v>
      </c>
      <c r="F113" s="3192" t="s">
        <v>4031</v>
      </c>
    </row>
    <row r="114" spans="1:6" ht="15" thickBot="1">
      <c r="A114" s="3186">
        <v>113</v>
      </c>
      <c r="B114" s="3187" t="s">
        <v>3731</v>
      </c>
      <c r="C114" s="3187" t="s">
        <v>3744</v>
      </c>
      <c r="D114" s="3187">
        <v>76.599999999999994</v>
      </c>
      <c r="E114" s="3187">
        <v>31.55</v>
      </c>
      <c r="F114" s="3192" t="s">
        <v>4031</v>
      </c>
    </row>
    <row r="115" spans="1:6" ht="15" thickBot="1">
      <c r="A115" s="3186">
        <v>114</v>
      </c>
      <c r="B115" s="3187" t="s">
        <v>3731</v>
      </c>
      <c r="C115" s="3187" t="s">
        <v>3745</v>
      </c>
      <c r="D115" s="3187">
        <v>87.6</v>
      </c>
      <c r="E115" s="3187">
        <v>36.08</v>
      </c>
      <c r="F115" s="3192" t="s">
        <v>4031</v>
      </c>
    </row>
    <row r="116" spans="1:6" ht="15" thickBot="1">
      <c r="A116" s="3186">
        <v>115</v>
      </c>
      <c r="B116" s="3187" t="s">
        <v>3731</v>
      </c>
      <c r="C116" s="3187" t="s">
        <v>3556</v>
      </c>
      <c r="D116" s="3187">
        <v>87.6</v>
      </c>
      <c r="E116" s="3187">
        <v>36.08</v>
      </c>
      <c r="F116" s="3192" t="s">
        <v>4031</v>
      </c>
    </row>
    <row r="117" spans="1:6" ht="15" thickBot="1">
      <c r="A117" s="3186">
        <v>116</v>
      </c>
      <c r="B117" s="3187" t="s">
        <v>3731</v>
      </c>
      <c r="C117" s="3187" t="s">
        <v>3746</v>
      </c>
      <c r="D117" s="3187">
        <v>87.91</v>
      </c>
      <c r="E117" s="3187">
        <v>36.21</v>
      </c>
      <c r="F117" s="3192" t="s">
        <v>4031</v>
      </c>
    </row>
    <row r="118" spans="1:6" ht="15" thickBot="1">
      <c r="A118" s="3186">
        <v>117</v>
      </c>
      <c r="B118" s="3187" t="s">
        <v>3731</v>
      </c>
      <c r="C118" s="3187" t="s">
        <v>3747</v>
      </c>
      <c r="D118" s="3187">
        <v>87.6</v>
      </c>
      <c r="E118" s="3187">
        <v>36.08</v>
      </c>
      <c r="F118" s="3192" t="s">
        <v>4031</v>
      </c>
    </row>
    <row r="119" spans="1:6" ht="15" thickBot="1">
      <c r="A119" s="3186">
        <v>118</v>
      </c>
      <c r="B119" s="3187" t="s">
        <v>3731</v>
      </c>
      <c r="C119" s="3187" t="s">
        <v>3748</v>
      </c>
      <c r="D119" s="3187">
        <v>87.91</v>
      </c>
      <c r="E119" s="3187">
        <v>36.21</v>
      </c>
      <c r="F119" s="3192" t="s">
        <v>4031</v>
      </c>
    </row>
    <row r="120" spans="1:6" ht="15" thickBot="1">
      <c r="A120" s="3186">
        <v>119</v>
      </c>
      <c r="B120" s="3187" t="s">
        <v>3731</v>
      </c>
      <c r="C120" s="3187" t="s">
        <v>3749</v>
      </c>
      <c r="D120" s="3187">
        <v>87.6</v>
      </c>
      <c r="E120" s="3187">
        <v>36.08</v>
      </c>
      <c r="F120" s="3192" t="s">
        <v>4031</v>
      </c>
    </row>
    <row r="121" spans="1:6" ht="15" thickBot="1">
      <c r="A121" s="3186">
        <v>120</v>
      </c>
      <c r="B121" s="3187" t="s">
        <v>3731</v>
      </c>
      <c r="C121" s="3187" t="s">
        <v>3750</v>
      </c>
      <c r="D121" s="3187">
        <v>87.91</v>
      </c>
      <c r="E121" s="3187">
        <v>36.21</v>
      </c>
      <c r="F121" s="3192" t="s">
        <v>4031</v>
      </c>
    </row>
    <row r="122" spans="1:6" ht="15" thickBot="1">
      <c r="A122" s="3186">
        <v>121</v>
      </c>
      <c r="B122" s="3187" t="s">
        <v>3731</v>
      </c>
      <c r="C122" s="3187" t="s">
        <v>3751</v>
      </c>
      <c r="D122" s="3187">
        <v>87.6</v>
      </c>
      <c r="E122" s="3187">
        <v>36.08</v>
      </c>
      <c r="F122" s="3192" t="s">
        <v>4031</v>
      </c>
    </row>
    <row r="123" spans="1:6" ht="15" thickBot="1">
      <c r="A123" s="3186">
        <v>122</v>
      </c>
      <c r="B123" s="3187" t="s">
        <v>3731</v>
      </c>
      <c r="C123" s="3187" t="s">
        <v>3752</v>
      </c>
      <c r="D123" s="3187">
        <v>87.91</v>
      </c>
      <c r="E123" s="3187">
        <v>36.21</v>
      </c>
      <c r="F123" s="3192" t="s">
        <v>4031</v>
      </c>
    </row>
    <row r="124" spans="1:6" ht="15" thickBot="1">
      <c r="A124" s="3186">
        <v>123</v>
      </c>
      <c r="B124" s="3187" t="s">
        <v>3731</v>
      </c>
      <c r="C124" s="3187" t="s">
        <v>3753</v>
      </c>
      <c r="D124" s="3187">
        <v>87.6</v>
      </c>
      <c r="E124" s="3187">
        <v>36.08</v>
      </c>
      <c r="F124" s="3192" t="s">
        <v>4031</v>
      </c>
    </row>
    <row r="125" spans="1:6" ht="15" thickBot="1">
      <c r="A125" s="3186">
        <v>124</v>
      </c>
      <c r="B125" s="3187" t="s">
        <v>3731</v>
      </c>
      <c r="C125" s="3187" t="s">
        <v>3754</v>
      </c>
      <c r="D125" s="3187">
        <v>87.91</v>
      </c>
      <c r="E125" s="3187">
        <v>36.21</v>
      </c>
      <c r="F125" s="3192" t="s">
        <v>4031</v>
      </c>
    </row>
    <row r="126" spans="1:6" ht="15" thickBot="1">
      <c r="A126" s="3186">
        <v>125</v>
      </c>
      <c r="B126" s="3187" t="s">
        <v>3731</v>
      </c>
      <c r="C126" s="3187" t="s">
        <v>3755</v>
      </c>
      <c r="D126" s="3187">
        <v>87.6</v>
      </c>
      <c r="E126" s="3187">
        <v>36.08</v>
      </c>
      <c r="F126" s="3192" t="s">
        <v>4031</v>
      </c>
    </row>
    <row r="127" spans="1:6" ht="15" thickBot="1">
      <c r="A127" s="3186">
        <v>126</v>
      </c>
      <c r="B127" s="3187" t="s">
        <v>3731</v>
      </c>
      <c r="C127" s="3187" t="s">
        <v>3756</v>
      </c>
      <c r="D127" s="3187">
        <v>87.91</v>
      </c>
      <c r="E127" s="3187">
        <v>36.21</v>
      </c>
      <c r="F127" s="3192" t="s">
        <v>4031</v>
      </c>
    </row>
    <row r="128" spans="1:6" ht="15" thickBot="1">
      <c r="A128" s="3186">
        <v>127</v>
      </c>
      <c r="B128" s="3187" t="s">
        <v>3731</v>
      </c>
      <c r="C128" s="3187" t="s">
        <v>3757</v>
      </c>
      <c r="D128" s="3187">
        <v>87.6</v>
      </c>
      <c r="E128" s="3187">
        <v>36.08</v>
      </c>
      <c r="F128" s="3192" t="s">
        <v>4031</v>
      </c>
    </row>
    <row r="129" spans="1:6" ht="15" thickBot="1">
      <c r="A129" s="3186">
        <v>128</v>
      </c>
      <c r="B129" s="3187" t="s">
        <v>3731</v>
      </c>
      <c r="C129" s="3187" t="s">
        <v>3758</v>
      </c>
      <c r="D129" s="3187">
        <v>87.91</v>
      </c>
      <c r="E129" s="3187">
        <v>36.21</v>
      </c>
      <c r="F129" s="3192" t="s">
        <v>4031</v>
      </c>
    </row>
    <row r="130" spans="1:6" ht="15" thickBot="1">
      <c r="A130" s="3186">
        <v>129</v>
      </c>
      <c r="B130" s="3187" t="s">
        <v>3731</v>
      </c>
      <c r="C130" s="3187" t="s">
        <v>3759</v>
      </c>
      <c r="D130" s="3187">
        <v>87.6</v>
      </c>
      <c r="E130" s="3187">
        <v>36.08</v>
      </c>
      <c r="F130" s="3192" t="s">
        <v>4031</v>
      </c>
    </row>
    <row r="131" spans="1:6" ht="15" thickBot="1">
      <c r="A131" s="3186">
        <v>130</v>
      </c>
      <c r="B131" s="3187" t="s">
        <v>3731</v>
      </c>
      <c r="C131" s="3187" t="s">
        <v>3760</v>
      </c>
      <c r="D131" s="3187">
        <v>87.91</v>
      </c>
      <c r="E131" s="3187">
        <v>36.21</v>
      </c>
      <c r="F131" s="3192" t="s">
        <v>4031</v>
      </c>
    </row>
    <row r="132" spans="1:6" ht="15" thickBot="1">
      <c r="A132" s="3186">
        <v>131</v>
      </c>
      <c r="B132" s="3187" t="s">
        <v>3761</v>
      </c>
      <c r="C132" s="3187" t="s">
        <v>3557</v>
      </c>
      <c r="D132" s="3187">
        <v>87.78</v>
      </c>
      <c r="E132" s="3187">
        <v>36.159999999999997</v>
      </c>
      <c r="F132" s="3192" t="s">
        <v>4031</v>
      </c>
    </row>
    <row r="133" spans="1:6" ht="15" thickBot="1">
      <c r="A133" s="3186">
        <v>132</v>
      </c>
      <c r="B133" s="3187" t="s">
        <v>3761</v>
      </c>
      <c r="C133" s="3187" t="s">
        <v>3558</v>
      </c>
      <c r="D133" s="3187">
        <v>71.319999999999993</v>
      </c>
      <c r="E133" s="3187">
        <v>29.37</v>
      </c>
      <c r="F133" s="3192" t="s">
        <v>4031</v>
      </c>
    </row>
    <row r="134" spans="1:6" ht="15" thickBot="1">
      <c r="A134" s="3186">
        <v>133</v>
      </c>
      <c r="B134" s="3187" t="s">
        <v>3761</v>
      </c>
      <c r="C134" s="3187" t="s">
        <v>3762</v>
      </c>
      <c r="D134" s="3187">
        <v>87.78</v>
      </c>
      <c r="E134" s="3187">
        <v>36.159999999999997</v>
      </c>
      <c r="F134" s="3192" t="s">
        <v>4031</v>
      </c>
    </row>
    <row r="135" spans="1:6" ht="15" thickBot="1">
      <c r="A135" s="3186">
        <v>134</v>
      </c>
      <c r="B135" s="3187" t="s">
        <v>3761</v>
      </c>
      <c r="C135" s="3187" t="s">
        <v>3763</v>
      </c>
      <c r="D135" s="3187">
        <v>87.48</v>
      </c>
      <c r="E135" s="3187">
        <v>36.04</v>
      </c>
      <c r="F135" s="3192" t="s">
        <v>4031</v>
      </c>
    </row>
    <row r="136" spans="1:6" ht="15" thickBot="1">
      <c r="A136" s="3186">
        <v>135</v>
      </c>
      <c r="B136" s="3187" t="s">
        <v>3761</v>
      </c>
      <c r="C136" s="3187" t="s">
        <v>3764</v>
      </c>
      <c r="D136" s="3187">
        <v>87.48</v>
      </c>
      <c r="E136" s="3187">
        <v>36.04</v>
      </c>
      <c r="F136" s="3192" t="s">
        <v>4031</v>
      </c>
    </row>
    <row r="137" spans="1:6" ht="15" thickBot="1">
      <c r="A137" s="3186">
        <v>136</v>
      </c>
      <c r="B137" s="3187" t="s">
        <v>3761</v>
      </c>
      <c r="C137" s="3187" t="s">
        <v>3765</v>
      </c>
      <c r="D137" s="3187">
        <v>87.78</v>
      </c>
      <c r="E137" s="3187">
        <v>36.159999999999997</v>
      </c>
      <c r="F137" s="3192" t="s">
        <v>4031</v>
      </c>
    </row>
    <row r="138" spans="1:6" ht="15" thickBot="1">
      <c r="A138" s="3186">
        <v>137</v>
      </c>
      <c r="B138" s="3187" t="s">
        <v>3761</v>
      </c>
      <c r="C138" s="3187" t="s">
        <v>3559</v>
      </c>
      <c r="D138" s="3187">
        <v>87.48</v>
      </c>
      <c r="E138" s="3187">
        <v>36.04</v>
      </c>
      <c r="F138" s="3192" t="s">
        <v>4031</v>
      </c>
    </row>
    <row r="139" spans="1:6" ht="15" thickBot="1">
      <c r="A139" s="3186">
        <v>138</v>
      </c>
      <c r="B139" s="3187" t="s">
        <v>3761</v>
      </c>
      <c r="C139" s="3187" t="s">
        <v>3766</v>
      </c>
      <c r="D139" s="3187">
        <v>87.48</v>
      </c>
      <c r="E139" s="3187">
        <v>36.04</v>
      </c>
      <c r="F139" s="3192" t="s">
        <v>4031</v>
      </c>
    </row>
    <row r="140" spans="1:6" ht="15" thickBot="1">
      <c r="A140" s="3186">
        <v>139</v>
      </c>
      <c r="B140" s="3187" t="s">
        <v>3761</v>
      </c>
      <c r="C140" s="3187" t="s">
        <v>3767</v>
      </c>
      <c r="D140" s="3187">
        <v>87.48</v>
      </c>
      <c r="E140" s="3187">
        <v>36.04</v>
      </c>
      <c r="F140" s="3192" t="s">
        <v>4031</v>
      </c>
    </row>
    <row r="141" spans="1:6" ht="15" thickBot="1">
      <c r="A141" s="3186">
        <v>140</v>
      </c>
      <c r="B141" s="3187" t="s">
        <v>3761</v>
      </c>
      <c r="C141" s="3187" t="s">
        <v>3768</v>
      </c>
      <c r="D141" s="3187">
        <v>87.78</v>
      </c>
      <c r="E141" s="3187">
        <v>36.159999999999997</v>
      </c>
      <c r="F141" s="3192" t="s">
        <v>4031</v>
      </c>
    </row>
    <row r="142" spans="1:6" ht="15" thickBot="1">
      <c r="A142" s="3186">
        <v>141</v>
      </c>
      <c r="B142" s="3187" t="s">
        <v>3761</v>
      </c>
      <c r="C142" s="3187" t="s">
        <v>3769</v>
      </c>
      <c r="D142" s="3187">
        <v>87.48</v>
      </c>
      <c r="E142" s="3187">
        <v>36.04</v>
      </c>
      <c r="F142" s="3192" t="s">
        <v>4031</v>
      </c>
    </row>
    <row r="143" spans="1:6" ht="15" thickBot="1">
      <c r="A143" s="3186">
        <v>142</v>
      </c>
      <c r="B143" s="3187" t="s">
        <v>3761</v>
      </c>
      <c r="C143" s="3187" t="s">
        <v>3770</v>
      </c>
      <c r="D143" s="3187">
        <v>87.48</v>
      </c>
      <c r="E143" s="3187">
        <v>36.04</v>
      </c>
      <c r="F143" s="3192" t="s">
        <v>4031</v>
      </c>
    </row>
    <row r="144" spans="1:6" ht="15" thickBot="1">
      <c r="A144" s="3186">
        <v>143</v>
      </c>
      <c r="B144" s="3187" t="s">
        <v>3761</v>
      </c>
      <c r="C144" s="3187" t="s">
        <v>3771</v>
      </c>
      <c r="D144" s="3187">
        <v>87.48</v>
      </c>
      <c r="E144" s="3187">
        <v>36.04</v>
      </c>
      <c r="F144" s="3192" t="s">
        <v>4031</v>
      </c>
    </row>
    <row r="145" spans="1:6" ht="15" thickBot="1">
      <c r="A145" s="3186">
        <v>144</v>
      </c>
      <c r="B145" s="3187" t="s">
        <v>3761</v>
      </c>
      <c r="C145" s="3187" t="s">
        <v>3772</v>
      </c>
      <c r="D145" s="3187">
        <v>87.48</v>
      </c>
      <c r="E145" s="3187">
        <v>36.04</v>
      </c>
      <c r="F145" s="3192" t="s">
        <v>4031</v>
      </c>
    </row>
    <row r="146" spans="1:6" ht="15" thickBot="1">
      <c r="A146" s="3186">
        <v>145</v>
      </c>
      <c r="B146" s="3187" t="s">
        <v>3761</v>
      </c>
      <c r="C146" s="3187" t="s">
        <v>3560</v>
      </c>
      <c r="D146" s="3187">
        <v>87.48</v>
      </c>
      <c r="E146" s="3187">
        <v>36.04</v>
      </c>
      <c r="F146" s="3192" t="s">
        <v>4031</v>
      </c>
    </row>
    <row r="147" spans="1:6" ht="15" thickBot="1">
      <c r="A147" s="3186">
        <v>146</v>
      </c>
      <c r="B147" s="3187" t="s">
        <v>3761</v>
      </c>
      <c r="C147" s="3187" t="s">
        <v>3773</v>
      </c>
      <c r="D147" s="3187">
        <v>87.48</v>
      </c>
      <c r="E147" s="3187">
        <v>36.04</v>
      </c>
      <c r="F147" s="3192" t="s">
        <v>4031</v>
      </c>
    </row>
    <row r="148" spans="1:6" ht="15" thickBot="1">
      <c r="A148" s="3186">
        <v>147</v>
      </c>
      <c r="B148" s="3187" t="s">
        <v>3761</v>
      </c>
      <c r="C148" s="3187" t="s">
        <v>3774</v>
      </c>
      <c r="D148" s="3187">
        <v>87.48</v>
      </c>
      <c r="E148" s="3187">
        <v>36.04</v>
      </c>
      <c r="F148" s="3192" t="s">
        <v>4031</v>
      </c>
    </row>
    <row r="149" spans="1:6" ht="15" thickBot="1">
      <c r="A149" s="3186">
        <v>148</v>
      </c>
      <c r="B149" s="3187" t="s">
        <v>3761</v>
      </c>
      <c r="C149" s="3187" t="s">
        <v>3775</v>
      </c>
      <c r="D149" s="3187">
        <v>87.48</v>
      </c>
      <c r="E149" s="3187">
        <v>36.04</v>
      </c>
      <c r="F149" s="3192" t="s">
        <v>4031</v>
      </c>
    </row>
    <row r="150" spans="1:6" ht="15" thickBot="1">
      <c r="A150" s="3186">
        <v>149</v>
      </c>
      <c r="B150" s="3187" t="s">
        <v>3761</v>
      </c>
      <c r="C150" s="3187" t="s">
        <v>3776</v>
      </c>
      <c r="D150" s="3187">
        <v>87.48</v>
      </c>
      <c r="E150" s="3187">
        <v>36.04</v>
      </c>
      <c r="F150" s="3192" t="s">
        <v>4031</v>
      </c>
    </row>
    <row r="151" spans="1:6" ht="15" thickBot="1">
      <c r="A151" s="3186">
        <v>150</v>
      </c>
      <c r="B151" s="3187" t="s">
        <v>3761</v>
      </c>
      <c r="C151" s="3187" t="s">
        <v>3561</v>
      </c>
      <c r="D151" s="3187">
        <v>87.48</v>
      </c>
      <c r="E151" s="3187">
        <v>36.04</v>
      </c>
      <c r="F151" s="3192" t="s">
        <v>4031</v>
      </c>
    </row>
    <row r="152" spans="1:6" ht="15" thickBot="1">
      <c r="A152" s="3186">
        <v>151</v>
      </c>
      <c r="B152" s="3187" t="s">
        <v>3761</v>
      </c>
      <c r="C152" s="3187" t="s">
        <v>3777</v>
      </c>
      <c r="D152" s="3187">
        <v>87.48</v>
      </c>
      <c r="E152" s="3187">
        <v>36.04</v>
      </c>
      <c r="F152" s="3192" t="s">
        <v>4031</v>
      </c>
    </row>
    <row r="153" spans="1:6" ht="15" thickBot="1">
      <c r="A153" s="3186">
        <v>152</v>
      </c>
      <c r="B153" s="3187" t="s">
        <v>3761</v>
      </c>
      <c r="C153" s="3187" t="s">
        <v>3778</v>
      </c>
      <c r="D153" s="3187">
        <v>87.48</v>
      </c>
      <c r="E153" s="3187">
        <v>36.04</v>
      </c>
      <c r="F153" s="3192" t="s">
        <v>4031</v>
      </c>
    </row>
    <row r="154" spans="1:6" ht="15" thickBot="1">
      <c r="A154" s="3186">
        <v>153</v>
      </c>
      <c r="B154" s="3187" t="s">
        <v>3761</v>
      </c>
      <c r="C154" s="3187" t="s">
        <v>3779</v>
      </c>
      <c r="D154" s="3187">
        <v>87.48</v>
      </c>
      <c r="E154" s="3187">
        <v>36.04</v>
      </c>
      <c r="F154" s="3192" t="s">
        <v>4031</v>
      </c>
    </row>
    <row r="155" spans="1:6" ht="15" thickBot="1">
      <c r="A155" s="3186">
        <v>154</v>
      </c>
      <c r="B155" s="3187" t="s">
        <v>3761</v>
      </c>
      <c r="C155" s="3187" t="s">
        <v>3780</v>
      </c>
      <c r="D155" s="3187">
        <v>87.48</v>
      </c>
      <c r="E155" s="3187">
        <v>36.04</v>
      </c>
      <c r="F155" s="3192" t="s">
        <v>4031</v>
      </c>
    </row>
    <row r="156" spans="1:6" ht="15" thickBot="1">
      <c r="A156" s="3186">
        <v>155</v>
      </c>
      <c r="B156" s="3187" t="s">
        <v>3761</v>
      </c>
      <c r="C156" s="3187" t="s">
        <v>3781</v>
      </c>
      <c r="D156" s="3187">
        <v>87.48</v>
      </c>
      <c r="E156" s="3187">
        <v>36.04</v>
      </c>
      <c r="F156" s="3192" t="s">
        <v>4031</v>
      </c>
    </row>
    <row r="157" spans="1:6" ht="15" thickBot="1">
      <c r="A157" s="3186">
        <v>156</v>
      </c>
      <c r="B157" s="3187" t="s">
        <v>3761</v>
      </c>
      <c r="C157" s="3187" t="s">
        <v>3782</v>
      </c>
      <c r="D157" s="3187">
        <v>87.48</v>
      </c>
      <c r="E157" s="3187">
        <v>36.04</v>
      </c>
      <c r="F157" s="3192" t="s">
        <v>4031</v>
      </c>
    </row>
    <row r="158" spans="1:6" ht="15" thickBot="1">
      <c r="A158" s="3186">
        <v>157</v>
      </c>
      <c r="B158" s="3187" t="s">
        <v>3761</v>
      </c>
      <c r="C158" s="3187" t="s">
        <v>3783</v>
      </c>
      <c r="D158" s="3187">
        <v>87.48</v>
      </c>
      <c r="E158" s="3187">
        <v>36.04</v>
      </c>
      <c r="F158" s="3192" t="s">
        <v>4031</v>
      </c>
    </row>
    <row r="159" spans="1:6" ht="15" thickBot="1">
      <c r="A159" s="3186">
        <v>158</v>
      </c>
      <c r="B159" s="3187" t="s">
        <v>3761</v>
      </c>
      <c r="C159" s="3187" t="s">
        <v>3784</v>
      </c>
      <c r="D159" s="3187">
        <v>87.48</v>
      </c>
      <c r="E159" s="3187">
        <v>36.04</v>
      </c>
      <c r="F159" s="3192" t="s">
        <v>4031</v>
      </c>
    </row>
    <row r="160" spans="1:6" ht="15" thickBot="1">
      <c r="A160" s="3186">
        <v>159</v>
      </c>
      <c r="B160" s="3187" t="s">
        <v>3761</v>
      </c>
      <c r="C160" s="3187" t="s">
        <v>3785</v>
      </c>
      <c r="D160" s="3187">
        <v>87.48</v>
      </c>
      <c r="E160" s="3187">
        <v>36.04</v>
      </c>
      <c r="F160" s="3192" t="s">
        <v>4031</v>
      </c>
    </row>
    <row r="161" spans="1:6" ht="15" thickBot="1">
      <c r="A161" s="3186">
        <v>160</v>
      </c>
      <c r="B161" s="3187" t="s">
        <v>3761</v>
      </c>
      <c r="C161" s="3187" t="s">
        <v>3786</v>
      </c>
      <c r="D161" s="3187">
        <v>87.48</v>
      </c>
      <c r="E161" s="3187">
        <v>36.04</v>
      </c>
      <c r="F161" s="3192" t="s">
        <v>4031</v>
      </c>
    </row>
    <row r="162" spans="1:6" ht="15" thickBot="1">
      <c r="A162" s="3186">
        <v>161</v>
      </c>
      <c r="B162" s="3187" t="s">
        <v>3761</v>
      </c>
      <c r="C162" s="3187" t="s">
        <v>3562</v>
      </c>
      <c r="D162" s="3187">
        <v>87.48</v>
      </c>
      <c r="E162" s="3187">
        <v>36.04</v>
      </c>
      <c r="F162" s="3192" t="s">
        <v>4031</v>
      </c>
    </row>
    <row r="163" spans="1:6" ht="15" thickBot="1">
      <c r="A163" s="3186">
        <v>162</v>
      </c>
      <c r="B163" s="3187" t="s">
        <v>3761</v>
      </c>
      <c r="C163" s="3187" t="s">
        <v>3563</v>
      </c>
      <c r="D163" s="3187">
        <v>87.48</v>
      </c>
      <c r="E163" s="3187">
        <v>36.04</v>
      </c>
      <c r="F163" s="3192" t="s">
        <v>4031</v>
      </c>
    </row>
    <row r="164" spans="1:6" ht="15" thickBot="1">
      <c r="A164" s="3186">
        <v>163</v>
      </c>
      <c r="B164" s="3187" t="s">
        <v>3761</v>
      </c>
      <c r="C164" s="3187" t="s">
        <v>3564</v>
      </c>
      <c r="D164" s="3187">
        <v>71.319999999999993</v>
      </c>
      <c r="E164" s="3187">
        <v>29.37</v>
      </c>
      <c r="F164" s="3192" t="s">
        <v>4031</v>
      </c>
    </row>
    <row r="165" spans="1:6" ht="15" thickBot="1">
      <c r="A165" s="3186">
        <v>164</v>
      </c>
      <c r="B165" s="3187" t="s">
        <v>3761</v>
      </c>
      <c r="C165" s="3187" t="s">
        <v>3565</v>
      </c>
      <c r="D165" s="3187">
        <v>87.78</v>
      </c>
      <c r="E165" s="3187">
        <v>36.159999999999997</v>
      </c>
      <c r="F165" s="3192" t="s">
        <v>4031</v>
      </c>
    </row>
    <row r="166" spans="1:6" ht="15" thickBot="1">
      <c r="A166" s="3186">
        <v>165</v>
      </c>
      <c r="B166" s="3187" t="s">
        <v>3761</v>
      </c>
      <c r="C166" s="3187" t="s">
        <v>3566</v>
      </c>
      <c r="D166" s="3187">
        <v>87.48</v>
      </c>
      <c r="E166" s="3187">
        <v>36.04</v>
      </c>
      <c r="F166" s="3192" t="s">
        <v>4031</v>
      </c>
    </row>
    <row r="167" spans="1:6" ht="15" thickBot="1">
      <c r="A167" s="3186">
        <v>166</v>
      </c>
      <c r="B167" s="3187" t="s">
        <v>3761</v>
      </c>
      <c r="C167" s="3187" t="s">
        <v>3787</v>
      </c>
      <c r="D167" s="3187">
        <v>87.78</v>
      </c>
      <c r="E167" s="3187">
        <v>36.159999999999997</v>
      </c>
      <c r="F167" s="3192" t="s">
        <v>4031</v>
      </c>
    </row>
    <row r="168" spans="1:6" ht="15" thickBot="1">
      <c r="A168" s="3186">
        <v>167</v>
      </c>
      <c r="B168" s="3187" t="s">
        <v>3761</v>
      </c>
      <c r="C168" s="3187" t="s">
        <v>3788</v>
      </c>
      <c r="D168" s="3187">
        <v>87.48</v>
      </c>
      <c r="E168" s="3187">
        <v>36.04</v>
      </c>
      <c r="F168" s="3192" t="s">
        <v>4031</v>
      </c>
    </row>
    <row r="169" spans="1:6" ht="15" thickBot="1">
      <c r="A169" s="3186">
        <v>168</v>
      </c>
      <c r="B169" s="3187" t="s">
        <v>3761</v>
      </c>
      <c r="C169" s="3187" t="s">
        <v>3789</v>
      </c>
      <c r="D169" s="3187">
        <v>87.78</v>
      </c>
      <c r="E169" s="3187">
        <v>36.159999999999997</v>
      </c>
      <c r="F169" s="3192" t="s">
        <v>4031</v>
      </c>
    </row>
    <row r="170" spans="1:6" ht="15" thickBot="1">
      <c r="A170" s="3186">
        <v>169</v>
      </c>
      <c r="B170" s="3187" t="s">
        <v>3761</v>
      </c>
      <c r="C170" s="3187" t="s">
        <v>3567</v>
      </c>
      <c r="D170" s="3187">
        <v>87.48</v>
      </c>
      <c r="E170" s="3187">
        <v>36.04</v>
      </c>
      <c r="F170" s="3192" t="s">
        <v>4031</v>
      </c>
    </row>
    <row r="171" spans="1:6" ht="15" thickBot="1">
      <c r="A171" s="3186">
        <v>170</v>
      </c>
      <c r="B171" s="3187" t="s">
        <v>3761</v>
      </c>
      <c r="C171" s="3187" t="s">
        <v>3790</v>
      </c>
      <c r="D171" s="3187">
        <v>87.78</v>
      </c>
      <c r="E171" s="3187">
        <v>36.159999999999997</v>
      </c>
      <c r="F171" s="3192" t="s">
        <v>4031</v>
      </c>
    </row>
    <row r="172" spans="1:6" ht="15" thickBot="1">
      <c r="A172" s="3186">
        <v>171</v>
      </c>
      <c r="B172" s="3187" t="s">
        <v>3761</v>
      </c>
      <c r="C172" s="3187" t="s">
        <v>3791</v>
      </c>
      <c r="D172" s="3187">
        <v>87.48</v>
      </c>
      <c r="E172" s="3187">
        <v>36.04</v>
      </c>
      <c r="F172" s="3192" t="s">
        <v>4031</v>
      </c>
    </row>
    <row r="173" spans="1:6" ht="15" thickBot="1">
      <c r="A173" s="3186">
        <v>172</v>
      </c>
      <c r="B173" s="3187" t="s">
        <v>3761</v>
      </c>
      <c r="C173" s="3187" t="s">
        <v>3792</v>
      </c>
      <c r="D173" s="3187">
        <v>87.78</v>
      </c>
      <c r="E173" s="3187">
        <v>36.159999999999997</v>
      </c>
      <c r="F173" s="3192" t="s">
        <v>4031</v>
      </c>
    </row>
    <row r="174" spans="1:6" ht="15" thickBot="1">
      <c r="A174" s="3186">
        <v>173</v>
      </c>
      <c r="B174" s="3187" t="s">
        <v>3761</v>
      </c>
      <c r="C174" s="3187" t="s">
        <v>3793</v>
      </c>
      <c r="D174" s="3187">
        <v>87.48</v>
      </c>
      <c r="E174" s="3187">
        <v>36.04</v>
      </c>
      <c r="F174" s="3192" t="s">
        <v>4031</v>
      </c>
    </row>
    <row r="175" spans="1:6" ht="15" thickBot="1">
      <c r="A175" s="3186">
        <v>174</v>
      </c>
      <c r="B175" s="3187" t="s">
        <v>3761</v>
      </c>
      <c r="C175" s="3187" t="s">
        <v>3794</v>
      </c>
      <c r="D175" s="3187">
        <v>87.48</v>
      </c>
      <c r="E175" s="3187">
        <v>36.04</v>
      </c>
      <c r="F175" s="3192" t="s">
        <v>4031</v>
      </c>
    </row>
    <row r="176" spans="1:6" ht="15" thickBot="1">
      <c r="A176" s="3186">
        <v>175</v>
      </c>
      <c r="B176" s="3187" t="s">
        <v>3761</v>
      </c>
      <c r="C176" s="3187" t="s">
        <v>3795</v>
      </c>
      <c r="D176" s="3187">
        <v>87.48</v>
      </c>
      <c r="E176" s="3187">
        <v>36.04</v>
      </c>
      <c r="F176" s="3192" t="s">
        <v>4031</v>
      </c>
    </row>
    <row r="177" spans="1:6" ht="15" thickBot="1">
      <c r="A177" s="3186">
        <v>176</v>
      </c>
      <c r="B177" s="3187" t="s">
        <v>3761</v>
      </c>
      <c r="C177" s="3187" t="s">
        <v>3796</v>
      </c>
      <c r="D177" s="3187">
        <v>87.78</v>
      </c>
      <c r="E177" s="3187">
        <v>36.159999999999997</v>
      </c>
      <c r="F177" s="3192" t="s">
        <v>4031</v>
      </c>
    </row>
    <row r="178" spans="1:6" ht="15" thickBot="1">
      <c r="A178" s="3186">
        <v>177</v>
      </c>
      <c r="B178" s="3187" t="s">
        <v>3761</v>
      </c>
      <c r="C178" s="3187" t="s">
        <v>3568</v>
      </c>
      <c r="D178" s="3187">
        <v>87.48</v>
      </c>
      <c r="E178" s="3187">
        <v>36.04</v>
      </c>
      <c r="F178" s="3192" t="s">
        <v>4031</v>
      </c>
    </row>
    <row r="179" spans="1:6" ht="15" thickBot="1">
      <c r="A179" s="3186">
        <v>178</v>
      </c>
      <c r="B179" s="3187" t="s">
        <v>3761</v>
      </c>
      <c r="C179" s="3187" t="s">
        <v>3797</v>
      </c>
      <c r="D179" s="3187">
        <v>87.78</v>
      </c>
      <c r="E179" s="3187">
        <v>36.159999999999997</v>
      </c>
      <c r="F179" s="3192" t="s">
        <v>4031</v>
      </c>
    </row>
    <row r="180" spans="1:6" ht="15" thickBot="1">
      <c r="A180" s="3186">
        <v>179</v>
      </c>
      <c r="B180" s="3187" t="s">
        <v>3798</v>
      </c>
      <c r="C180" s="3187" t="s">
        <v>3569</v>
      </c>
      <c r="D180" s="3187">
        <v>107.39</v>
      </c>
      <c r="E180" s="3187">
        <v>44.24</v>
      </c>
      <c r="F180" s="3192" t="s">
        <v>4031</v>
      </c>
    </row>
    <row r="181" spans="1:6" ht="15" thickBot="1">
      <c r="A181" s="3186">
        <v>180</v>
      </c>
      <c r="B181" s="3187" t="s">
        <v>3798</v>
      </c>
      <c r="C181" s="3187" t="s">
        <v>3570</v>
      </c>
      <c r="D181" s="3187">
        <v>107.39</v>
      </c>
      <c r="E181" s="3187">
        <v>44.24</v>
      </c>
      <c r="F181" s="3192" t="s">
        <v>4031</v>
      </c>
    </row>
    <row r="182" spans="1:6" ht="15" thickBot="1">
      <c r="A182" s="3186">
        <v>181</v>
      </c>
      <c r="B182" s="3187" t="s">
        <v>3798</v>
      </c>
      <c r="C182" s="3187" t="s">
        <v>3799</v>
      </c>
      <c r="D182" s="3187">
        <v>107.39</v>
      </c>
      <c r="E182" s="3187">
        <v>44.24</v>
      </c>
      <c r="F182" s="3192" t="s">
        <v>4031</v>
      </c>
    </row>
    <row r="183" spans="1:6" ht="15" thickBot="1">
      <c r="A183" s="3186">
        <v>182</v>
      </c>
      <c r="B183" s="3187" t="s">
        <v>3798</v>
      </c>
      <c r="C183" s="3187" t="s">
        <v>3800</v>
      </c>
      <c r="D183" s="3187">
        <v>107.39</v>
      </c>
      <c r="E183" s="3187">
        <v>44.24</v>
      </c>
      <c r="F183" s="3192" t="s">
        <v>4031</v>
      </c>
    </row>
    <row r="184" spans="1:6" ht="15" thickBot="1">
      <c r="A184" s="3186">
        <v>183</v>
      </c>
      <c r="B184" s="3187" t="s">
        <v>3798</v>
      </c>
      <c r="C184" s="3187" t="s">
        <v>3801</v>
      </c>
      <c r="D184" s="3187">
        <v>107.39</v>
      </c>
      <c r="E184" s="3187">
        <v>44.24</v>
      </c>
      <c r="F184" s="3192" t="s">
        <v>4031</v>
      </c>
    </row>
    <row r="185" spans="1:6" ht="15" thickBot="1">
      <c r="A185" s="3186">
        <v>184</v>
      </c>
      <c r="B185" s="3187" t="s">
        <v>3798</v>
      </c>
      <c r="C185" s="3187" t="s">
        <v>3802</v>
      </c>
      <c r="D185" s="3187">
        <v>107.39</v>
      </c>
      <c r="E185" s="3187">
        <v>44.24</v>
      </c>
      <c r="F185" s="3192" t="s">
        <v>4031</v>
      </c>
    </row>
    <row r="186" spans="1:6" ht="15" thickBot="1">
      <c r="A186" s="3186">
        <v>185</v>
      </c>
      <c r="B186" s="3187" t="s">
        <v>3798</v>
      </c>
      <c r="C186" s="3187" t="s">
        <v>3571</v>
      </c>
      <c r="D186" s="3187">
        <v>107.39</v>
      </c>
      <c r="E186" s="3187">
        <v>44.24</v>
      </c>
      <c r="F186" s="3192" t="s">
        <v>4031</v>
      </c>
    </row>
    <row r="187" spans="1:6" ht="15" thickBot="1">
      <c r="A187" s="3186">
        <v>186</v>
      </c>
      <c r="B187" s="3187" t="s">
        <v>3798</v>
      </c>
      <c r="C187" s="3187" t="s">
        <v>3803</v>
      </c>
      <c r="D187" s="3187">
        <v>107.39</v>
      </c>
      <c r="E187" s="3187">
        <v>44.24</v>
      </c>
      <c r="F187" s="3192" t="s">
        <v>4031</v>
      </c>
    </row>
    <row r="188" spans="1:6" ht="15" thickBot="1">
      <c r="A188" s="3186">
        <v>187</v>
      </c>
      <c r="B188" s="3187" t="s">
        <v>3798</v>
      </c>
      <c r="C188" s="3187" t="s">
        <v>3804</v>
      </c>
      <c r="D188" s="3187">
        <v>107.39</v>
      </c>
      <c r="E188" s="3187">
        <v>44.24</v>
      </c>
      <c r="F188" s="3192" t="s">
        <v>4031</v>
      </c>
    </row>
    <row r="189" spans="1:6" ht="15" thickBot="1">
      <c r="A189" s="3186">
        <v>188</v>
      </c>
      <c r="B189" s="3187" t="s">
        <v>3798</v>
      </c>
      <c r="C189" s="3187" t="s">
        <v>3805</v>
      </c>
      <c r="D189" s="3187">
        <v>107.39</v>
      </c>
      <c r="E189" s="3187">
        <v>44.24</v>
      </c>
      <c r="F189" s="3192" t="s">
        <v>4031</v>
      </c>
    </row>
    <row r="190" spans="1:6" ht="15" thickBot="1">
      <c r="A190" s="3186">
        <v>189</v>
      </c>
      <c r="B190" s="3187" t="s">
        <v>3798</v>
      </c>
      <c r="C190" s="3187" t="s">
        <v>3806</v>
      </c>
      <c r="D190" s="3187">
        <v>107.39</v>
      </c>
      <c r="E190" s="3187">
        <v>44.24</v>
      </c>
      <c r="F190" s="3192" t="s">
        <v>4031</v>
      </c>
    </row>
    <row r="191" spans="1:6" ht="15" thickBot="1">
      <c r="A191" s="3186">
        <v>190</v>
      </c>
      <c r="B191" s="3187" t="s">
        <v>3798</v>
      </c>
      <c r="C191" s="3187" t="s">
        <v>3572</v>
      </c>
      <c r="D191" s="3187">
        <v>107.39</v>
      </c>
      <c r="E191" s="3187">
        <v>44.24</v>
      </c>
      <c r="F191" s="3192" t="s">
        <v>4031</v>
      </c>
    </row>
    <row r="192" spans="1:6" ht="15" thickBot="1">
      <c r="A192" s="3186">
        <v>191</v>
      </c>
      <c r="B192" s="3187" t="s">
        <v>3798</v>
      </c>
      <c r="C192" s="3187" t="s">
        <v>3807</v>
      </c>
      <c r="D192" s="3187">
        <v>107.39</v>
      </c>
      <c r="E192" s="3187">
        <v>44.24</v>
      </c>
      <c r="F192" s="3192" t="s">
        <v>4031</v>
      </c>
    </row>
    <row r="193" spans="1:6" ht="15" thickBot="1">
      <c r="A193" s="3186">
        <v>192</v>
      </c>
      <c r="B193" s="3187" t="s">
        <v>3798</v>
      </c>
      <c r="C193" s="3187" t="s">
        <v>3808</v>
      </c>
      <c r="D193" s="3187">
        <v>107.39</v>
      </c>
      <c r="E193" s="3187">
        <v>44.24</v>
      </c>
      <c r="F193" s="3192" t="s">
        <v>4031</v>
      </c>
    </row>
    <row r="194" spans="1:6" ht="15" thickBot="1">
      <c r="A194" s="3186">
        <v>193</v>
      </c>
      <c r="B194" s="3187" t="s">
        <v>3798</v>
      </c>
      <c r="C194" s="3187" t="s">
        <v>3809</v>
      </c>
      <c r="D194" s="3187">
        <v>107.39</v>
      </c>
      <c r="E194" s="3187">
        <v>44.24</v>
      </c>
      <c r="F194" s="3192" t="s">
        <v>4031</v>
      </c>
    </row>
    <row r="195" spans="1:6" ht="15" thickBot="1">
      <c r="A195" s="3186">
        <v>194</v>
      </c>
      <c r="B195" s="3187" t="s">
        <v>3798</v>
      </c>
      <c r="C195" s="3187" t="s">
        <v>3573</v>
      </c>
      <c r="D195" s="3187">
        <v>107.39</v>
      </c>
      <c r="E195" s="3187">
        <v>44.24</v>
      </c>
      <c r="F195" s="3192" t="s">
        <v>4031</v>
      </c>
    </row>
    <row r="196" spans="1:6" ht="15" thickBot="1">
      <c r="A196" s="3186">
        <v>195</v>
      </c>
      <c r="B196" s="3187" t="s">
        <v>3798</v>
      </c>
      <c r="C196" s="3187" t="s">
        <v>3810</v>
      </c>
      <c r="D196" s="3187">
        <v>107.39</v>
      </c>
      <c r="E196" s="3187">
        <v>44.24</v>
      </c>
      <c r="F196" s="3192" t="s">
        <v>4031</v>
      </c>
    </row>
    <row r="197" spans="1:6" ht="15" thickBot="1">
      <c r="A197" s="3186">
        <v>196</v>
      </c>
      <c r="B197" s="3187" t="s">
        <v>3798</v>
      </c>
      <c r="C197" s="3187" t="s">
        <v>3574</v>
      </c>
      <c r="D197" s="3187">
        <v>107.39</v>
      </c>
      <c r="E197" s="3187">
        <v>44.24</v>
      </c>
      <c r="F197" s="3192" t="s">
        <v>4031</v>
      </c>
    </row>
    <row r="198" spans="1:6" ht="15" thickBot="1">
      <c r="A198" s="3186">
        <v>197</v>
      </c>
      <c r="B198" s="3187" t="s">
        <v>3811</v>
      </c>
      <c r="C198" s="3187" t="s">
        <v>3575</v>
      </c>
      <c r="D198" s="3187">
        <v>107.39</v>
      </c>
      <c r="E198" s="3187">
        <v>44.24</v>
      </c>
      <c r="F198" s="3192" t="s">
        <v>4031</v>
      </c>
    </row>
    <row r="199" spans="1:6" ht="15" thickBot="1">
      <c r="A199" s="3186">
        <v>198</v>
      </c>
      <c r="B199" s="3187" t="s">
        <v>3811</v>
      </c>
      <c r="C199" s="3187" t="s">
        <v>3576</v>
      </c>
      <c r="D199" s="3187">
        <v>107.39</v>
      </c>
      <c r="E199" s="3187">
        <v>44.24</v>
      </c>
      <c r="F199" s="3192" t="s">
        <v>4031</v>
      </c>
    </row>
    <row r="200" spans="1:6" ht="15" thickBot="1">
      <c r="A200" s="3186">
        <v>199</v>
      </c>
      <c r="B200" s="3187" t="s">
        <v>3811</v>
      </c>
      <c r="C200" s="3187" t="s">
        <v>3577</v>
      </c>
      <c r="D200" s="3187">
        <v>107.39</v>
      </c>
      <c r="E200" s="3187">
        <v>44.24</v>
      </c>
      <c r="F200" s="3192" t="s">
        <v>4031</v>
      </c>
    </row>
    <row r="201" spans="1:6" ht="15" thickBot="1">
      <c r="A201" s="3186">
        <v>200</v>
      </c>
      <c r="B201" s="3187" t="s">
        <v>3811</v>
      </c>
      <c r="C201" s="3187" t="s">
        <v>3578</v>
      </c>
      <c r="D201" s="3187">
        <v>107.39</v>
      </c>
      <c r="E201" s="3187">
        <v>44.24</v>
      </c>
      <c r="F201" s="3192" t="s">
        <v>4031</v>
      </c>
    </row>
    <row r="202" spans="1:6" ht="15" thickBot="1">
      <c r="A202" s="3186">
        <v>201</v>
      </c>
      <c r="B202" s="3187" t="s">
        <v>3811</v>
      </c>
      <c r="C202" s="3187" t="s">
        <v>3812</v>
      </c>
      <c r="D202" s="3187">
        <v>107.39</v>
      </c>
      <c r="E202" s="3187">
        <v>44.24</v>
      </c>
      <c r="F202" s="3192" t="s">
        <v>4031</v>
      </c>
    </row>
    <row r="203" spans="1:6" ht="15" thickBot="1">
      <c r="A203" s="3186">
        <v>202</v>
      </c>
      <c r="B203" s="3187" t="s">
        <v>3811</v>
      </c>
      <c r="C203" s="3187" t="s">
        <v>3813</v>
      </c>
      <c r="D203" s="3187">
        <v>107.39</v>
      </c>
      <c r="E203" s="3187">
        <v>44.24</v>
      </c>
      <c r="F203" s="3192" t="s">
        <v>4031</v>
      </c>
    </row>
    <row r="204" spans="1:6" ht="15" thickBot="1">
      <c r="A204" s="3186">
        <v>203</v>
      </c>
      <c r="B204" s="3187" t="s">
        <v>3811</v>
      </c>
      <c r="C204" s="3187" t="s">
        <v>3814</v>
      </c>
      <c r="D204" s="3187">
        <v>107.39</v>
      </c>
      <c r="E204" s="3187">
        <v>44.24</v>
      </c>
      <c r="F204" s="3192" t="s">
        <v>4031</v>
      </c>
    </row>
    <row r="205" spans="1:6" ht="15" thickBot="1">
      <c r="A205" s="3186">
        <v>204</v>
      </c>
      <c r="B205" s="3187" t="s">
        <v>3811</v>
      </c>
      <c r="C205" s="3187" t="s">
        <v>3579</v>
      </c>
      <c r="D205" s="3187">
        <v>107.39</v>
      </c>
      <c r="E205" s="3187">
        <v>44.24</v>
      </c>
      <c r="F205" s="3192" t="s">
        <v>4031</v>
      </c>
    </row>
    <row r="206" spans="1:6" ht="15" thickBot="1">
      <c r="A206" s="3186">
        <v>205</v>
      </c>
      <c r="B206" s="3187" t="s">
        <v>3811</v>
      </c>
      <c r="C206" s="3187" t="s">
        <v>3580</v>
      </c>
      <c r="D206" s="3187">
        <v>107.39</v>
      </c>
      <c r="E206" s="3187">
        <v>44.24</v>
      </c>
      <c r="F206" s="3192" t="s">
        <v>4031</v>
      </c>
    </row>
    <row r="207" spans="1:6" ht="15" thickBot="1">
      <c r="A207" s="3186">
        <v>206</v>
      </c>
      <c r="B207" s="3187" t="s">
        <v>3811</v>
      </c>
      <c r="C207" s="3187" t="s">
        <v>3581</v>
      </c>
      <c r="D207" s="3187">
        <v>107.39</v>
      </c>
      <c r="E207" s="3187">
        <v>44.24</v>
      </c>
      <c r="F207" s="3192" t="s">
        <v>4031</v>
      </c>
    </row>
    <row r="208" spans="1:6" ht="15" thickBot="1">
      <c r="A208" s="3186">
        <v>207</v>
      </c>
      <c r="B208" s="3187" t="s">
        <v>3811</v>
      </c>
      <c r="C208" s="3187" t="s">
        <v>3815</v>
      </c>
      <c r="D208" s="3187">
        <v>107.39</v>
      </c>
      <c r="E208" s="3187">
        <v>44.24</v>
      </c>
      <c r="F208" s="3192" t="s">
        <v>4031</v>
      </c>
    </row>
    <row r="209" spans="1:6" ht="15" thickBot="1">
      <c r="A209" s="3186">
        <v>208</v>
      </c>
      <c r="B209" s="3187" t="s">
        <v>3811</v>
      </c>
      <c r="C209" s="3187" t="s">
        <v>3816</v>
      </c>
      <c r="D209" s="3187">
        <v>107.39</v>
      </c>
      <c r="E209" s="3187">
        <v>44.24</v>
      </c>
      <c r="F209" s="3192" t="s">
        <v>4031</v>
      </c>
    </row>
    <row r="210" spans="1:6" ht="15" thickBot="1">
      <c r="A210" s="3186">
        <v>209</v>
      </c>
      <c r="B210" s="3187" t="s">
        <v>3811</v>
      </c>
      <c r="C210" s="3187" t="s">
        <v>3817</v>
      </c>
      <c r="D210" s="3187">
        <v>107.39</v>
      </c>
      <c r="E210" s="3187">
        <v>44.24</v>
      </c>
      <c r="F210" s="3192" t="s">
        <v>4031</v>
      </c>
    </row>
    <row r="211" spans="1:6" ht="15" thickBot="1">
      <c r="A211" s="3186">
        <v>210</v>
      </c>
      <c r="B211" s="3187" t="s">
        <v>3811</v>
      </c>
      <c r="C211" s="3187" t="s">
        <v>3818</v>
      </c>
      <c r="D211" s="3187">
        <v>107.39</v>
      </c>
      <c r="E211" s="3187">
        <v>44.24</v>
      </c>
      <c r="F211" s="3192" t="s">
        <v>4031</v>
      </c>
    </row>
    <row r="212" spans="1:6" ht="15" thickBot="1">
      <c r="A212" s="3186">
        <v>211</v>
      </c>
      <c r="B212" s="3187" t="s">
        <v>3811</v>
      </c>
      <c r="C212" s="3187" t="s">
        <v>3819</v>
      </c>
      <c r="D212" s="3187">
        <v>107.39</v>
      </c>
      <c r="E212" s="3187">
        <v>44.24</v>
      </c>
      <c r="F212" s="3192" t="s">
        <v>4031</v>
      </c>
    </row>
    <row r="213" spans="1:6" ht="15" thickBot="1">
      <c r="A213" s="3186">
        <v>212</v>
      </c>
      <c r="B213" s="3187" t="s">
        <v>3811</v>
      </c>
      <c r="C213" s="3187" t="s">
        <v>3820</v>
      </c>
      <c r="D213" s="3187">
        <v>107.39</v>
      </c>
      <c r="E213" s="3187">
        <v>44.24</v>
      </c>
      <c r="F213" s="3192" t="s">
        <v>4031</v>
      </c>
    </row>
    <row r="214" spans="1:6" ht="15" thickBot="1">
      <c r="A214" s="3186">
        <v>213</v>
      </c>
      <c r="B214" s="3187" t="s">
        <v>3811</v>
      </c>
      <c r="C214" s="3187" t="s">
        <v>3821</v>
      </c>
      <c r="D214" s="3187">
        <v>107.39</v>
      </c>
      <c r="E214" s="3187">
        <v>44.24</v>
      </c>
      <c r="F214" s="3192" t="s">
        <v>4031</v>
      </c>
    </row>
    <row r="215" spans="1:6" ht="15" thickBot="1">
      <c r="A215" s="3186">
        <v>214</v>
      </c>
      <c r="B215" s="3187" t="s">
        <v>3811</v>
      </c>
      <c r="C215" s="3187" t="s">
        <v>3822</v>
      </c>
      <c r="D215" s="3187">
        <v>107.39</v>
      </c>
      <c r="E215" s="3187">
        <v>44.24</v>
      </c>
      <c r="F215" s="3192" t="s">
        <v>4031</v>
      </c>
    </row>
    <row r="216" spans="1:6" ht="15" thickBot="1">
      <c r="A216" s="3186">
        <v>215</v>
      </c>
      <c r="B216" s="3187" t="s">
        <v>3823</v>
      </c>
      <c r="C216" s="3187" t="s">
        <v>3824</v>
      </c>
      <c r="D216" s="3187">
        <v>87.65</v>
      </c>
      <c r="E216" s="3187">
        <v>36.11</v>
      </c>
      <c r="F216" s="3192" t="s">
        <v>4031</v>
      </c>
    </row>
    <row r="217" spans="1:6" ht="15" thickBot="1">
      <c r="A217" s="3186">
        <v>216</v>
      </c>
      <c r="B217" s="3187" t="s">
        <v>3823</v>
      </c>
      <c r="C217" s="3187" t="s">
        <v>3825</v>
      </c>
      <c r="D217" s="3187">
        <v>87.34</v>
      </c>
      <c r="E217" s="3187">
        <v>35.979999999999997</v>
      </c>
      <c r="F217" s="3192" t="s">
        <v>4031</v>
      </c>
    </row>
    <row r="218" spans="1:6" ht="15" thickBot="1">
      <c r="A218" s="3186">
        <v>217</v>
      </c>
      <c r="B218" s="3187" t="s">
        <v>3823</v>
      </c>
      <c r="C218" s="3187" t="s">
        <v>3826</v>
      </c>
      <c r="D218" s="3187">
        <v>87.65</v>
      </c>
      <c r="E218" s="3187">
        <v>36.11</v>
      </c>
      <c r="F218" s="3192" t="s">
        <v>4031</v>
      </c>
    </row>
    <row r="219" spans="1:6" ht="15" thickBot="1">
      <c r="A219" s="3186">
        <v>218</v>
      </c>
      <c r="B219" s="3187" t="s">
        <v>3823</v>
      </c>
      <c r="C219" s="3187" t="s">
        <v>3827</v>
      </c>
      <c r="D219" s="3187">
        <v>87.34</v>
      </c>
      <c r="E219" s="3187">
        <v>35.979999999999997</v>
      </c>
      <c r="F219" s="3192" t="s">
        <v>4031</v>
      </c>
    </row>
    <row r="220" spans="1:6" ht="15" thickBot="1">
      <c r="A220" s="3186">
        <v>219</v>
      </c>
      <c r="B220" s="3187" t="s">
        <v>3823</v>
      </c>
      <c r="C220" s="3187" t="s">
        <v>3828</v>
      </c>
      <c r="D220" s="3187">
        <v>87.65</v>
      </c>
      <c r="E220" s="3187">
        <v>36.11</v>
      </c>
      <c r="F220" s="3192" t="s">
        <v>4031</v>
      </c>
    </row>
    <row r="221" spans="1:6" ht="15" thickBot="1">
      <c r="A221" s="3186">
        <v>220</v>
      </c>
      <c r="B221" s="3187" t="s">
        <v>3823</v>
      </c>
      <c r="C221" s="3187" t="s">
        <v>3829</v>
      </c>
      <c r="D221" s="3187">
        <v>87.34</v>
      </c>
      <c r="E221" s="3187">
        <v>35.979999999999997</v>
      </c>
      <c r="F221" s="3192" t="s">
        <v>4031</v>
      </c>
    </row>
    <row r="222" spans="1:6" ht="15" thickBot="1">
      <c r="A222" s="3186">
        <v>221</v>
      </c>
      <c r="B222" s="3187" t="s">
        <v>3823</v>
      </c>
      <c r="C222" s="3187" t="s">
        <v>3830</v>
      </c>
      <c r="D222" s="3187">
        <v>87.65</v>
      </c>
      <c r="E222" s="3187">
        <v>36.11</v>
      </c>
      <c r="F222" s="3192" t="s">
        <v>4031</v>
      </c>
    </row>
    <row r="223" spans="1:6" ht="15" thickBot="1">
      <c r="A223" s="3186">
        <v>222</v>
      </c>
      <c r="B223" s="3187" t="s">
        <v>3823</v>
      </c>
      <c r="C223" s="3187" t="s">
        <v>3831</v>
      </c>
      <c r="D223" s="3187">
        <v>87.34</v>
      </c>
      <c r="E223" s="3187">
        <v>35.979999999999997</v>
      </c>
      <c r="F223" s="3192" t="s">
        <v>4031</v>
      </c>
    </row>
    <row r="224" spans="1:6" ht="15" thickBot="1">
      <c r="A224" s="3186">
        <v>223</v>
      </c>
      <c r="B224" s="3187" t="s">
        <v>3823</v>
      </c>
      <c r="C224" s="3187" t="s">
        <v>3832</v>
      </c>
      <c r="D224" s="3187">
        <v>87.65</v>
      </c>
      <c r="E224" s="3187">
        <v>36.11</v>
      </c>
      <c r="F224" s="3192" t="s">
        <v>4031</v>
      </c>
    </row>
    <row r="225" spans="1:6" ht="15" thickBot="1">
      <c r="A225" s="3186">
        <v>224</v>
      </c>
      <c r="B225" s="3187" t="s">
        <v>3823</v>
      </c>
      <c r="C225" s="3187" t="s">
        <v>3833</v>
      </c>
      <c r="D225" s="3187">
        <v>87.34</v>
      </c>
      <c r="E225" s="3187">
        <v>35.979999999999997</v>
      </c>
      <c r="F225" s="3192" t="s">
        <v>4031</v>
      </c>
    </row>
    <row r="226" spans="1:6" ht="15" thickBot="1">
      <c r="A226" s="3186">
        <v>225</v>
      </c>
      <c r="B226" s="3187" t="s">
        <v>3823</v>
      </c>
      <c r="C226" s="3187" t="s">
        <v>3834</v>
      </c>
      <c r="D226" s="3187">
        <v>87.65</v>
      </c>
      <c r="E226" s="3187">
        <v>36.11</v>
      </c>
      <c r="F226" s="3192" t="s">
        <v>4031</v>
      </c>
    </row>
    <row r="227" spans="1:6" ht="15" thickBot="1">
      <c r="A227" s="3186">
        <v>226</v>
      </c>
      <c r="B227" s="3187" t="s">
        <v>3823</v>
      </c>
      <c r="C227" s="3187" t="s">
        <v>3835</v>
      </c>
      <c r="D227" s="3187">
        <v>87.34</v>
      </c>
      <c r="E227" s="3187">
        <v>35.979999999999997</v>
      </c>
      <c r="F227" s="3192" t="s">
        <v>4031</v>
      </c>
    </row>
    <row r="228" spans="1:6" ht="15" thickBot="1">
      <c r="A228" s="3186">
        <v>227</v>
      </c>
      <c r="B228" s="3187" t="s">
        <v>3823</v>
      </c>
      <c r="C228" s="3187" t="s">
        <v>3836</v>
      </c>
      <c r="D228" s="3187">
        <v>87.65</v>
      </c>
      <c r="E228" s="3187">
        <v>36.11</v>
      </c>
      <c r="F228" s="3192" t="s">
        <v>4031</v>
      </c>
    </row>
    <row r="229" spans="1:6" ht="15" thickBot="1">
      <c r="A229" s="3186">
        <v>228</v>
      </c>
      <c r="B229" s="3187" t="s">
        <v>3823</v>
      </c>
      <c r="C229" s="3187" t="s">
        <v>3837</v>
      </c>
      <c r="D229" s="3187">
        <v>87.34</v>
      </c>
      <c r="E229" s="3187">
        <v>35.979999999999997</v>
      </c>
      <c r="F229" s="3192" t="s">
        <v>4031</v>
      </c>
    </row>
    <row r="230" spans="1:6" ht="15" thickBot="1">
      <c r="A230" s="3186">
        <v>229</v>
      </c>
      <c r="B230" s="3187" t="s">
        <v>3823</v>
      </c>
      <c r="C230" s="3187" t="s">
        <v>3838</v>
      </c>
      <c r="D230" s="3187">
        <v>87.65</v>
      </c>
      <c r="E230" s="3187">
        <v>36.11</v>
      </c>
      <c r="F230" s="3192" t="s">
        <v>4031</v>
      </c>
    </row>
    <row r="231" spans="1:6" ht="15" thickBot="1">
      <c r="A231" s="3186">
        <v>230</v>
      </c>
      <c r="B231" s="3187" t="s">
        <v>3823</v>
      </c>
      <c r="C231" s="3187" t="s">
        <v>3839</v>
      </c>
      <c r="D231" s="3187">
        <v>87.34</v>
      </c>
      <c r="E231" s="3187">
        <v>35.979999999999997</v>
      </c>
      <c r="F231" s="3192" t="s">
        <v>4031</v>
      </c>
    </row>
    <row r="232" spans="1:6" ht="15" thickBot="1">
      <c r="A232" s="3186">
        <v>231</v>
      </c>
      <c r="B232" s="3187" t="s">
        <v>3823</v>
      </c>
      <c r="C232" s="3187" t="s">
        <v>3840</v>
      </c>
      <c r="D232" s="3187">
        <v>87.65</v>
      </c>
      <c r="E232" s="3187">
        <v>36.11</v>
      </c>
      <c r="F232" s="3192" t="s">
        <v>4031</v>
      </c>
    </row>
    <row r="233" spans="1:6" ht="15" thickBot="1">
      <c r="A233" s="3186">
        <v>232</v>
      </c>
      <c r="B233" s="3187" t="s">
        <v>3823</v>
      </c>
      <c r="C233" s="3187" t="s">
        <v>3841</v>
      </c>
      <c r="D233" s="3187">
        <v>87.34</v>
      </c>
      <c r="E233" s="3187">
        <v>35.979999999999997</v>
      </c>
      <c r="F233" s="3192" t="s">
        <v>4031</v>
      </c>
    </row>
    <row r="234" spans="1:6" ht="15" thickBot="1">
      <c r="A234" s="3186">
        <v>233</v>
      </c>
      <c r="B234" s="3187" t="s">
        <v>3823</v>
      </c>
      <c r="C234" s="3187" t="s">
        <v>3842</v>
      </c>
      <c r="D234" s="3187">
        <v>87.34</v>
      </c>
      <c r="E234" s="3187">
        <v>35.979999999999997</v>
      </c>
      <c r="F234" s="3192" t="s">
        <v>4031</v>
      </c>
    </row>
    <row r="235" spans="1:6" ht="15" thickBot="1">
      <c r="A235" s="3186">
        <v>234</v>
      </c>
      <c r="B235" s="3187" t="s">
        <v>3823</v>
      </c>
      <c r="C235" s="3187" t="s">
        <v>3843</v>
      </c>
      <c r="D235" s="3187">
        <v>87.34</v>
      </c>
      <c r="E235" s="3187">
        <v>35.979999999999997</v>
      </c>
      <c r="F235" s="3192" t="s">
        <v>4031</v>
      </c>
    </row>
    <row r="236" spans="1:6" ht="15" thickBot="1">
      <c r="A236" s="3186">
        <v>235</v>
      </c>
      <c r="B236" s="3187" t="s">
        <v>3823</v>
      </c>
      <c r="C236" s="3187" t="s">
        <v>3844</v>
      </c>
      <c r="D236" s="3187">
        <v>87.34</v>
      </c>
      <c r="E236" s="3187">
        <v>35.979999999999997</v>
      </c>
      <c r="F236" s="3192" t="s">
        <v>4031</v>
      </c>
    </row>
    <row r="237" spans="1:6" ht="15" thickBot="1">
      <c r="A237" s="3186">
        <v>236</v>
      </c>
      <c r="B237" s="3187" t="s">
        <v>3823</v>
      </c>
      <c r="C237" s="3187" t="s">
        <v>3845</v>
      </c>
      <c r="D237" s="3187">
        <v>87.34</v>
      </c>
      <c r="E237" s="3187">
        <v>35.979999999999997</v>
      </c>
      <c r="F237" s="3192" t="s">
        <v>4031</v>
      </c>
    </row>
    <row r="238" spans="1:6" ht="15" thickBot="1">
      <c r="A238" s="3186">
        <v>237</v>
      </c>
      <c r="B238" s="3187" t="s">
        <v>3823</v>
      </c>
      <c r="C238" s="3187" t="s">
        <v>3846</v>
      </c>
      <c r="D238" s="3187">
        <v>87.34</v>
      </c>
      <c r="E238" s="3187">
        <v>35.979999999999997</v>
      </c>
      <c r="F238" s="3192" t="s">
        <v>4031</v>
      </c>
    </row>
    <row r="239" spans="1:6" ht="15" thickBot="1">
      <c r="A239" s="3186">
        <v>238</v>
      </c>
      <c r="B239" s="3187" t="s">
        <v>3823</v>
      </c>
      <c r="C239" s="3187" t="s">
        <v>3847</v>
      </c>
      <c r="D239" s="3187">
        <v>87.34</v>
      </c>
      <c r="E239" s="3187">
        <v>35.979999999999997</v>
      </c>
      <c r="F239" s="3192" t="s">
        <v>4031</v>
      </c>
    </row>
    <row r="240" spans="1:6" ht="15" thickBot="1">
      <c r="A240" s="3186">
        <v>239</v>
      </c>
      <c r="B240" s="3187" t="s">
        <v>3823</v>
      </c>
      <c r="C240" s="3187" t="s">
        <v>3848</v>
      </c>
      <c r="D240" s="3187">
        <v>87.34</v>
      </c>
      <c r="E240" s="3187">
        <v>35.979999999999997</v>
      </c>
      <c r="F240" s="3192" t="s">
        <v>4031</v>
      </c>
    </row>
    <row r="241" spans="1:6" ht="15" thickBot="1">
      <c r="A241" s="3186">
        <v>240</v>
      </c>
      <c r="B241" s="3187" t="s">
        <v>3823</v>
      </c>
      <c r="C241" s="3187" t="s">
        <v>3849</v>
      </c>
      <c r="D241" s="3187">
        <v>87.34</v>
      </c>
      <c r="E241" s="3187">
        <v>35.979999999999997</v>
      </c>
      <c r="F241" s="3192" t="s">
        <v>4031</v>
      </c>
    </row>
    <row r="242" spans="1:6" ht="15" thickBot="1">
      <c r="A242" s="3186">
        <v>241</v>
      </c>
      <c r="B242" s="3187" t="s">
        <v>3823</v>
      </c>
      <c r="C242" s="3187" t="s">
        <v>3850</v>
      </c>
      <c r="D242" s="3187">
        <v>87.34</v>
      </c>
      <c r="E242" s="3187">
        <v>35.979999999999997</v>
      </c>
      <c r="F242" s="3192" t="s">
        <v>4031</v>
      </c>
    </row>
    <row r="243" spans="1:6" ht="15" thickBot="1">
      <c r="A243" s="3186">
        <v>242</v>
      </c>
      <c r="B243" s="3187" t="s">
        <v>3823</v>
      </c>
      <c r="C243" s="3187" t="s">
        <v>3851</v>
      </c>
      <c r="D243" s="3187">
        <v>87.34</v>
      </c>
      <c r="E243" s="3187">
        <v>35.979999999999997</v>
      </c>
      <c r="F243" s="3192" t="s">
        <v>4031</v>
      </c>
    </row>
    <row r="244" spans="1:6" ht="15" thickBot="1">
      <c r="A244" s="3186">
        <v>243</v>
      </c>
      <c r="B244" s="3187" t="s">
        <v>3823</v>
      </c>
      <c r="C244" s="3187" t="s">
        <v>3852</v>
      </c>
      <c r="D244" s="3187">
        <v>87.34</v>
      </c>
      <c r="E244" s="3187">
        <v>35.979999999999997</v>
      </c>
      <c r="F244" s="3192" t="s">
        <v>4031</v>
      </c>
    </row>
    <row r="245" spans="1:6" ht="15" thickBot="1">
      <c r="A245" s="3186">
        <v>244</v>
      </c>
      <c r="B245" s="3187" t="s">
        <v>3823</v>
      </c>
      <c r="C245" s="3187" t="s">
        <v>3853</v>
      </c>
      <c r="D245" s="3187">
        <v>87.34</v>
      </c>
      <c r="E245" s="3187">
        <v>35.979999999999997</v>
      </c>
      <c r="F245" s="3192" t="s">
        <v>4031</v>
      </c>
    </row>
    <row r="246" spans="1:6" ht="15" thickBot="1">
      <c r="A246" s="3186">
        <v>245</v>
      </c>
      <c r="B246" s="3187" t="s">
        <v>3823</v>
      </c>
      <c r="C246" s="3187" t="s">
        <v>3854</v>
      </c>
      <c r="D246" s="3187">
        <v>87.34</v>
      </c>
      <c r="E246" s="3187">
        <v>35.979999999999997</v>
      </c>
      <c r="F246" s="3192" t="s">
        <v>4031</v>
      </c>
    </row>
    <row r="247" spans="1:6" ht="15" thickBot="1">
      <c r="A247" s="3186">
        <v>246</v>
      </c>
      <c r="B247" s="3187" t="s">
        <v>3823</v>
      </c>
      <c r="C247" s="3187" t="s">
        <v>3855</v>
      </c>
      <c r="D247" s="3187">
        <v>87.34</v>
      </c>
      <c r="E247" s="3187">
        <v>35.979999999999997</v>
      </c>
      <c r="F247" s="3192" t="s">
        <v>4031</v>
      </c>
    </row>
    <row r="248" spans="1:6" ht="15" thickBot="1">
      <c r="A248" s="3186">
        <v>247</v>
      </c>
      <c r="B248" s="3187" t="s">
        <v>3823</v>
      </c>
      <c r="C248" s="3187" t="s">
        <v>3856</v>
      </c>
      <c r="D248" s="3187">
        <v>87.34</v>
      </c>
      <c r="E248" s="3187">
        <v>35.979999999999997</v>
      </c>
      <c r="F248" s="3192" t="s">
        <v>4031</v>
      </c>
    </row>
    <row r="249" spans="1:6" ht="15" thickBot="1">
      <c r="A249" s="3186">
        <v>248</v>
      </c>
      <c r="B249" s="3187" t="s">
        <v>3823</v>
      </c>
      <c r="C249" s="3187" t="s">
        <v>3857</v>
      </c>
      <c r="D249" s="3187">
        <v>87.34</v>
      </c>
      <c r="E249" s="3187">
        <v>35.979999999999997</v>
      </c>
      <c r="F249" s="3192" t="s">
        <v>4031</v>
      </c>
    </row>
    <row r="250" spans="1:6" ht="15" thickBot="1">
      <c r="A250" s="3186">
        <v>249</v>
      </c>
      <c r="B250" s="3187" t="s">
        <v>3823</v>
      </c>
      <c r="C250" s="3187" t="s">
        <v>3858</v>
      </c>
      <c r="D250" s="3187">
        <v>87.34</v>
      </c>
      <c r="E250" s="3187">
        <v>35.979999999999997</v>
      </c>
      <c r="F250" s="3192" t="s">
        <v>4031</v>
      </c>
    </row>
    <row r="251" spans="1:6" ht="15" thickBot="1">
      <c r="A251" s="3186">
        <v>250</v>
      </c>
      <c r="B251" s="3187" t="s">
        <v>3823</v>
      </c>
      <c r="C251" s="3187" t="s">
        <v>3859</v>
      </c>
      <c r="D251" s="3187">
        <v>87.34</v>
      </c>
      <c r="E251" s="3187">
        <v>35.979999999999997</v>
      </c>
      <c r="F251" s="3192" t="s">
        <v>4031</v>
      </c>
    </row>
    <row r="252" spans="1:6" ht="15" thickBot="1">
      <c r="A252" s="3186">
        <v>251</v>
      </c>
      <c r="B252" s="3187" t="s">
        <v>3823</v>
      </c>
      <c r="C252" s="3187" t="s">
        <v>3860</v>
      </c>
      <c r="D252" s="3187">
        <v>87.34</v>
      </c>
      <c r="E252" s="3187">
        <v>35.979999999999997</v>
      </c>
      <c r="F252" s="3192" t="s">
        <v>4031</v>
      </c>
    </row>
    <row r="253" spans="1:6" ht="15" thickBot="1">
      <c r="A253" s="3186">
        <v>252</v>
      </c>
      <c r="B253" s="3187" t="s">
        <v>3823</v>
      </c>
      <c r="C253" s="3187" t="s">
        <v>3861</v>
      </c>
      <c r="D253" s="3187">
        <v>87.65</v>
      </c>
      <c r="E253" s="3187">
        <v>36.11</v>
      </c>
      <c r="F253" s="3192" t="s">
        <v>4031</v>
      </c>
    </row>
    <row r="254" spans="1:6" ht="15" thickBot="1">
      <c r="A254" s="3186">
        <v>253</v>
      </c>
      <c r="B254" s="3187" t="s">
        <v>3823</v>
      </c>
      <c r="C254" s="3187" t="s">
        <v>3862</v>
      </c>
      <c r="D254" s="3187">
        <v>87.34</v>
      </c>
      <c r="E254" s="3187">
        <v>35.979999999999997</v>
      </c>
      <c r="F254" s="3192" t="s">
        <v>4031</v>
      </c>
    </row>
    <row r="255" spans="1:6" ht="15" thickBot="1">
      <c r="A255" s="3186">
        <v>254</v>
      </c>
      <c r="B255" s="3187" t="s">
        <v>3823</v>
      </c>
      <c r="C255" s="3187" t="s">
        <v>3863</v>
      </c>
      <c r="D255" s="3187">
        <v>87.65</v>
      </c>
      <c r="E255" s="3187">
        <v>36.11</v>
      </c>
      <c r="F255" s="3192" t="s">
        <v>4031</v>
      </c>
    </row>
    <row r="256" spans="1:6" ht="15" thickBot="1">
      <c r="A256" s="3186">
        <v>255</v>
      </c>
      <c r="B256" s="3187" t="s">
        <v>3823</v>
      </c>
      <c r="C256" s="3187" t="s">
        <v>3864</v>
      </c>
      <c r="D256" s="3187">
        <v>87.34</v>
      </c>
      <c r="E256" s="3187">
        <v>35.979999999999997</v>
      </c>
      <c r="F256" s="3192" t="s">
        <v>4031</v>
      </c>
    </row>
    <row r="257" spans="1:6" ht="15" thickBot="1">
      <c r="A257" s="3186">
        <v>256</v>
      </c>
      <c r="B257" s="3187" t="s">
        <v>3823</v>
      </c>
      <c r="C257" s="3187" t="s">
        <v>3865</v>
      </c>
      <c r="D257" s="3187">
        <v>87.65</v>
      </c>
      <c r="E257" s="3187">
        <v>36.11</v>
      </c>
      <c r="F257" s="3192" t="s">
        <v>4031</v>
      </c>
    </row>
    <row r="258" spans="1:6" ht="15" thickBot="1">
      <c r="A258" s="3186">
        <v>257</v>
      </c>
      <c r="B258" s="3187" t="s">
        <v>3823</v>
      </c>
      <c r="C258" s="3187" t="s">
        <v>3866</v>
      </c>
      <c r="D258" s="3187">
        <v>87.34</v>
      </c>
      <c r="E258" s="3187">
        <v>35.979999999999997</v>
      </c>
      <c r="F258" s="3192" t="s">
        <v>4031</v>
      </c>
    </row>
    <row r="259" spans="1:6" ht="15" thickBot="1">
      <c r="A259" s="3186">
        <v>258</v>
      </c>
      <c r="B259" s="3187" t="s">
        <v>3823</v>
      </c>
      <c r="C259" s="3187" t="s">
        <v>3867</v>
      </c>
      <c r="D259" s="3187">
        <v>87.65</v>
      </c>
      <c r="E259" s="3187">
        <v>36.11</v>
      </c>
      <c r="F259" s="3192" t="s">
        <v>4031</v>
      </c>
    </row>
    <row r="260" spans="1:6" ht="15" thickBot="1">
      <c r="A260" s="3186">
        <v>259</v>
      </c>
      <c r="B260" s="3187" t="s">
        <v>3823</v>
      </c>
      <c r="C260" s="3187" t="s">
        <v>3868</v>
      </c>
      <c r="D260" s="3187">
        <v>87.34</v>
      </c>
      <c r="E260" s="3187">
        <v>35.979999999999997</v>
      </c>
      <c r="F260" s="3192" t="s">
        <v>4031</v>
      </c>
    </row>
    <row r="261" spans="1:6" ht="15" thickBot="1">
      <c r="A261" s="3186">
        <v>260</v>
      </c>
      <c r="B261" s="3187" t="s">
        <v>3823</v>
      </c>
      <c r="C261" s="3187" t="s">
        <v>3869</v>
      </c>
      <c r="D261" s="3187">
        <v>87.65</v>
      </c>
      <c r="E261" s="3187">
        <v>36.11</v>
      </c>
      <c r="F261" s="3192" t="s">
        <v>4031</v>
      </c>
    </row>
    <row r="262" spans="1:6" ht="15" thickBot="1">
      <c r="A262" s="3186">
        <v>261</v>
      </c>
      <c r="B262" s="3187" t="s">
        <v>3823</v>
      </c>
      <c r="C262" s="3187" t="s">
        <v>3870</v>
      </c>
      <c r="D262" s="3187">
        <v>87.34</v>
      </c>
      <c r="E262" s="3187">
        <v>35.979999999999997</v>
      </c>
      <c r="F262" s="3192" t="s">
        <v>4031</v>
      </c>
    </row>
    <row r="263" spans="1:6" ht="15" thickBot="1">
      <c r="A263" s="3186">
        <v>262</v>
      </c>
      <c r="B263" s="3187" t="s">
        <v>3823</v>
      </c>
      <c r="C263" s="3187" t="s">
        <v>3871</v>
      </c>
      <c r="D263" s="3187">
        <v>87.65</v>
      </c>
      <c r="E263" s="3187">
        <v>36.11</v>
      </c>
      <c r="F263" s="3192" t="s">
        <v>4031</v>
      </c>
    </row>
    <row r="264" spans="1:6" ht="15" thickBot="1">
      <c r="A264" s="3186">
        <v>263</v>
      </c>
      <c r="B264" s="3187" t="s">
        <v>3823</v>
      </c>
      <c r="C264" s="3187" t="s">
        <v>3872</v>
      </c>
      <c r="D264" s="3187">
        <v>87.34</v>
      </c>
      <c r="E264" s="3187">
        <v>35.979999999999997</v>
      </c>
      <c r="F264" s="3192" t="s">
        <v>4031</v>
      </c>
    </row>
    <row r="265" spans="1:6" ht="15" thickBot="1">
      <c r="A265" s="3186">
        <v>264</v>
      </c>
      <c r="B265" s="3187" t="s">
        <v>3823</v>
      </c>
      <c r="C265" s="3187" t="s">
        <v>3873</v>
      </c>
      <c r="D265" s="3187">
        <v>87.65</v>
      </c>
      <c r="E265" s="3187">
        <v>36.11</v>
      </c>
      <c r="F265" s="3192" t="s">
        <v>4031</v>
      </c>
    </row>
    <row r="266" spans="1:6" ht="15" thickBot="1">
      <c r="A266" s="3186">
        <v>265</v>
      </c>
      <c r="B266" s="3187" t="s">
        <v>3823</v>
      </c>
      <c r="C266" s="3187" t="s">
        <v>3874</v>
      </c>
      <c r="D266" s="3187">
        <v>87.34</v>
      </c>
      <c r="E266" s="3187">
        <v>35.979999999999997</v>
      </c>
      <c r="F266" s="3192" t="s">
        <v>4031</v>
      </c>
    </row>
    <row r="267" spans="1:6" ht="15" thickBot="1">
      <c r="A267" s="3186">
        <v>266</v>
      </c>
      <c r="B267" s="3187" t="s">
        <v>3823</v>
      </c>
      <c r="C267" s="3187" t="s">
        <v>3875</v>
      </c>
      <c r="D267" s="3187">
        <v>87.65</v>
      </c>
      <c r="E267" s="3187">
        <v>36.11</v>
      </c>
      <c r="F267" s="3192" t="s">
        <v>4031</v>
      </c>
    </row>
    <row r="268" spans="1:6" ht="15" thickBot="1">
      <c r="A268" s="3186">
        <v>267</v>
      </c>
      <c r="B268" s="3187" t="s">
        <v>3823</v>
      </c>
      <c r="C268" s="3187" t="s">
        <v>3876</v>
      </c>
      <c r="D268" s="3187">
        <v>87.34</v>
      </c>
      <c r="E268" s="3187">
        <v>35.979999999999997</v>
      </c>
      <c r="F268" s="3192" t="s">
        <v>4031</v>
      </c>
    </row>
    <row r="269" spans="1:6" ht="15" thickBot="1">
      <c r="A269" s="3186">
        <v>268</v>
      </c>
      <c r="B269" s="3187" t="s">
        <v>3823</v>
      </c>
      <c r="C269" s="3187" t="s">
        <v>3877</v>
      </c>
      <c r="D269" s="3187">
        <v>87.65</v>
      </c>
      <c r="E269" s="3187">
        <v>36.11</v>
      </c>
      <c r="F269" s="3192" t="s">
        <v>4031</v>
      </c>
    </row>
    <row r="270" spans="1:6" ht="15" thickBot="1">
      <c r="A270" s="3186">
        <v>269</v>
      </c>
      <c r="B270" s="3187" t="s">
        <v>3878</v>
      </c>
      <c r="C270" s="3187" t="s">
        <v>3879</v>
      </c>
      <c r="D270" s="3187">
        <v>76.56</v>
      </c>
      <c r="E270" s="3187">
        <v>31.54</v>
      </c>
      <c r="F270" s="3192" t="s">
        <v>4031</v>
      </c>
    </row>
    <row r="271" spans="1:6" ht="15" thickBot="1">
      <c r="A271" s="3186">
        <v>270</v>
      </c>
      <c r="B271" s="3187" t="s">
        <v>3878</v>
      </c>
      <c r="C271" s="3187" t="s">
        <v>3880</v>
      </c>
      <c r="D271" s="3187">
        <v>71.64</v>
      </c>
      <c r="E271" s="3187">
        <v>29.5</v>
      </c>
      <c r="F271" s="3192" t="s">
        <v>4031</v>
      </c>
    </row>
    <row r="272" spans="1:6" ht="15" thickBot="1">
      <c r="A272" s="3186">
        <v>271</v>
      </c>
      <c r="B272" s="3187" t="s">
        <v>3878</v>
      </c>
      <c r="C272" s="3187" t="s">
        <v>3881</v>
      </c>
      <c r="D272" s="3187">
        <v>87.87</v>
      </c>
      <c r="E272" s="3187">
        <v>36.200000000000003</v>
      </c>
      <c r="F272" s="3192" t="s">
        <v>4031</v>
      </c>
    </row>
    <row r="273" spans="1:6" ht="15" thickBot="1">
      <c r="A273" s="3186">
        <v>272</v>
      </c>
      <c r="B273" s="3187" t="s">
        <v>3878</v>
      </c>
      <c r="C273" s="3187" t="s">
        <v>3882</v>
      </c>
      <c r="D273" s="3187">
        <v>76.84</v>
      </c>
      <c r="E273" s="3187">
        <v>31.65</v>
      </c>
      <c r="F273" s="3192" t="s">
        <v>4031</v>
      </c>
    </row>
    <row r="274" spans="1:6" ht="15" thickBot="1">
      <c r="A274" s="3186">
        <v>273</v>
      </c>
      <c r="B274" s="3187" t="s">
        <v>3878</v>
      </c>
      <c r="C274" s="3187" t="s">
        <v>3883</v>
      </c>
      <c r="D274" s="3187">
        <v>87.87</v>
      </c>
      <c r="E274" s="3187">
        <v>36.200000000000003</v>
      </c>
      <c r="F274" s="3192" t="s">
        <v>4031</v>
      </c>
    </row>
    <row r="275" spans="1:6" ht="15" thickBot="1">
      <c r="A275" s="3186">
        <v>274</v>
      </c>
      <c r="B275" s="3187" t="s">
        <v>3878</v>
      </c>
      <c r="C275" s="3187" t="s">
        <v>3884</v>
      </c>
      <c r="D275" s="3187">
        <v>87.87</v>
      </c>
      <c r="E275" s="3187">
        <v>36.200000000000003</v>
      </c>
      <c r="F275" s="3192" t="s">
        <v>4031</v>
      </c>
    </row>
    <row r="276" spans="1:6" ht="15" thickBot="1">
      <c r="A276" s="3186">
        <v>275</v>
      </c>
      <c r="B276" s="3187" t="s">
        <v>3878</v>
      </c>
      <c r="C276" s="3187" t="s">
        <v>3885</v>
      </c>
      <c r="D276" s="3187">
        <v>76.84</v>
      </c>
      <c r="E276" s="3187">
        <v>31.65</v>
      </c>
      <c r="F276" s="3192" t="s">
        <v>4031</v>
      </c>
    </row>
    <row r="277" spans="1:6" ht="15" thickBot="1">
      <c r="A277" s="3186">
        <v>276</v>
      </c>
      <c r="B277" s="3187" t="s">
        <v>3878</v>
      </c>
      <c r="C277" s="3187" t="s">
        <v>3886</v>
      </c>
      <c r="D277" s="3187">
        <v>87.87</v>
      </c>
      <c r="E277" s="3187">
        <v>36.200000000000003</v>
      </c>
      <c r="F277" s="3192" t="s">
        <v>4031</v>
      </c>
    </row>
    <row r="278" spans="1:6" ht="15" thickBot="1">
      <c r="A278" s="3186">
        <v>277</v>
      </c>
      <c r="B278" s="3187" t="s">
        <v>3878</v>
      </c>
      <c r="C278" s="3187" t="s">
        <v>3887</v>
      </c>
      <c r="D278" s="3187">
        <v>87.87</v>
      </c>
      <c r="E278" s="3187">
        <v>36.200000000000003</v>
      </c>
      <c r="F278" s="3192" t="s">
        <v>4031</v>
      </c>
    </row>
    <row r="279" spans="1:6" ht="15" thickBot="1">
      <c r="A279" s="3186">
        <v>278</v>
      </c>
      <c r="B279" s="3187" t="s">
        <v>3878</v>
      </c>
      <c r="C279" s="3187" t="s">
        <v>3888</v>
      </c>
      <c r="D279" s="3187">
        <v>87.87</v>
      </c>
      <c r="E279" s="3187">
        <v>36.200000000000003</v>
      </c>
      <c r="F279" s="3192" t="s">
        <v>4031</v>
      </c>
    </row>
    <row r="280" spans="1:6" ht="15" thickBot="1">
      <c r="A280" s="3186">
        <v>279</v>
      </c>
      <c r="B280" s="3187" t="s">
        <v>3878</v>
      </c>
      <c r="C280" s="3187" t="s">
        <v>3889</v>
      </c>
      <c r="D280" s="3187">
        <v>76.84</v>
      </c>
      <c r="E280" s="3187">
        <v>31.65</v>
      </c>
      <c r="F280" s="3192" t="s">
        <v>4031</v>
      </c>
    </row>
    <row r="281" spans="1:6" ht="15" thickBot="1">
      <c r="A281" s="3186">
        <v>280</v>
      </c>
      <c r="B281" s="3187" t="s">
        <v>3878</v>
      </c>
      <c r="C281" s="3187" t="s">
        <v>3890</v>
      </c>
      <c r="D281" s="3187">
        <v>87.87</v>
      </c>
      <c r="E281" s="3187">
        <v>36.200000000000003</v>
      </c>
      <c r="F281" s="3192" t="s">
        <v>4031</v>
      </c>
    </row>
    <row r="282" spans="1:6" ht="15" thickBot="1">
      <c r="A282" s="3186">
        <v>281</v>
      </c>
      <c r="B282" s="3187" t="s">
        <v>3878</v>
      </c>
      <c r="C282" s="3187" t="s">
        <v>3891</v>
      </c>
      <c r="D282" s="3187">
        <v>87.87</v>
      </c>
      <c r="E282" s="3187">
        <v>36.200000000000003</v>
      </c>
      <c r="F282" s="3192" t="s">
        <v>4031</v>
      </c>
    </row>
    <row r="283" spans="1:6" ht="15" thickBot="1">
      <c r="A283" s="3186">
        <v>282</v>
      </c>
      <c r="B283" s="3187" t="s">
        <v>3878</v>
      </c>
      <c r="C283" s="3187" t="s">
        <v>3892</v>
      </c>
      <c r="D283" s="3187">
        <v>87.87</v>
      </c>
      <c r="E283" s="3187">
        <v>36.200000000000003</v>
      </c>
      <c r="F283" s="3192" t="s">
        <v>4031</v>
      </c>
    </row>
    <row r="284" spans="1:6" ht="15" thickBot="1">
      <c r="A284" s="3186">
        <v>283</v>
      </c>
      <c r="B284" s="3187" t="s">
        <v>3878</v>
      </c>
      <c r="C284" s="3187" t="s">
        <v>3893</v>
      </c>
      <c r="D284" s="3187">
        <v>76.56</v>
      </c>
      <c r="E284" s="3187">
        <v>31.54</v>
      </c>
      <c r="F284" s="3192" t="s">
        <v>4031</v>
      </c>
    </row>
    <row r="285" spans="1:6" ht="15" thickBot="1">
      <c r="A285" s="3186">
        <v>284</v>
      </c>
      <c r="B285" s="3187" t="s">
        <v>3878</v>
      </c>
      <c r="C285" s="3187" t="s">
        <v>3894</v>
      </c>
      <c r="D285" s="3187">
        <v>87.87</v>
      </c>
      <c r="E285" s="3187">
        <v>36.200000000000003</v>
      </c>
      <c r="F285" s="3192" t="s">
        <v>4031</v>
      </c>
    </row>
    <row r="286" spans="1:6" ht="15" thickBot="1">
      <c r="A286" s="3186">
        <v>285</v>
      </c>
      <c r="B286" s="3187" t="s">
        <v>3878</v>
      </c>
      <c r="C286" s="3187" t="s">
        <v>3895</v>
      </c>
      <c r="D286" s="3187">
        <v>76.84</v>
      </c>
      <c r="E286" s="3187">
        <v>31.65</v>
      </c>
      <c r="F286" s="3192" t="s">
        <v>4031</v>
      </c>
    </row>
    <row r="287" spans="1:6" ht="15" thickBot="1">
      <c r="A287" s="3186">
        <v>286</v>
      </c>
      <c r="B287" s="3187" t="s">
        <v>3878</v>
      </c>
      <c r="C287" s="3187" t="s">
        <v>3896</v>
      </c>
      <c r="D287" s="3187">
        <v>87.87</v>
      </c>
      <c r="E287" s="3187">
        <v>36.200000000000003</v>
      </c>
      <c r="F287" s="3192" t="s">
        <v>4031</v>
      </c>
    </row>
    <row r="288" spans="1:6" ht="15" thickBot="1">
      <c r="A288" s="3186">
        <v>287</v>
      </c>
      <c r="B288" s="3187" t="s">
        <v>3878</v>
      </c>
      <c r="C288" s="3187" t="s">
        <v>3897</v>
      </c>
      <c r="D288" s="3187">
        <v>76.84</v>
      </c>
      <c r="E288" s="3187">
        <v>31.65</v>
      </c>
      <c r="F288" s="3192" t="s">
        <v>4031</v>
      </c>
    </row>
    <row r="289" spans="1:6" ht="15" thickBot="1">
      <c r="A289" s="3186">
        <v>288</v>
      </c>
      <c r="B289" s="3187" t="s">
        <v>3878</v>
      </c>
      <c r="C289" s="3187" t="s">
        <v>3898</v>
      </c>
      <c r="D289" s="3187">
        <v>87.87</v>
      </c>
      <c r="E289" s="3187">
        <v>36.200000000000003</v>
      </c>
      <c r="F289" s="3192" t="s">
        <v>4031</v>
      </c>
    </row>
    <row r="290" spans="1:6" ht="15" thickBot="1">
      <c r="A290" s="3186">
        <v>289</v>
      </c>
      <c r="B290" s="3187" t="s">
        <v>3878</v>
      </c>
      <c r="C290" s="3187" t="s">
        <v>3899</v>
      </c>
      <c r="D290" s="3187">
        <v>87.87</v>
      </c>
      <c r="E290" s="3187">
        <v>36.200000000000003</v>
      </c>
      <c r="F290" s="3192" t="s">
        <v>4031</v>
      </c>
    </row>
    <row r="291" spans="1:6" ht="15" thickBot="1">
      <c r="A291" s="3186">
        <v>290</v>
      </c>
      <c r="B291" s="3187" t="s">
        <v>3878</v>
      </c>
      <c r="C291" s="3187" t="s">
        <v>3900</v>
      </c>
      <c r="D291" s="3187">
        <v>87.87</v>
      </c>
      <c r="E291" s="3187">
        <v>36.200000000000003</v>
      </c>
      <c r="F291" s="3192" t="s">
        <v>4031</v>
      </c>
    </row>
    <row r="292" spans="1:6" ht="15" thickBot="1">
      <c r="A292" s="3186">
        <v>291</v>
      </c>
      <c r="B292" s="3187" t="s">
        <v>3878</v>
      </c>
      <c r="C292" s="3187" t="s">
        <v>3901</v>
      </c>
      <c r="D292" s="3187">
        <v>76.84</v>
      </c>
      <c r="E292" s="3187">
        <v>31.65</v>
      </c>
      <c r="F292" s="3192" t="s">
        <v>4031</v>
      </c>
    </row>
    <row r="293" spans="1:6" ht="15" thickBot="1">
      <c r="A293" s="3186">
        <v>292</v>
      </c>
      <c r="B293" s="3187" t="s">
        <v>3878</v>
      </c>
      <c r="C293" s="3187" t="s">
        <v>3902</v>
      </c>
      <c r="D293" s="3187">
        <v>87.87</v>
      </c>
      <c r="E293" s="3187">
        <v>36.200000000000003</v>
      </c>
      <c r="F293" s="3192" t="s">
        <v>4031</v>
      </c>
    </row>
    <row r="294" spans="1:6" ht="15" thickBot="1">
      <c r="A294" s="3186">
        <v>293</v>
      </c>
      <c r="B294" s="3187" t="s">
        <v>3878</v>
      </c>
      <c r="C294" s="3187" t="s">
        <v>3903</v>
      </c>
      <c r="D294" s="3187">
        <v>76.84</v>
      </c>
      <c r="E294" s="3187">
        <v>31.65</v>
      </c>
      <c r="F294" s="3192" t="s">
        <v>4031</v>
      </c>
    </row>
    <row r="295" spans="1:6" ht="15" thickBot="1">
      <c r="A295" s="3186">
        <v>294</v>
      </c>
      <c r="B295" s="3187" t="s">
        <v>3878</v>
      </c>
      <c r="C295" s="3187" t="s">
        <v>3904</v>
      </c>
      <c r="D295" s="3187">
        <v>87.87</v>
      </c>
      <c r="E295" s="3187">
        <v>36.200000000000003</v>
      </c>
      <c r="F295" s="3192" t="s">
        <v>4031</v>
      </c>
    </row>
    <row r="296" spans="1:6" ht="15" thickBot="1">
      <c r="A296" s="3186">
        <v>295</v>
      </c>
      <c r="B296" s="3187" t="s">
        <v>3878</v>
      </c>
      <c r="C296" s="3187" t="s">
        <v>3905</v>
      </c>
      <c r="D296" s="3187">
        <v>87.87</v>
      </c>
      <c r="E296" s="3187">
        <v>36.200000000000003</v>
      </c>
      <c r="F296" s="3192" t="s">
        <v>4031</v>
      </c>
    </row>
    <row r="297" spans="1:6" ht="15" thickBot="1">
      <c r="A297" s="3186">
        <v>296</v>
      </c>
      <c r="B297" s="3187" t="s">
        <v>3878</v>
      </c>
      <c r="C297" s="3187" t="s">
        <v>3906</v>
      </c>
      <c r="D297" s="3187">
        <v>76.84</v>
      </c>
      <c r="E297" s="3187">
        <v>31.65</v>
      </c>
      <c r="F297" s="3192" t="s">
        <v>4031</v>
      </c>
    </row>
    <row r="298" spans="1:6" ht="15" thickBot="1">
      <c r="A298" s="3186">
        <v>297</v>
      </c>
      <c r="B298" s="3187" t="s">
        <v>3878</v>
      </c>
      <c r="C298" s="3187" t="s">
        <v>3907</v>
      </c>
      <c r="D298" s="3187">
        <v>87.87</v>
      </c>
      <c r="E298" s="3187">
        <v>36.200000000000003</v>
      </c>
      <c r="F298" s="3192" t="s">
        <v>4031</v>
      </c>
    </row>
    <row r="299" spans="1:6" ht="15" thickBot="1">
      <c r="A299" s="3186">
        <v>298</v>
      </c>
      <c r="B299" s="3187" t="s">
        <v>3908</v>
      </c>
      <c r="C299" s="3187" t="s">
        <v>3582</v>
      </c>
      <c r="D299" s="3187">
        <v>76.790000000000006</v>
      </c>
      <c r="E299" s="3187">
        <v>31.63</v>
      </c>
      <c r="F299" s="3192" t="s">
        <v>4031</v>
      </c>
    </row>
    <row r="300" spans="1:6" ht="15" thickBot="1">
      <c r="A300" s="3186">
        <v>299</v>
      </c>
      <c r="B300" s="3187" t="s">
        <v>3908</v>
      </c>
      <c r="C300" s="3187" t="s">
        <v>3583</v>
      </c>
      <c r="D300" s="3187">
        <v>87.81</v>
      </c>
      <c r="E300" s="3187">
        <v>36.17</v>
      </c>
      <c r="F300" s="3192" t="s">
        <v>4031</v>
      </c>
    </row>
    <row r="301" spans="1:6" ht="15" thickBot="1">
      <c r="A301" s="3186">
        <v>300</v>
      </c>
      <c r="B301" s="3187" t="s">
        <v>3908</v>
      </c>
      <c r="C301" s="3187" t="s">
        <v>3909</v>
      </c>
      <c r="D301" s="3187">
        <v>76.790000000000006</v>
      </c>
      <c r="E301" s="3187">
        <v>31.63</v>
      </c>
      <c r="F301" s="3192" t="s">
        <v>4031</v>
      </c>
    </row>
    <row r="302" spans="1:6" ht="15" thickBot="1">
      <c r="A302" s="3186">
        <v>301</v>
      </c>
      <c r="B302" s="3187" t="s">
        <v>3908</v>
      </c>
      <c r="C302" s="3187" t="s">
        <v>3910</v>
      </c>
      <c r="D302" s="3187">
        <v>87.81</v>
      </c>
      <c r="E302" s="3187">
        <v>36.17</v>
      </c>
      <c r="F302" s="3192" t="s">
        <v>4031</v>
      </c>
    </row>
    <row r="303" spans="1:6" ht="15" thickBot="1">
      <c r="A303" s="3186">
        <v>302</v>
      </c>
      <c r="B303" s="3187" t="s">
        <v>3908</v>
      </c>
      <c r="C303" s="3187" t="s">
        <v>3911</v>
      </c>
      <c r="D303" s="3187">
        <v>76.790000000000006</v>
      </c>
      <c r="E303" s="3187">
        <v>31.63</v>
      </c>
      <c r="F303" s="3192" t="s">
        <v>4031</v>
      </c>
    </row>
    <row r="304" spans="1:6" ht="15" thickBot="1">
      <c r="A304" s="3186">
        <v>303</v>
      </c>
      <c r="B304" s="3187" t="s">
        <v>3908</v>
      </c>
      <c r="C304" s="3187" t="s">
        <v>3912</v>
      </c>
      <c r="D304" s="3187">
        <v>87.81</v>
      </c>
      <c r="E304" s="3187">
        <v>36.17</v>
      </c>
      <c r="F304" s="3192" t="s">
        <v>4031</v>
      </c>
    </row>
    <row r="305" spans="1:6" ht="15" thickBot="1">
      <c r="A305" s="3186">
        <v>304</v>
      </c>
      <c r="B305" s="3187" t="s">
        <v>3908</v>
      </c>
      <c r="C305" s="3187" t="s">
        <v>3913</v>
      </c>
      <c r="D305" s="3187">
        <v>76.790000000000006</v>
      </c>
      <c r="E305" s="3187">
        <v>31.63</v>
      </c>
      <c r="F305" s="3192" t="s">
        <v>4031</v>
      </c>
    </row>
    <row r="306" spans="1:6" ht="15" thickBot="1">
      <c r="A306" s="3186">
        <v>305</v>
      </c>
      <c r="B306" s="3187" t="s">
        <v>3908</v>
      </c>
      <c r="C306" s="3187" t="s">
        <v>3584</v>
      </c>
      <c r="D306" s="3187">
        <v>87.81</v>
      </c>
      <c r="E306" s="3187">
        <v>36.17</v>
      </c>
      <c r="F306" s="3192" t="s">
        <v>4031</v>
      </c>
    </row>
    <row r="307" spans="1:6" ht="15" thickBot="1">
      <c r="A307" s="3186">
        <v>306</v>
      </c>
      <c r="B307" s="3187" t="s">
        <v>3908</v>
      </c>
      <c r="C307" s="3187" t="s">
        <v>3914</v>
      </c>
      <c r="D307" s="3187">
        <v>76.790000000000006</v>
      </c>
      <c r="E307" s="3187">
        <v>31.63</v>
      </c>
      <c r="F307" s="3192" t="s">
        <v>4031</v>
      </c>
    </row>
    <row r="308" spans="1:6" ht="15" thickBot="1">
      <c r="A308" s="3186">
        <v>307</v>
      </c>
      <c r="B308" s="3187" t="s">
        <v>3908</v>
      </c>
      <c r="C308" s="3187" t="s">
        <v>3915</v>
      </c>
      <c r="D308" s="3187">
        <v>87.81</v>
      </c>
      <c r="E308" s="3187">
        <v>36.17</v>
      </c>
      <c r="F308" s="3192" t="s">
        <v>4031</v>
      </c>
    </row>
    <row r="309" spans="1:6" ht="15" thickBot="1">
      <c r="A309" s="3186">
        <v>308</v>
      </c>
      <c r="B309" s="3187" t="s">
        <v>3908</v>
      </c>
      <c r="C309" s="3187" t="s">
        <v>3916</v>
      </c>
      <c r="D309" s="3187">
        <v>76.790000000000006</v>
      </c>
      <c r="E309" s="3187">
        <v>31.63</v>
      </c>
      <c r="F309" s="3192" t="s">
        <v>4031</v>
      </c>
    </row>
    <row r="310" spans="1:6" ht="15" thickBot="1">
      <c r="A310" s="3186">
        <v>309</v>
      </c>
      <c r="B310" s="3187" t="s">
        <v>3908</v>
      </c>
      <c r="C310" s="3187" t="s">
        <v>3917</v>
      </c>
      <c r="D310" s="3187">
        <v>87.81</v>
      </c>
      <c r="E310" s="3187">
        <v>36.17</v>
      </c>
      <c r="F310" s="3192" t="s">
        <v>4031</v>
      </c>
    </row>
    <row r="311" spans="1:6" ht="15" thickBot="1">
      <c r="A311" s="3186">
        <v>310</v>
      </c>
      <c r="B311" s="3187" t="s">
        <v>3908</v>
      </c>
      <c r="C311" s="3187" t="s">
        <v>3918</v>
      </c>
      <c r="D311" s="3187">
        <v>76.790000000000006</v>
      </c>
      <c r="E311" s="3187">
        <v>31.63</v>
      </c>
      <c r="F311" s="3192" t="s">
        <v>4031</v>
      </c>
    </row>
    <row r="312" spans="1:6" ht="15" thickBot="1">
      <c r="A312" s="3186">
        <v>311</v>
      </c>
      <c r="B312" s="3187" t="s">
        <v>3908</v>
      </c>
      <c r="C312" s="3187" t="s">
        <v>3919</v>
      </c>
      <c r="D312" s="3187">
        <v>87.81</v>
      </c>
      <c r="E312" s="3187">
        <v>36.17</v>
      </c>
      <c r="F312" s="3192" t="s">
        <v>4031</v>
      </c>
    </row>
    <row r="313" spans="1:6" ht="15" thickBot="1">
      <c r="A313" s="3186">
        <v>312</v>
      </c>
      <c r="B313" s="3187" t="s">
        <v>3908</v>
      </c>
      <c r="C313" s="3187" t="s">
        <v>3920</v>
      </c>
      <c r="D313" s="3187">
        <v>76.790000000000006</v>
      </c>
      <c r="E313" s="3187">
        <v>31.63</v>
      </c>
      <c r="F313" s="3192" t="s">
        <v>4031</v>
      </c>
    </row>
    <row r="314" spans="1:6" ht="15" thickBot="1">
      <c r="A314" s="3186">
        <v>313</v>
      </c>
      <c r="B314" s="3187" t="s">
        <v>3908</v>
      </c>
      <c r="C314" s="3187" t="s">
        <v>3921</v>
      </c>
      <c r="D314" s="3187">
        <v>87.81</v>
      </c>
      <c r="E314" s="3187">
        <v>36.17</v>
      </c>
      <c r="F314" s="3192" t="s">
        <v>4031</v>
      </c>
    </row>
    <row r="315" spans="1:6" ht="15" thickBot="1">
      <c r="A315" s="3186">
        <v>314</v>
      </c>
      <c r="B315" s="3187" t="s">
        <v>3908</v>
      </c>
      <c r="C315" s="3187" t="s">
        <v>3922</v>
      </c>
      <c r="D315" s="3187">
        <v>76.790000000000006</v>
      </c>
      <c r="E315" s="3187">
        <v>31.63</v>
      </c>
      <c r="F315" s="3192" t="s">
        <v>4031</v>
      </c>
    </row>
    <row r="316" spans="1:6" ht="15" thickBot="1">
      <c r="A316" s="3186">
        <v>315</v>
      </c>
      <c r="B316" s="3187" t="s">
        <v>3908</v>
      </c>
      <c r="C316" s="3187" t="s">
        <v>3923</v>
      </c>
      <c r="D316" s="3187">
        <v>87.81</v>
      </c>
      <c r="E316" s="3187">
        <v>36.17</v>
      </c>
      <c r="F316" s="3192" t="s">
        <v>4031</v>
      </c>
    </row>
    <row r="317" spans="1:6" ht="15" thickBot="1">
      <c r="A317" s="3186">
        <v>316</v>
      </c>
      <c r="B317" s="3187" t="s">
        <v>3908</v>
      </c>
      <c r="C317" s="3187" t="s">
        <v>3924</v>
      </c>
      <c r="D317" s="3187">
        <v>76.790000000000006</v>
      </c>
      <c r="E317" s="3187">
        <v>31.63</v>
      </c>
      <c r="F317" s="3192" t="s">
        <v>4031</v>
      </c>
    </row>
    <row r="318" spans="1:6" ht="15" thickBot="1">
      <c r="A318" s="3186">
        <v>317</v>
      </c>
      <c r="B318" s="3187" t="s">
        <v>3908</v>
      </c>
      <c r="C318" s="3187" t="s">
        <v>3925</v>
      </c>
      <c r="D318" s="3187">
        <v>87.81</v>
      </c>
      <c r="E318" s="3187">
        <v>36.17</v>
      </c>
      <c r="F318" s="3192" t="s">
        <v>4031</v>
      </c>
    </row>
    <row r="319" spans="1:6" ht="15" thickBot="1">
      <c r="A319" s="3186">
        <v>318</v>
      </c>
      <c r="B319" s="3187" t="s">
        <v>3908</v>
      </c>
      <c r="C319" s="3187" t="s">
        <v>3926</v>
      </c>
      <c r="D319" s="3187">
        <v>76.790000000000006</v>
      </c>
      <c r="E319" s="3187">
        <v>31.63</v>
      </c>
      <c r="F319" s="3192" t="s">
        <v>4031</v>
      </c>
    </row>
    <row r="320" spans="1:6" ht="15" thickBot="1">
      <c r="A320" s="3186">
        <v>319</v>
      </c>
      <c r="B320" s="3187" t="s">
        <v>3908</v>
      </c>
      <c r="C320" s="3187" t="s">
        <v>3927</v>
      </c>
      <c r="D320" s="3187">
        <v>87.81</v>
      </c>
      <c r="E320" s="3187">
        <v>36.17</v>
      </c>
      <c r="F320" s="3192" t="s">
        <v>4031</v>
      </c>
    </row>
    <row r="321" spans="1:6" ht="15" thickBot="1">
      <c r="A321" s="3186">
        <v>320</v>
      </c>
      <c r="B321" s="3187" t="s">
        <v>3908</v>
      </c>
      <c r="C321" s="3187" t="s">
        <v>3585</v>
      </c>
      <c r="D321" s="3187">
        <v>87.81</v>
      </c>
      <c r="E321" s="3187">
        <v>36.17</v>
      </c>
      <c r="F321" s="3192" t="s">
        <v>4031</v>
      </c>
    </row>
    <row r="322" spans="1:6" ht="15" thickBot="1">
      <c r="A322" s="3186">
        <v>321</v>
      </c>
      <c r="B322" s="3187" t="s">
        <v>3908</v>
      </c>
      <c r="C322" s="3187" t="s">
        <v>3928</v>
      </c>
      <c r="D322" s="3187">
        <v>76.790000000000006</v>
      </c>
      <c r="E322" s="3187">
        <v>31.63</v>
      </c>
      <c r="F322" s="3192" t="s">
        <v>4031</v>
      </c>
    </row>
    <row r="323" spans="1:6" ht="15" thickBot="1">
      <c r="A323" s="3186">
        <v>322</v>
      </c>
      <c r="B323" s="3187" t="s">
        <v>3908</v>
      </c>
      <c r="C323" s="3187" t="s">
        <v>3586</v>
      </c>
      <c r="D323" s="3187">
        <v>87.81</v>
      </c>
      <c r="E323" s="3187">
        <v>36.17</v>
      </c>
      <c r="F323" s="3192" t="s">
        <v>4031</v>
      </c>
    </row>
    <row r="324" spans="1:6" ht="15" thickBot="1">
      <c r="A324" s="3186">
        <v>323</v>
      </c>
      <c r="B324" s="3187" t="s">
        <v>3908</v>
      </c>
      <c r="C324" s="3187" t="s">
        <v>3929</v>
      </c>
      <c r="D324" s="3187">
        <v>76.790000000000006</v>
      </c>
      <c r="E324" s="3187">
        <v>31.63</v>
      </c>
      <c r="F324" s="3192" t="s">
        <v>4031</v>
      </c>
    </row>
    <row r="325" spans="1:6" ht="15" thickBot="1">
      <c r="A325" s="3186">
        <v>324</v>
      </c>
      <c r="B325" s="3187" t="s">
        <v>3908</v>
      </c>
      <c r="C325" s="3187" t="s">
        <v>3930</v>
      </c>
      <c r="D325" s="3187">
        <v>87.81</v>
      </c>
      <c r="E325" s="3187">
        <v>36.17</v>
      </c>
      <c r="F325" s="3192" t="s">
        <v>4031</v>
      </c>
    </row>
    <row r="326" spans="1:6" ht="15" thickBot="1">
      <c r="A326" s="3186">
        <v>325</v>
      </c>
      <c r="B326" s="3187" t="s">
        <v>3908</v>
      </c>
      <c r="C326" s="3187" t="s">
        <v>3931</v>
      </c>
      <c r="D326" s="3187">
        <v>76.790000000000006</v>
      </c>
      <c r="E326" s="3187">
        <v>31.63</v>
      </c>
      <c r="F326" s="3192" t="s">
        <v>4031</v>
      </c>
    </row>
    <row r="327" spans="1:6" ht="15" thickBot="1">
      <c r="A327" s="3186">
        <v>326</v>
      </c>
      <c r="B327" s="3187" t="s">
        <v>3908</v>
      </c>
      <c r="C327" s="3187" t="s">
        <v>3587</v>
      </c>
      <c r="D327" s="3187">
        <v>87.81</v>
      </c>
      <c r="E327" s="3187">
        <v>36.17</v>
      </c>
      <c r="F327" s="3192" t="s">
        <v>4031</v>
      </c>
    </row>
    <row r="328" spans="1:6" ht="15" thickBot="1">
      <c r="A328" s="3186">
        <v>327</v>
      </c>
      <c r="B328" s="3187" t="s">
        <v>3908</v>
      </c>
      <c r="C328" s="3187" t="s">
        <v>3932</v>
      </c>
      <c r="D328" s="3187">
        <v>76.790000000000006</v>
      </c>
      <c r="E328" s="3187">
        <v>31.63</v>
      </c>
      <c r="F328" s="3192" t="s">
        <v>4031</v>
      </c>
    </row>
    <row r="329" spans="1:6" ht="15" thickBot="1">
      <c r="A329" s="3186">
        <v>328</v>
      </c>
      <c r="B329" s="3187" t="s">
        <v>3908</v>
      </c>
      <c r="C329" s="3187" t="s">
        <v>3933</v>
      </c>
      <c r="D329" s="3187">
        <v>87.81</v>
      </c>
      <c r="E329" s="3187">
        <v>36.17</v>
      </c>
      <c r="F329" s="3192" t="s">
        <v>4031</v>
      </c>
    </row>
    <row r="330" spans="1:6" ht="15" thickBot="1">
      <c r="A330" s="3186">
        <v>329</v>
      </c>
      <c r="B330" s="3187" t="s">
        <v>3908</v>
      </c>
      <c r="C330" s="3187" t="s">
        <v>3934</v>
      </c>
      <c r="D330" s="3187">
        <v>76.790000000000006</v>
      </c>
      <c r="E330" s="3187">
        <v>31.63</v>
      </c>
      <c r="F330" s="3192" t="s">
        <v>4031</v>
      </c>
    </row>
    <row r="331" spans="1:6" ht="15" thickBot="1">
      <c r="A331" s="3186">
        <v>330</v>
      </c>
      <c r="B331" s="3187" t="s">
        <v>3908</v>
      </c>
      <c r="C331" s="3187" t="s">
        <v>3935</v>
      </c>
      <c r="D331" s="3187">
        <v>87.81</v>
      </c>
      <c r="E331" s="3187">
        <v>36.17</v>
      </c>
      <c r="F331" s="3192" t="s">
        <v>4031</v>
      </c>
    </row>
    <row r="332" spans="1:6" ht="15" thickBot="1">
      <c r="A332" s="3186">
        <v>331</v>
      </c>
      <c r="B332" s="3187" t="s">
        <v>3908</v>
      </c>
      <c r="C332" s="3187" t="s">
        <v>3936</v>
      </c>
      <c r="D332" s="3187">
        <v>76.790000000000006</v>
      </c>
      <c r="E332" s="3187">
        <v>31.63</v>
      </c>
      <c r="F332" s="3192" t="s">
        <v>4031</v>
      </c>
    </row>
    <row r="333" spans="1:6" ht="15" thickBot="1">
      <c r="A333" s="3186">
        <v>332</v>
      </c>
      <c r="B333" s="3187" t="s">
        <v>3908</v>
      </c>
      <c r="C333" s="3187" t="s">
        <v>3937</v>
      </c>
      <c r="D333" s="3187">
        <v>87.81</v>
      </c>
      <c r="E333" s="3187">
        <v>36.17</v>
      </c>
      <c r="F333" s="3192" t="s">
        <v>4031</v>
      </c>
    </row>
    <row r="334" spans="1:6" ht="15" thickBot="1">
      <c r="A334" s="3186">
        <v>333</v>
      </c>
      <c r="B334" s="3187" t="s">
        <v>3908</v>
      </c>
      <c r="C334" s="3187" t="s">
        <v>3938</v>
      </c>
      <c r="D334" s="3187">
        <v>76.790000000000006</v>
      </c>
      <c r="E334" s="3187">
        <v>31.63</v>
      </c>
      <c r="F334" s="3192" t="s">
        <v>4031</v>
      </c>
    </row>
    <row r="335" spans="1:6" ht="15" thickBot="1">
      <c r="A335" s="3186">
        <v>334</v>
      </c>
      <c r="B335" s="3187" t="s">
        <v>3908</v>
      </c>
      <c r="C335" s="3187" t="s">
        <v>3939</v>
      </c>
      <c r="D335" s="3187">
        <v>87.81</v>
      </c>
      <c r="E335" s="3187">
        <v>36.17</v>
      </c>
      <c r="F335" s="3192" t="s">
        <v>4031</v>
      </c>
    </row>
    <row r="336" spans="1:6" ht="15" thickBot="1">
      <c r="A336" s="3186">
        <v>335</v>
      </c>
      <c r="B336" s="3187" t="s">
        <v>3908</v>
      </c>
      <c r="C336" s="3187" t="s">
        <v>3940</v>
      </c>
      <c r="D336" s="3187">
        <v>76.790000000000006</v>
      </c>
      <c r="E336" s="3187">
        <v>31.63</v>
      </c>
      <c r="F336" s="3192" t="s">
        <v>4031</v>
      </c>
    </row>
    <row r="337" spans="1:6" ht="15" thickBot="1">
      <c r="A337" s="3186">
        <v>336</v>
      </c>
      <c r="B337" s="3187" t="s">
        <v>3908</v>
      </c>
      <c r="C337" s="3187" t="s">
        <v>3941</v>
      </c>
      <c r="D337" s="3187">
        <v>87.81</v>
      </c>
      <c r="E337" s="3187">
        <v>36.17</v>
      </c>
      <c r="F337" s="3192" t="s">
        <v>4031</v>
      </c>
    </row>
    <row r="338" spans="1:6" ht="15" thickBot="1">
      <c r="A338" s="3186">
        <v>337</v>
      </c>
      <c r="B338" s="3187" t="s">
        <v>3908</v>
      </c>
      <c r="C338" s="3187" t="s">
        <v>3942</v>
      </c>
      <c r="D338" s="3187">
        <v>76.790000000000006</v>
      </c>
      <c r="E338" s="3187">
        <v>31.63</v>
      </c>
      <c r="F338" s="3192" t="s">
        <v>4031</v>
      </c>
    </row>
    <row r="339" spans="1:6" ht="15" thickBot="1">
      <c r="A339" s="3186">
        <v>338</v>
      </c>
      <c r="B339" s="3187" t="s">
        <v>3908</v>
      </c>
      <c r="C339" s="3187" t="s">
        <v>3943</v>
      </c>
      <c r="D339" s="3187">
        <v>87.81</v>
      </c>
      <c r="E339" s="3187">
        <v>36.17</v>
      </c>
      <c r="F339" s="3192" t="s">
        <v>4031</v>
      </c>
    </row>
    <row r="340" spans="1:6" ht="15" thickBot="1">
      <c r="A340" s="3186">
        <v>339</v>
      </c>
      <c r="B340" s="3187" t="s">
        <v>3908</v>
      </c>
      <c r="C340" s="3187" t="s">
        <v>3944</v>
      </c>
      <c r="D340" s="3187">
        <v>76.790000000000006</v>
      </c>
      <c r="E340" s="3187">
        <v>31.63</v>
      </c>
      <c r="F340" s="3192" t="s">
        <v>4031</v>
      </c>
    </row>
    <row r="341" spans="1:6" ht="15" thickBot="1">
      <c r="A341" s="3186">
        <v>340</v>
      </c>
      <c r="B341" s="3187" t="s">
        <v>3908</v>
      </c>
      <c r="C341" s="3187" t="s">
        <v>3588</v>
      </c>
      <c r="D341" s="3187">
        <v>87.81</v>
      </c>
      <c r="E341" s="3187">
        <v>36.17</v>
      </c>
      <c r="F341" s="3192" t="s">
        <v>4031</v>
      </c>
    </row>
    <row r="342" spans="1:6" ht="15" thickBot="1">
      <c r="A342" s="3186">
        <v>341</v>
      </c>
      <c r="B342" s="3187" t="s">
        <v>3908</v>
      </c>
      <c r="C342" s="3187" t="s">
        <v>3945</v>
      </c>
      <c r="D342" s="3187">
        <v>76.790000000000006</v>
      </c>
      <c r="E342" s="3187">
        <v>31.63</v>
      </c>
      <c r="F342" s="3192" t="s">
        <v>4031</v>
      </c>
    </row>
    <row r="343" spans="1:6" ht="15" thickBot="1">
      <c r="A343" s="3186">
        <v>342</v>
      </c>
      <c r="B343" s="3187" t="s">
        <v>3946</v>
      </c>
      <c r="C343" s="3187" t="s">
        <v>3589</v>
      </c>
      <c r="D343" s="3187">
        <v>76.790000000000006</v>
      </c>
      <c r="E343" s="3187">
        <v>31.63</v>
      </c>
      <c r="F343" s="3192" t="s">
        <v>4031</v>
      </c>
    </row>
    <row r="344" spans="1:6" ht="15" thickBot="1">
      <c r="A344" s="3186">
        <v>343</v>
      </c>
      <c r="B344" s="3187" t="s">
        <v>3946</v>
      </c>
      <c r="C344" s="3187" t="s">
        <v>3590</v>
      </c>
      <c r="D344" s="3187">
        <v>87.81</v>
      </c>
      <c r="E344" s="3187">
        <v>36.17</v>
      </c>
      <c r="F344" s="3192" t="s">
        <v>4031</v>
      </c>
    </row>
    <row r="345" spans="1:6" ht="15" thickBot="1">
      <c r="A345" s="3186">
        <v>344</v>
      </c>
      <c r="B345" s="3187" t="s">
        <v>3946</v>
      </c>
      <c r="C345" s="3187" t="s">
        <v>3947</v>
      </c>
      <c r="D345" s="3187">
        <v>76.790000000000006</v>
      </c>
      <c r="E345" s="3187">
        <v>31.63</v>
      </c>
      <c r="F345" s="3192" t="s">
        <v>4031</v>
      </c>
    </row>
    <row r="346" spans="1:6" ht="15" thickBot="1">
      <c r="A346" s="3186">
        <v>345</v>
      </c>
      <c r="B346" s="3187" t="s">
        <v>3946</v>
      </c>
      <c r="C346" s="3187" t="s">
        <v>3948</v>
      </c>
      <c r="D346" s="3187">
        <v>87.81</v>
      </c>
      <c r="E346" s="3187">
        <v>36.17</v>
      </c>
      <c r="F346" s="3192" t="s">
        <v>4031</v>
      </c>
    </row>
    <row r="347" spans="1:6" ht="15" thickBot="1">
      <c r="A347" s="3186">
        <v>346</v>
      </c>
      <c r="B347" s="3187" t="s">
        <v>3946</v>
      </c>
      <c r="C347" s="3187" t="s">
        <v>3949</v>
      </c>
      <c r="D347" s="3187">
        <v>87.81</v>
      </c>
      <c r="E347" s="3187">
        <v>36.17</v>
      </c>
      <c r="F347" s="3192" t="s">
        <v>4031</v>
      </c>
    </row>
    <row r="348" spans="1:6" ht="15" thickBot="1">
      <c r="A348" s="3186">
        <v>347</v>
      </c>
      <c r="B348" s="3187" t="s">
        <v>3946</v>
      </c>
      <c r="C348" s="3187" t="s">
        <v>3950</v>
      </c>
      <c r="D348" s="3187">
        <v>76.790000000000006</v>
      </c>
      <c r="E348" s="3187">
        <v>31.63</v>
      </c>
      <c r="F348" s="3192" t="s">
        <v>4031</v>
      </c>
    </row>
    <row r="349" spans="1:6" ht="15" thickBot="1">
      <c r="A349" s="3186">
        <v>348</v>
      </c>
      <c r="B349" s="3187" t="s">
        <v>3946</v>
      </c>
      <c r="C349" s="3187" t="s">
        <v>3951</v>
      </c>
      <c r="D349" s="3187">
        <v>87.81</v>
      </c>
      <c r="E349" s="3187">
        <v>36.17</v>
      </c>
      <c r="F349" s="3192" t="s">
        <v>4031</v>
      </c>
    </row>
    <row r="350" spans="1:6" ht="15" thickBot="1">
      <c r="A350" s="3186">
        <v>349</v>
      </c>
      <c r="B350" s="3187" t="s">
        <v>3946</v>
      </c>
      <c r="C350" s="3187" t="s">
        <v>3952</v>
      </c>
      <c r="D350" s="3187">
        <v>87.81</v>
      </c>
      <c r="E350" s="3187">
        <v>36.17</v>
      </c>
      <c r="F350" s="3192" t="s">
        <v>4031</v>
      </c>
    </row>
    <row r="351" spans="1:6" ht="15" thickBot="1">
      <c r="A351" s="3186">
        <v>350</v>
      </c>
      <c r="B351" s="3187" t="s">
        <v>3946</v>
      </c>
      <c r="C351" s="3187" t="s">
        <v>3953</v>
      </c>
      <c r="D351" s="3187">
        <v>76.790000000000006</v>
      </c>
      <c r="E351" s="3187">
        <v>31.63</v>
      </c>
      <c r="F351" s="3192" t="s">
        <v>4031</v>
      </c>
    </row>
    <row r="352" spans="1:6" ht="15" thickBot="1">
      <c r="A352" s="3186">
        <v>351</v>
      </c>
      <c r="B352" s="3187" t="s">
        <v>3946</v>
      </c>
      <c r="C352" s="3187" t="s">
        <v>3954</v>
      </c>
      <c r="D352" s="3187">
        <v>87.81</v>
      </c>
      <c r="E352" s="3187">
        <v>36.17</v>
      </c>
      <c r="F352" s="3192" t="s">
        <v>4031</v>
      </c>
    </row>
    <row r="353" spans="1:6" ht="15" thickBot="1">
      <c r="A353" s="3186">
        <v>352</v>
      </c>
      <c r="B353" s="3187" t="s">
        <v>3946</v>
      </c>
      <c r="C353" s="3187" t="s">
        <v>3955</v>
      </c>
      <c r="D353" s="3187">
        <v>76.790000000000006</v>
      </c>
      <c r="E353" s="3187">
        <v>31.63</v>
      </c>
      <c r="F353" s="3192" t="s">
        <v>4031</v>
      </c>
    </row>
    <row r="354" spans="1:6" ht="15" thickBot="1">
      <c r="A354" s="3186">
        <v>353</v>
      </c>
      <c r="B354" s="3187" t="s">
        <v>3946</v>
      </c>
      <c r="C354" s="3187" t="s">
        <v>3956</v>
      </c>
      <c r="D354" s="3187">
        <v>87.81</v>
      </c>
      <c r="E354" s="3187">
        <v>36.17</v>
      </c>
      <c r="F354" s="3192" t="s">
        <v>4031</v>
      </c>
    </row>
    <row r="355" spans="1:6" ht="15" thickBot="1">
      <c r="A355" s="3186">
        <v>354</v>
      </c>
      <c r="B355" s="3187" t="s">
        <v>3946</v>
      </c>
      <c r="C355" s="3187" t="s">
        <v>3957</v>
      </c>
      <c r="D355" s="3187">
        <v>76.790000000000006</v>
      </c>
      <c r="E355" s="3187">
        <v>31.63</v>
      </c>
      <c r="F355" s="3192" t="s">
        <v>4031</v>
      </c>
    </row>
    <row r="356" spans="1:6" ht="15" thickBot="1">
      <c r="A356" s="3186">
        <v>355</v>
      </c>
      <c r="B356" s="3187" t="s">
        <v>3946</v>
      </c>
      <c r="C356" s="3187" t="s">
        <v>3958</v>
      </c>
      <c r="D356" s="3187">
        <v>87.81</v>
      </c>
      <c r="E356" s="3187">
        <v>36.17</v>
      </c>
      <c r="F356" s="3192" t="s">
        <v>4031</v>
      </c>
    </row>
    <row r="357" spans="1:6" ht="15" thickBot="1">
      <c r="A357" s="3186">
        <v>356</v>
      </c>
      <c r="B357" s="3187" t="s">
        <v>3946</v>
      </c>
      <c r="C357" s="3187" t="s">
        <v>3959</v>
      </c>
      <c r="D357" s="3187">
        <v>76.790000000000006</v>
      </c>
      <c r="E357" s="3187">
        <v>31.63</v>
      </c>
      <c r="F357" s="3192" t="s">
        <v>4031</v>
      </c>
    </row>
    <row r="358" spans="1:6" ht="15" thickBot="1">
      <c r="A358" s="3186">
        <v>357</v>
      </c>
      <c r="B358" s="3187" t="s">
        <v>3946</v>
      </c>
      <c r="C358" s="3187" t="s">
        <v>3960</v>
      </c>
      <c r="D358" s="3187">
        <v>87.81</v>
      </c>
      <c r="E358" s="3187">
        <v>36.17</v>
      </c>
      <c r="F358" s="3192" t="s">
        <v>4031</v>
      </c>
    </row>
    <row r="359" spans="1:6" ht="15" thickBot="1">
      <c r="A359" s="3186">
        <v>358</v>
      </c>
      <c r="B359" s="3187" t="s">
        <v>3946</v>
      </c>
      <c r="C359" s="3187" t="s">
        <v>3961</v>
      </c>
      <c r="D359" s="3187">
        <v>76.790000000000006</v>
      </c>
      <c r="E359" s="3187">
        <v>31.63</v>
      </c>
      <c r="F359" s="3192" t="s">
        <v>4031</v>
      </c>
    </row>
    <row r="360" spans="1:6" ht="15" thickBot="1">
      <c r="A360" s="3186">
        <v>359</v>
      </c>
      <c r="B360" s="3187" t="s">
        <v>3946</v>
      </c>
      <c r="C360" s="3187" t="s">
        <v>3962</v>
      </c>
      <c r="D360" s="3187">
        <v>87.81</v>
      </c>
      <c r="E360" s="3187">
        <v>36.17</v>
      </c>
      <c r="F360" s="3192" t="s">
        <v>4031</v>
      </c>
    </row>
    <row r="361" spans="1:6" ht="15" thickBot="1">
      <c r="A361" s="3186">
        <v>360</v>
      </c>
      <c r="B361" s="3187" t="s">
        <v>3946</v>
      </c>
      <c r="C361" s="3187" t="s">
        <v>3591</v>
      </c>
      <c r="D361" s="3187">
        <v>87.81</v>
      </c>
      <c r="E361" s="3187">
        <v>36.17</v>
      </c>
      <c r="F361" s="3192" t="s">
        <v>4031</v>
      </c>
    </row>
    <row r="362" spans="1:6" ht="15" thickBot="1">
      <c r="A362" s="3186">
        <v>361</v>
      </c>
      <c r="B362" s="3187" t="s">
        <v>3946</v>
      </c>
      <c r="C362" s="3187" t="s">
        <v>3963</v>
      </c>
      <c r="D362" s="3187">
        <v>76.790000000000006</v>
      </c>
      <c r="E362" s="3187">
        <v>31.63</v>
      </c>
      <c r="F362" s="3192" t="s">
        <v>4031</v>
      </c>
    </row>
    <row r="363" spans="1:6" ht="15" thickBot="1">
      <c r="A363" s="3186">
        <v>362</v>
      </c>
      <c r="B363" s="3187" t="s">
        <v>3946</v>
      </c>
      <c r="C363" s="3187" t="s">
        <v>3592</v>
      </c>
      <c r="D363" s="3187">
        <v>87.81</v>
      </c>
      <c r="E363" s="3187">
        <v>36.17</v>
      </c>
      <c r="F363" s="3192" t="s">
        <v>4031</v>
      </c>
    </row>
    <row r="364" spans="1:6" ht="15" thickBot="1">
      <c r="A364" s="3186">
        <v>363</v>
      </c>
      <c r="B364" s="3187" t="s">
        <v>3946</v>
      </c>
      <c r="C364" s="3187" t="s">
        <v>3964</v>
      </c>
      <c r="D364" s="3187">
        <v>87.81</v>
      </c>
      <c r="E364" s="3187">
        <v>36.17</v>
      </c>
      <c r="F364" s="3192" t="s">
        <v>4031</v>
      </c>
    </row>
    <row r="365" spans="1:6" ht="15" thickBot="1">
      <c r="A365" s="3186">
        <v>364</v>
      </c>
      <c r="B365" s="3187" t="s">
        <v>3946</v>
      </c>
      <c r="C365" s="3187" t="s">
        <v>3965</v>
      </c>
      <c r="D365" s="3187">
        <v>87.81</v>
      </c>
      <c r="E365" s="3187">
        <v>36.17</v>
      </c>
      <c r="F365" s="3192" t="s">
        <v>4031</v>
      </c>
    </row>
    <row r="366" spans="1:6" ht="15" thickBot="1">
      <c r="A366" s="3186">
        <v>365</v>
      </c>
      <c r="B366" s="3187" t="s">
        <v>3946</v>
      </c>
      <c r="C366" s="3187" t="s">
        <v>3966</v>
      </c>
      <c r="D366" s="3187">
        <v>76.790000000000006</v>
      </c>
      <c r="E366" s="3187">
        <v>31.63</v>
      </c>
      <c r="F366" s="3192" t="s">
        <v>4031</v>
      </c>
    </row>
    <row r="367" spans="1:6" ht="15" thickBot="1">
      <c r="A367" s="3186">
        <v>366</v>
      </c>
      <c r="B367" s="3187" t="s">
        <v>3946</v>
      </c>
      <c r="C367" s="3187" t="s">
        <v>3967</v>
      </c>
      <c r="D367" s="3187">
        <v>87.81</v>
      </c>
      <c r="E367" s="3187">
        <v>36.17</v>
      </c>
      <c r="F367" s="3192" t="s">
        <v>4031</v>
      </c>
    </row>
    <row r="368" spans="1:6" ht="15" thickBot="1">
      <c r="A368" s="3186">
        <v>367</v>
      </c>
      <c r="B368" s="3187" t="s">
        <v>3946</v>
      </c>
      <c r="C368" s="3187" t="s">
        <v>3968</v>
      </c>
      <c r="D368" s="3187">
        <v>76.790000000000006</v>
      </c>
      <c r="E368" s="3187">
        <v>31.63</v>
      </c>
      <c r="F368" s="3192" t="s">
        <v>4031</v>
      </c>
    </row>
    <row r="369" spans="1:6" ht="15" thickBot="1">
      <c r="A369" s="3186">
        <v>368</v>
      </c>
      <c r="B369" s="3187" t="s">
        <v>3946</v>
      </c>
      <c r="C369" s="3187" t="s">
        <v>3969</v>
      </c>
      <c r="D369" s="3187">
        <v>87.81</v>
      </c>
      <c r="E369" s="3187">
        <v>36.17</v>
      </c>
      <c r="F369" s="3192" t="s">
        <v>4031</v>
      </c>
    </row>
    <row r="370" spans="1:6" ht="15" thickBot="1">
      <c r="A370" s="3186">
        <v>369</v>
      </c>
      <c r="B370" s="3187" t="s">
        <v>3946</v>
      </c>
      <c r="C370" s="3187" t="s">
        <v>3970</v>
      </c>
      <c r="D370" s="3187">
        <v>76.790000000000006</v>
      </c>
      <c r="E370" s="3187">
        <v>31.63</v>
      </c>
      <c r="F370" s="3192" t="s">
        <v>4031</v>
      </c>
    </row>
    <row r="371" spans="1:6" ht="15" thickBot="1">
      <c r="A371" s="3186">
        <v>370</v>
      </c>
      <c r="B371" s="3187" t="s">
        <v>3946</v>
      </c>
      <c r="C371" s="3187" t="s">
        <v>3971</v>
      </c>
      <c r="D371" s="3187">
        <v>87.81</v>
      </c>
      <c r="E371" s="3187">
        <v>36.17</v>
      </c>
      <c r="F371" s="3192" t="s">
        <v>4031</v>
      </c>
    </row>
    <row r="372" spans="1:6" ht="15" thickBot="1">
      <c r="A372" s="3186">
        <v>371</v>
      </c>
      <c r="B372" s="3187" t="s">
        <v>3946</v>
      </c>
      <c r="C372" s="3187" t="s">
        <v>3972</v>
      </c>
      <c r="D372" s="3187">
        <v>76.790000000000006</v>
      </c>
      <c r="E372" s="3187">
        <v>31.63</v>
      </c>
      <c r="F372" s="3192" t="s">
        <v>4031</v>
      </c>
    </row>
    <row r="373" spans="1:6" ht="15" thickBot="1">
      <c r="A373" s="3186">
        <v>372</v>
      </c>
      <c r="B373" s="3187" t="s">
        <v>3946</v>
      </c>
      <c r="C373" s="3187" t="s">
        <v>3973</v>
      </c>
      <c r="D373" s="3187">
        <v>87.81</v>
      </c>
      <c r="E373" s="3187">
        <v>36.17</v>
      </c>
      <c r="F373" s="3192" t="s">
        <v>4031</v>
      </c>
    </row>
    <row r="374" spans="1:6" ht="15" thickBot="1">
      <c r="A374" s="3186">
        <v>373</v>
      </c>
      <c r="B374" s="3187" t="s">
        <v>3946</v>
      </c>
      <c r="C374" s="3187" t="s">
        <v>3974</v>
      </c>
      <c r="D374" s="3187">
        <v>76.790000000000006</v>
      </c>
      <c r="E374" s="3187">
        <v>31.63</v>
      </c>
      <c r="F374" s="3192" t="s">
        <v>4031</v>
      </c>
    </row>
    <row r="375" spans="1:6" ht="15" thickBot="1">
      <c r="A375" s="3186">
        <v>374</v>
      </c>
      <c r="B375" s="3187" t="s">
        <v>3946</v>
      </c>
      <c r="C375" s="3187" t="s">
        <v>3975</v>
      </c>
      <c r="D375" s="3187">
        <v>87.81</v>
      </c>
      <c r="E375" s="3187">
        <v>36.17</v>
      </c>
      <c r="F375" s="3192" t="s">
        <v>4031</v>
      </c>
    </row>
    <row r="376" spans="1:6" ht="15" thickBot="1">
      <c r="A376" s="3186">
        <v>375</v>
      </c>
      <c r="B376" s="3187" t="s">
        <v>3946</v>
      </c>
      <c r="C376" s="3187" t="s">
        <v>3976</v>
      </c>
      <c r="D376" s="3187">
        <v>76.790000000000006</v>
      </c>
      <c r="E376" s="3187">
        <v>31.63</v>
      </c>
      <c r="F376" s="3192" t="s">
        <v>4031</v>
      </c>
    </row>
    <row r="377" spans="1:6" ht="15" thickBot="1">
      <c r="A377" s="3186">
        <v>376</v>
      </c>
      <c r="B377" s="3187" t="s">
        <v>3946</v>
      </c>
      <c r="C377" s="3187" t="s">
        <v>3977</v>
      </c>
      <c r="D377" s="3187">
        <v>87.81</v>
      </c>
      <c r="E377" s="3187">
        <v>36.17</v>
      </c>
      <c r="F377" s="3192" t="s">
        <v>4031</v>
      </c>
    </row>
    <row r="378" spans="1:6" ht="15" thickBot="1">
      <c r="A378" s="3186">
        <v>377</v>
      </c>
      <c r="B378" s="3187" t="s">
        <v>3946</v>
      </c>
      <c r="C378" s="3187" t="s">
        <v>3978</v>
      </c>
      <c r="D378" s="3187">
        <v>76.790000000000006</v>
      </c>
      <c r="E378" s="3187">
        <v>31.63</v>
      </c>
      <c r="F378" s="3192" t="s">
        <v>4031</v>
      </c>
    </row>
    <row r="379" spans="1:6" ht="15" thickBot="1">
      <c r="A379" s="3186">
        <v>378</v>
      </c>
      <c r="B379" s="3187" t="s">
        <v>3946</v>
      </c>
      <c r="C379" s="3187" t="s">
        <v>3979</v>
      </c>
      <c r="D379" s="3187">
        <v>87.81</v>
      </c>
      <c r="E379" s="3187">
        <v>36.17</v>
      </c>
      <c r="F379" s="3192" t="s">
        <v>4031</v>
      </c>
    </row>
    <row r="380" spans="1:6" ht="15" thickBot="1">
      <c r="A380" s="3186">
        <v>379</v>
      </c>
      <c r="B380" s="3187" t="s">
        <v>3946</v>
      </c>
      <c r="C380" s="3187" t="s">
        <v>3980</v>
      </c>
      <c r="D380" s="3187">
        <v>76.790000000000006</v>
      </c>
      <c r="E380" s="3187">
        <v>31.63</v>
      </c>
      <c r="F380" s="3192" t="s">
        <v>4031</v>
      </c>
    </row>
    <row r="381" spans="1:6" ht="15" thickBot="1">
      <c r="A381" s="3186">
        <v>380</v>
      </c>
      <c r="B381" s="3187" t="s">
        <v>3981</v>
      </c>
      <c r="C381" s="3187" t="s">
        <v>3982</v>
      </c>
      <c r="D381" s="3187">
        <v>76.62</v>
      </c>
      <c r="E381" s="3187">
        <v>31.56</v>
      </c>
      <c r="F381" s="3192" t="s">
        <v>4031</v>
      </c>
    </row>
    <row r="382" spans="1:6" ht="15" thickBot="1">
      <c r="A382" s="3186">
        <v>381</v>
      </c>
      <c r="B382" s="3187" t="s">
        <v>3981</v>
      </c>
      <c r="C382" s="3187" t="s">
        <v>3983</v>
      </c>
      <c r="D382" s="3187">
        <v>87.62</v>
      </c>
      <c r="E382" s="3187">
        <v>36.090000000000003</v>
      </c>
      <c r="F382" s="3192" t="s">
        <v>4031</v>
      </c>
    </row>
    <row r="383" spans="1:6" ht="15" thickBot="1">
      <c r="A383" s="3186">
        <v>382</v>
      </c>
      <c r="B383" s="3187" t="s">
        <v>3981</v>
      </c>
      <c r="C383" s="3187" t="s">
        <v>3984</v>
      </c>
      <c r="D383" s="3187">
        <v>76.62</v>
      </c>
      <c r="E383" s="3187">
        <v>31.56</v>
      </c>
      <c r="F383" s="3192" t="s">
        <v>4031</v>
      </c>
    </row>
    <row r="384" spans="1:6" ht="15" thickBot="1">
      <c r="A384" s="3186">
        <v>383</v>
      </c>
      <c r="B384" s="3187" t="s">
        <v>3981</v>
      </c>
      <c r="C384" s="3187" t="s">
        <v>3985</v>
      </c>
      <c r="D384" s="3187">
        <v>87.62</v>
      </c>
      <c r="E384" s="3187">
        <v>36.090000000000003</v>
      </c>
      <c r="F384" s="3192" t="s">
        <v>4031</v>
      </c>
    </row>
    <row r="385" spans="1:6" ht="15" thickBot="1">
      <c r="A385" s="3186">
        <v>384</v>
      </c>
      <c r="B385" s="3187" t="s">
        <v>3981</v>
      </c>
      <c r="C385" s="3187" t="s">
        <v>3986</v>
      </c>
      <c r="D385" s="3187">
        <v>76.62</v>
      </c>
      <c r="E385" s="3187">
        <v>31.56</v>
      </c>
      <c r="F385" s="3192" t="s">
        <v>4031</v>
      </c>
    </row>
    <row r="386" spans="1:6" ht="15" thickBot="1">
      <c r="A386" s="3186">
        <v>385</v>
      </c>
      <c r="B386" s="3187" t="s">
        <v>3981</v>
      </c>
      <c r="C386" s="3187" t="s">
        <v>3987</v>
      </c>
      <c r="D386" s="3187">
        <v>87.62</v>
      </c>
      <c r="E386" s="3187">
        <v>36.090000000000003</v>
      </c>
      <c r="F386" s="3192" t="s">
        <v>4031</v>
      </c>
    </row>
    <row r="387" spans="1:6" ht="15" thickBot="1">
      <c r="A387" s="3186">
        <v>386</v>
      </c>
      <c r="B387" s="3187" t="s">
        <v>3981</v>
      </c>
      <c r="C387" s="3187" t="s">
        <v>3988</v>
      </c>
      <c r="D387" s="3187">
        <v>76.62</v>
      </c>
      <c r="E387" s="3187">
        <v>31.56</v>
      </c>
      <c r="F387" s="3192" t="s">
        <v>4031</v>
      </c>
    </row>
    <row r="388" spans="1:6" ht="15" thickBot="1">
      <c r="A388" s="3186">
        <v>387</v>
      </c>
      <c r="B388" s="3187" t="s">
        <v>3981</v>
      </c>
      <c r="C388" s="3187" t="s">
        <v>3989</v>
      </c>
      <c r="D388" s="3187">
        <v>87.62</v>
      </c>
      <c r="E388" s="3187">
        <v>36.090000000000003</v>
      </c>
      <c r="F388" s="3192" t="s">
        <v>4031</v>
      </c>
    </row>
    <row r="389" spans="1:6" ht="15" thickBot="1">
      <c r="A389" s="3186">
        <v>388</v>
      </c>
      <c r="B389" s="3187" t="s">
        <v>3981</v>
      </c>
      <c r="C389" s="3187" t="s">
        <v>3990</v>
      </c>
      <c r="D389" s="3187">
        <v>76.62</v>
      </c>
      <c r="E389" s="3187">
        <v>31.56</v>
      </c>
      <c r="F389" s="3192" t="s">
        <v>4031</v>
      </c>
    </row>
    <row r="390" spans="1:6" ht="15" thickBot="1">
      <c r="A390" s="3186">
        <v>389</v>
      </c>
      <c r="B390" s="3187" t="s">
        <v>3981</v>
      </c>
      <c r="C390" s="3187" t="s">
        <v>3991</v>
      </c>
      <c r="D390" s="3187">
        <v>87.62</v>
      </c>
      <c r="E390" s="3187">
        <v>36.090000000000003</v>
      </c>
      <c r="F390" s="3192" t="s">
        <v>4031</v>
      </c>
    </row>
    <row r="391" spans="1:6" ht="15" thickBot="1">
      <c r="A391" s="3186">
        <v>390</v>
      </c>
      <c r="B391" s="3187" t="s">
        <v>3981</v>
      </c>
      <c r="C391" s="3187" t="s">
        <v>3992</v>
      </c>
      <c r="D391" s="3187">
        <v>76.62</v>
      </c>
      <c r="E391" s="3187">
        <v>31.56</v>
      </c>
      <c r="F391" s="3192" t="s">
        <v>4031</v>
      </c>
    </row>
    <row r="392" spans="1:6" ht="15" thickBot="1">
      <c r="A392" s="3186">
        <v>391</v>
      </c>
      <c r="B392" s="3187" t="s">
        <v>3981</v>
      </c>
      <c r="C392" s="3187" t="s">
        <v>3993</v>
      </c>
      <c r="D392" s="3187">
        <v>87.62</v>
      </c>
      <c r="E392" s="3187">
        <v>36.090000000000003</v>
      </c>
      <c r="F392" s="3192" t="s">
        <v>4031</v>
      </c>
    </row>
    <row r="393" spans="1:6" ht="15" thickBot="1">
      <c r="A393" s="3186">
        <v>392</v>
      </c>
      <c r="B393" s="3187" t="s">
        <v>3981</v>
      </c>
      <c r="C393" s="3187" t="s">
        <v>3994</v>
      </c>
      <c r="D393" s="3187">
        <v>76.62</v>
      </c>
      <c r="E393" s="3187">
        <v>31.56</v>
      </c>
      <c r="F393" s="3192" t="s">
        <v>4031</v>
      </c>
    </row>
    <row r="394" spans="1:6" ht="15" thickBot="1">
      <c r="A394" s="3186">
        <v>393</v>
      </c>
      <c r="B394" s="3187" t="s">
        <v>3981</v>
      </c>
      <c r="C394" s="3187" t="s">
        <v>3995</v>
      </c>
      <c r="D394" s="3187">
        <v>87.62</v>
      </c>
      <c r="E394" s="3187">
        <v>36.090000000000003</v>
      </c>
      <c r="F394" s="3192" t="s">
        <v>4031</v>
      </c>
    </row>
    <row r="395" spans="1:6" ht="15" thickBot="1">
      <c r="A395" s="3186">
        <v>394</v>
      </c>
      <c r="B395" s="3187" t="s">
        <v>3981</v>
      </c>
      <c r="C395" s="3187" t="s">
        <v>3996</v>
      </c>
      <c r="D395" s="3187">
        <v>76.62</v>
      </c>
      <c r="E395" s="3187">
        <v>31.56</v>
      </c>
      <c r="F395" s="3192" t="s">
        <v>4031</v>
      </c>
    </row>
    <row r="396" spans="1:6" ht="15" thickBot="1">
      <c r="A396" s="3186">
        <v>395</v>
      </c>
      <c r="B396" s="3187" t="s">
        <v>3981</v>
      </c>
      <c r="C396" s="3187" t="s">
        <v>3997</v>
      </c>
      <c r="D396" s="3187">
        <v>87.62</v>
      </c>
      <c r="E396" s="3187">
        <v>36.090000000000003</v>
      </c>
      <c r="F396" s="3192" t="s">
        <v>4031</v>
      </c>
    </row>
    <row r="397" spans="1:6" ht="15" thickBot="1">
      <c r="A397" s="3186">
        <v>396</v>
      </c>
      <c r="B397" s="3187" t="s">
        <v>3981</v>
      </c>
      <c r="C397" s="3187" t="s">
        <v>3998</v>
      </c>
      <c r="D397" s="3187">
        <v>76.62</v>
      </c>
      <c r="E397" s="3187">
        <v>31.56</v>
      </c>
      <c r="F397" s="3192" t="s">
        <v>4031</v>
      </c>
    </row>
    <row r="398" spans="1:6" ht="15" thickBot="1">
      <c r="A398" s="3186">
        <v>397</v>
      </c>
      <c r="B398" s="3187" t="s">
        <v>3981</v>
      </c>
      <c r="C398" s="3187" t="s">
        <v>3999</v>
      </c>
      <c r="D398" s="3187">
        <v>87.62</v>
      </c>
      <c r="E398" s="3187">
        <v>36.090000000000003</v>
      </c>
      <c r="F398" s="3192" t="s">
        <v>4031</v>
      </c>
    </row>
    <row r="399" spans="1:6" ht="15" thickBot="1">
      <c r="A399" s="3186">
        <v>398</v>
      </c>
      <c r="B399" s="3187" t="s">
        <v>3981</v>
      </c>
      <c r="C399" s="3187" t="s">
        <v>4000</v>
      </c>
      <c r="D399" s="3187">
        <v>76.62</v>
      </c>
      <c r="E399" s="3187">
        <v>31.56</v>
      </c>
      <c r="F399" s="3192" t="s">
        <v>4031</v>
      </c>
    </row>
    <row r="400" spans="1:6" ht="15" thickBot="1">
      <c r="A400" s="3186">
        <v>399</v>
      </c>
      <c r="B400" s="3187" t="s">
        <v>3981</v>
      </c>
      <c r="C400" s="3187" t="s">
        <v>4001</v>
      </c>
      <c r="D400" s="3187">
        <v>87.62</v>
      </c>
      <c r="E400" s="3187">
        <v>36.090000000000003</v>
      </c>
      <c r="F400" s="3192" t="s">
        <v>4031</v>
      </c>
    </row>
    <row r="401" spans="1:6" ht="15" thickBot="1">
      <c r="A401" s="3186">
        <v>400</v>
      </c>
      <c r="B401" s="3187" t="s">
        <v>3981</v>
      </c>
      <c r="C401" s="3187" t="s">
        <v>4002</v>
      </c>
      <c r="D401" s="3187">
        <v>76.62</v>
      </c>
      <c r="E401" s="3187">
        <v>31.56</v>
      </c>
      <c r="F401" s="3192" t="s">
        <v>4031</v>
      </c>
    </row>
    <row r="402" spans="1:6" ht="15" thickBot="1">
      <c r="A402" s="3186">
        <v>401</v>
      </c>
      <c r="B402" s="3187" t="s">
        <v>3981</v>
      </c>
      <c r="C402" s="3187" t="s">
        <v>4003</v>
      </c>
      <c r="D402" s="3187">
        <v>87.62</v>
      </c>
      <c r="E402" s="3187">
        <v>36.090000000000003</v>
      </c>
      <c r="F402" s="3192" t="s">
        <v>4031</v>
      </c>
    </row>
    <row r="403" spans="1:6" ht="15" thickBot="1">
      <c r="A403" s="3186">
        <v>402</v>
      </c>
      <c r="B403" s="3187" t="s">
        <v>3981</v>
      </c>
      <c r="C403" s="3187" t="s">
        <v>4004</v>
      </c>
      <c r="D403" s="3187">
        <v>87.62</v>
      </c>
      <c r="E403" s="3187">
        <v>36.090000000000003</v>
      </c>
      <c r="F403" s="3192" t="s">
        <v>4031</v>
      </c>
    </row>
    <row r="404" spans="1:6" ht="15" thickBot="1">
      <c r="A404" s="3186">
        <v>403</v>
      </c>
      <c r="B404" s="3187" t="s">
        <v>3981</v>
      </c>
      <c r="C404" s="3187" t="s">
        <v>4005</v>
      </c>
      <c r="D404" s="3187">
        <v>76.62</v>
      </c>
      <c r="E404" s="3187">
        <v>31.56</v>
      </c>
      <c r="F404" s="3192" t="s">
        <v>4031</v>
      </c>
    </row>
    <row r="405" spans="1:6" ht="15" thickBot="1">
      <c r="A405" s="3186">
        <v>404</v>
      </c>
      <c r="B405" s="3187" t="s">
        <v>3981</v>
      </c>
      <c r="C405" s="3187" t="s">
        <v>4006</v>
      </c>
      <c r="D405" s="3187">
        <v>87.62</v>
      </c>
      <c r="E405" s="3187">
        <v>36.090000000000003</v>
      </c>
      <c r="F405" s="3192" t="s">
        <v>4031</v>
      </c>
    </row>
    <row r="406" spans="1:6" ht="15" thickBot="1">
      <c r="A406" s="3186">
        <v>405</v>
      </c>
      <c r="B406" s="3187" t="s">
        <v>3981</v>
      </c>
      <c r="C406" s="3187" t="s">
        <v>4007</v>
      </c>
      <c r="D406" s="3187">
        <v>76.62</v>
      </c>
      <c r="E406" s="3187">
        <v>31.56</v>
      </c>
      <c r="F406" s="3192" t="s">
        <v>4031</v>
      </c>
    </row>
    <row r="407" spans="1:6" ht="15" thickBot="1">
      <c r="A407" s="3186">
        <v>406</v>
      </c>
      <c r="B407" s="3187" t="s">
        <v>3981</v>
      </c>
      <c r="C407" s="3187" t="s">
        <v>4008</v>
      </c>
      <c r="D407" s="3187">
        <v>87.62</v>
      </c>
      <c r="E407" s="3187">
        <v>36.090000000000003</v>
      </c>
      <c r="F407" s="3192" t="s">
        <v>4031</v>
      </c>
    </row>
    <row r="408" spans="1:6" ht="15" thickBot="1">
      <c r="A408" s="3186">
        <v>407</v>
      </c>
      <c r="B408" s="3187" t="s">
        <v>3981</v>
      </c>
      <c r="C408" s="3187" t="s">
        <v>4009</v>
      </c>
      <c r="D408" s="3187">
        <v>76.62</v>
      </c>
      <c r="E408" s="3187">
        <v>31.56</v>
      </c>
      <c r="F408" s="3192" t="s">
        <v>4031</v>
      </c>
    </row>
    <row r="409" spans="1:6" ht="15" thickBot="1">
      <c r="A409" s="3186">
        <v>408</v>
      </c>
      <c r="B409" s="3187" t="s">
        <v>3981</v>
      </c>
      <c r="C409" s="3187" t="s">
        <v>4010</v>
      </c>
      <c r="D409" s="3187">
        <v>87.62</v>
      </c>
      <c r="E409" s="3187">
        <v>36.090000000000003</v>
      </c>
      <c r="F409" s="3192" t="s">
        <v>4031</v>
      </c>
    </row>
    <row r="410" spans="1:6" ht="15" thickBot="1">
      <c r="A410" s="3186">
        <v>409</v>
      </c>
      <c r="B410" s="3187" t="s">
        <v>3981</v>
      </c>
      <c r="C410" s="3187" t="s">
        <v>4011</v>
      </c>
      <c r="D410" s="3187">
        <v>76.62</v>
      </c>
      <c r="E410" s="3187">
        <v>31.56</v>
      </c>
      <c r="F410" s="3192" t="s">
        <v>4031</v>
      </c>
    </row>
    <row r="411" spans="1:6" ht="15" thickBot="1">
      <c r="A411" s="3186">
        <v>410</v>
      </c>
      <c r="B411" s="3187" t="s">
        <v>3981</v>
      </c>
      <c r="C411" s="3187" t="s">
        <v>4012</v>
      </c>
      <c r="D411" s="3187">
        <v>87.62</v>
      </c>
      <c r="E411" s="3187">
        <v>36.090000000000003</v>
      </c>
      <c r="F411" s="3192" t="s">
        <v>4031</v>
      </c>
    </row>
    <row r="412" spans="1:6" ht="15" thickBot="1">
      <c r="A412" s="3186">
        <v>411</v>
      </c>
      <c r="B412" s="3187" t="s">
        <v>3981</v>
      </c>
      <c r="C412" s="3187" t="s">
        <v>4013</v>
      </c>
      <c r="D412" s="3187">
        <v>76.62</v>
      </c>
      <c r="E412" s="3187">
        <v>31.56</v>
      </c>
      <c r="F412" s="3192" t="s">
        <v>4031</v>
      </c>
    </row>
    <row r="413" spans="1:6" ht="15" thickBot="1">
      <c r="A413" s="3186">
        <v>412</v>
      </c>
      <c r="B413" s="3187" t="s">
        <v>3981</v>
      </c>
      <c r="C413" s="3187" t="s">
        <v>4014</v>
      </c>
      <c r="D413" s="3187">
        <v>87.62</v>
      </c>
      <c r="E413" s="3187">
        <v>36.090000000000003</v>
      </c>
      <c r="F413" s="3192" t="s">
        <v>4031</v>
      </c>
    </row>
    <row r="414" spans="1:6" ht="15" thickBot="1">
      <c r="A414" s="3186">
        <v>413</v>
      </c>
      <c r="B414" s="3187" t="s">
        <v>3981</v>
      </c>
      <c r="C414" s="3187" t="s">
        <v>4015</v>
      </c>
      <c r="D414" s="3187">
        <v>76.62</v>
      </c>
      <c r="E414" s="3187">
        <v>31.56</v>
      </c>
      <c r="F414" s="3192" t="s">
        <v>4031</v>
      </c>
    </row>
    <row r="415" spans="1:6" ht="15" thickBot="1">
      <c r="A415" s="3186">
        <v>414</v>
      </c>
      <c r="B415" s="3187" t="s">
        <v>3981</v>
      </c>
      <c r="C415" s="3187" t="s">
        <v>4016</v>
      </c>
      <c r="D415" s="3187">
        <v>87.62</v>
      </c>
      <c r="E415" s="3187">
        <v>36.090000000000003</v>
      </c>
      <c r="F415" s="3192" t="s">
        <v>4031</v>
      </c>
    </row>
    <row r="416" spans="1:6" ht="15" thickBot="1">
      <c r="A416" s="3186">
        <v>415</v>
      </c>
      <c r="B416" s="3187" t="s">
        <v>3981</v>
      </c>
      <c r="C416" s="3187" t="s">
        <v>4017</v>
      </c>
      <c r="D416" s="3187">
        <v>76.62</v>
      </c>
      <c r="E416" s="3187">
        <v>31.56</v>
      </c>
      <c r="F416" s="3192" t="s">
        <v>4031</v>
      </c>
    </row>
    <row r="417" spans="1:8" ht="15" thickBot="1">
      <c r="A417" s="3186">
        <v>416</v>
      </c>
      <c r="B417" s="3187" t="s">
        <v>3981</v>
      </c>
      <c r="C417" s="3187" t="s">
        <v>4018</v>
      </c>
      <c r="D417" s="3187">
        <v>87.62</v>
      </c>
      <c r="E417" s="3187">
        <v>36.090000000000003</v>
      </c>
      <c r="F417" s="3192" t="s">
        <v>4031</v>
      </c>
    </row>
    <row r="418" spans="1:8" ht="15" thickBot="1">
      <c r="A418" s="3186">
        <v>417</v>
      </c>
      <c r="B418" s="3187" t="s">
        <v>3981</v>
      </c>
      <c r="C418" s="3187" t="s">
        <v>4019</v>
      </c>
      <c r="D418" s="3187">
        <v>76.62</v>
      </c>
      <c r="E418" s="3187">
        <v>31.56</v>
      </c>
      <c r="F418" s="3192" t="s">
        <v>4031</v>
      </c>
    </row>
    <row r="419" spans="1:8" ht="15" thickBot="1">
      <c r="A419" s="3186">
        <v>418</v>
      </c>
      <c r="B419" s="3187" t="s">
        <v>3981</v>
      </c>
      <c r="C419" s="3187" t="s">
        <v>4020</v>
      </c>
      <c r="D419" s="3187">
        <v>87.62</v>
      </c>
      <c r="E419" s="3187">
        <v>36.090000000000003</v>
      </c>
      <c r="F419" s="3192" t="s">
        <v>4031</v>
      </c>
    </row>
    <row r="420" spans="1:8" ht="15" thickBot="1">
      <c r="A420" s="3186">
        <v>419</v>
      </c>
      <c r="B420" s="3187" t="s">
        <v>3981</v>
      </c>
      <c r="C420" s="3187" t="s">
        <v>4021</v>
      </c>
      <c r="D420" s="3187">
        <v>76.62</v>
      </c>
      <c r="E420" s="3187">
        <v>31.56</v>
      </c>
      <c r="F420" s="3192" t="s">
        <v>4031</v>
      </c>
    </row>
    <row r="421" spans="1:8" ht="15" thickBot="1">
      <c r="A421" s="3186">
        <v>420</v>
      </c>
      <c r="B421" s="3187" t="s">
        <v>3981</v>
      </c>
      <c r="C421" s="3187" t="s">
        <v>4022</v>
      </c>
      <c r="D421" s="3187">
        <v>87.62</v>
      </c>
      <c r="E421" s="3187">
        <v>36.090000000000003</v>
      </c>
      <c r="F421" s="3192" t="s">
        <v>4031</v>
      </c>
    </row>
    <row r="422" spans="1:8" ht="15" thickBot="1">
      <c r="A422" s="3186">
        <v>421</v>
      </c>
      <c r="B422" s="3187" t="s">
        <v>3981</v>
      </c>
      <c r="C422" s="3187" t="s">
        <v>4023</v>
      </c>
      <c r="D422" s="3187">
        <v>76.62</v>
      </c>
      <c r="E422" s="3187">
        <v>31.56</v>
      </c>
      <c r="F422" s="3192" t="s">
        <v>4031</v>
      </c>
    </row>
    <row r="423" spans="1:8" ht="15" thickBot="1">
      <c r="A423" s="3186">
        <v>422</v>
      </c>
      <c r="B423" s="3187" t="s">
        <v>3981</v>
      </c>
      <c r="C423" s="3187" t="s">
        <v>4024</v>
      </c>
      <c r="D423" s="3187">
        <v>87.62</v>
      </c>
      <c r="E423" s="3187">
        <v>36.090000000000003</v>
      </c>
      <c r="F423" s="3192" t="s">
        <v>4031</v>
      </c>
    </row>
    <row r="424" spans="1:8" ht="15" thickBot="1">
      <c r="A424" s="3186">
        <v>423</v>
      </c>
      <c r="B424" s="3187" t="s">
        <v>3981</v>
      </c>
      <c r="C424" s="3187" t="s">
        <v>4025</v>
      </c>
      <c r="D424" s="3187">
        <v>76.62</v>
      </c>
      <c r="E424" s="3187">
        <v>31.56</v>
      </c>
      <c r="F424" s="3192" t="s">
        <v>4031</v>
      </c>
    </row>
    <row r="425" spans="1:8" ht="15" thickBot="1">
      <c r="A425" s="3186"/>
      <c r="B425" s="3187" t="s">
        <v>4032</v>
      </c>
      <c r="C425" s="3187"/>
      <c r="D425" s="3187">
        <f>SUM(D2:D424)</f>
        <v>36485.100000000202</v>
      </c>
      <c r="E425" s="3187">
        <f>SUM(E2:E424)</f>
        <v>15029.119999999959</v>
      </c>
      <c r="F425" s="3192"/>
    </row>
    <row r="426" spans="1:8" ht="15" thickBot="1">
      <c r="A426" s="3186">
        <v>424</v>
      </c>
      <c r="B426" s="3187" t="s">
        <v>4026</v>
      </c>
      <c r="C426" s="3187">
        <v>-101</v>
      </c>
      <c r="D426" s="3195">
        <v>112.13</v>
      </c>
      <c r="E426" s="3187">
        <v>46.19</v>
      </c>
      <c r="F426" s="3193" t="s">
        <v>4034</v>
      </c>
    </row>
    <row r="427" spans="1:8" ht="15" thickBot="1">
      <c r="A427" s="3186">
        <v>425</v>
      </c>
      <c r="B427" s="3187" t="s">
        <v>4026</v>
      </c>
      <c r="C427" s="3187">
        <v>-102</v>
      </c>
      <c r="D427" s="3187">
        <v>23.1</v>
      </c>
      <c r="E427" s="3187">
        <v>9.51</v>
      </c>
      <c r="F427" s="3193" t="s">
        <v>4035</v>
      </c>
    </row>
    <row r="428" spans="1:8" ht="15" thickBot="1">
      <c r="A428" s="3186">
        <v>426</v>
      </c>
      <c r="B428" s="3187" t="s">
        <v>4026</v>
      </c>
      <c r="C428" s="3187">
        <v>-103</v>
      </c>
      <c r="D428" s="3187">
        <v>625.89</v>
      </c>
      <c r="E428" s="3187">
        <v>257.64999999999998</v>
      </c>
      <c r="F428" s="3193" t="s">
        <v>4036</v>
      </c>
    </row>
    <row r="429" spans="1:8" ht="15" thickBot="1">
      <c r="A429" s="3186">
        <v>427</v>
      </c>
      <c r="B429" s="3187" t="s">
        <v>4026</v>
      </c>
      <c r="C429" s="3187">
        <v>-104</v>
      </c>
      <c r="D429" s="3195">
        <v>224.55</v>
      </c>
      <c r="E429" s="3187">
        <v>92.36</v>
      </c>
      <c r="F429" s="3193" t="s">
        <v>4037</v>
      </c>
    </row>
    <row r="430" spans="1:8" ht="15" thickBot="1">
      <c r="A430" s="3186">
        <v>428</v>
      </c>
      <c r="B430" s="3187" t="s">
        <v>4026</v>
      </c>
      <c r="C430" s="3187">
        <v>-105</v>
      </c>
      <c r="D430" s="3187">
        <v>587.61</v>
      </c>
      <c r="E430" s="3187">
        <v>242.02</v>
      </c>
      <c r="F430" s="3193" t="s">
        <v>4036</v>
      </c>
    </row>
    <row r="431" spans="1:8" ht="15" thickBot="1">
      <c r="A431" s="3186"/>
      <c r="B431" s="3187" t="s">
        <v>4033</v>
      </c>
      <c r="C431" s="3187"/>
      <c r="D431" s="3187">
        <f>SUM(D426:D430)</f>
        <v>1573.2800000000002</v>
      </c>
      <c r="E431" s="3187">
        <f>SUM(E426:E430)</f>
        <v>647.73</v>
      </c>
      <c r="F431" s="3193"/>
      <c r="G431">
        <v>1236.5999999999999</v>
      </c>
      <c r="H431">
        <f>D431-G431</f>
        <v>336.68000000000029</v>
      </c>
    </row>
    <row r="432" spans="1:8" ht="15" thickBot="1">
      <c r="A432" s="3186">
        <v>429</v>
      </c>
      <c r="B432" s="3187" t="s">
        <v>4027</v>
      </c>
      <c r="C432" s="3187">
        <v>-1001</v>
      </c>
      <c r="D432" s="3187">
        <v>13.59</v>
      </c>
      <c r="E432" s="3187">
        <v>5.59</v>
      </c>
      <c r="F432" s="3193" t="s">
        <v>3593</v>
      </c>
    </row>
    <row r="433" spans="1:6" ht="15" thickBot="1">
      <c r="A433" s="3186">
        <v>430</v>
      </c>
      <c r="B433" s="3187" t="s">
        <v>4027</v>
      </c>
      <c r="C433" s="3187">
        <v>-1002</v>
      </c>
      <c r="D433" s="3187">
        <v>13.59</v>
      </c>
      <c r="E433" s="3187">
        <v>5.59</v>
      </c>
      <c r="F433" s="3193" t="s">
        <v>3593</v>
      </c>
    </row>
    <row r="434" spans="1:6" ht="15" thickBot="1">
      <c r="A434" s="3186">
        <v>431</v>
      </c>
      <c r="B434" s="3187" t="s">
        <v>4027</v>
      </c>
      <c r="C434" s="3187">
        <v>-1003</v>
      </c>
      <c r="D434" s="3187">
        <v>13.59</v>
      </c>
      <c r="E434" s="3187">
        <v>5.59</v>
      </c>
      <c r="F434" s="3193" t="s">
        <v>3593</v>
      </c>
    </row>
    <row r="435" spans="1:6" ht="15" thickBot="1">
      <c r="A435" s="3186">
        <v>432</v>
      </c>
      <c r="B435" s="3187" t="s">
        <v>4027</v>
      </c>
      <c r="C435" s="3187">
        <v>-1004</v>
      </c>
      <c r="D435" s="3187">
        <v>13.59</v>
      </c>
      <c r="E435" s="3187">
        <v>5.59</v>
      </c>
      <c r="F435" s="3193" t="s">
        <v>3593</v>
      </c>
    </row>
    <row r="436" spans="1:6" ht="15" thickBot="1">
      <c r="A436" s="3186">
        <v>433</v>
      </c>
      <c r="B436" s="3187" t="s">
        <v>4027</v>
      </c>
      <c r="C436" s="3187">
        <v>-1005</v>
      </c>
      <c r="D436" s="3187">
        <v>13.59</v>
      </c>
      <c r="E436" s="3187">
        <v>5.59</v>
      </c>
      <c r="F436" s="3193" t="s">
        <v>3593</v>
      </c>
    </row>
    <row r="437" spans="1:6" ht="15" thickBot="1">
      <c r="A437" s="3186">
        <v>434</v>
      </c>
      <c r="B437" s="3187" t="s">
        <v>4027</v>
      </c>
      <c r="C437" s="3187">
        <v>-1006</v>
      </c>
      <c r="D437" s="3187">
        <v>13.59</v>
      </c>
      <c r="E437" s="3187">
        <v>5.59</v>
      </c>
      <c r="F437" s="3193" t="s">
        <v>3593</v>
      </c>
    </row>
    <row r="438" spans="1:6" ht="15" thickBot="1">
      <c r="A438" s="3186">
        <v>435</v>
      </c>
      <c r="B438" s="3187" t="s">
        <v>4027</v>
      </c>
      <c r="C438" s="3187">
        <v>-1007</v>
      </c>
      <c r="D438" s="3187">
        <v>13.59</v>
      </c>
      <c r="E438" s="3187">
        <v>5.59</v>
      </c>
      <c r="F438" s="3193" t="s">
        <v>3593</v>
      </c>
    </row>
    <row r="439" spans="1:6" ht="15" thickBot="1">
      <c r="A439" s="3186">
        <v>436</v>
      </c>
      <c r="B439" s="3187" t="s">
        <v>4027</v>
      </c>
      <c r="C439" s="3187">
        <v>-1008</v>
      </c>
      <c r="D439" s="3187">
        <v>13.59</v>
      </c>
      <c r="E439" s="3187">
        <v>5.59</v>
      </c>
      <c r="F439" s="3193" t="s">
        <v>3593</v>
      </c>
    </row>
    <row r="440" spans="1:6" ht="15" thickBot="1">
      <c r="A440" s="3186">
        <v>437</v>
      </c>
      <c r="B440" s="3187" t="s">
        <v>4027</v>
      </c>
      <c r="C440" s="3187">
        <v>-1009</v>
      </c>
      <c r="D440" s="3187">
        <v>13.59</v>
      </c>
      <c r="E440" s="3187">
        <v>5.59</v>
      </c>
      <c r="F440" s="3193" t="s">
        <v>3593</v>
      </c>
    </row>
    <row r="441" spans="1:6" ht="15" thickBot="1">
      <c r="A441" s="3186">
        <v>438</v>
      </c>
      <c r="B441" s="3187" t="s">
        <v>4027</v>
      </c>
      <c r="C441" s="3187">
        <v>-1010</v>
      </c>
      <c r="D441" s="3187">
        <v>13.59</v>
      </c>
      <c r="E441" s="3187">
        <v>5.59</v>
      </c>
      <c r="F441" s="3193" t="s">
        <v>3593</v>
      </c>
    </row>
    <row r="442" spans="1:6" ht="15" thickBot="1">
      <c r="A442" s="3186">
        <v>439</v>
      </c>
      <c r="B442" s="3187" t="s">
        <v>4027</v>
      </c>
      <c r="C442" s="3187">
        <v>-1011</v>
      </c>
      <c r="D442" s="3187">
        <v>13.59</v>
      </c>
      <c r="E442" s="3187">
        <v>5.59</v>
      </c>
      <c r="F442" s="3193" t="s">
        <v>3593</v>
      </c>
    </row>
    <row r="443" spans="1:6" ht="15" thickBot="1">
      <c r="A443" s="3186">
        <v>440</v>
      </c>
      <c r="B443" s="3187" t="s">
        <v>4027</v>
      </c>
      <c r="C443" s="3187">
        <v>-1012</v>
      </c>
      <c r="D443" s="3187">
        <v>13.59</v>
      </c>
      <c r="E443" s="3187">
        <v>5.59</v>
      </c>
      <c r="F443" s="3193" t="s">
        <v>3593</v>
      </c>
    </row>
    <row r="444" spans="1:6" ht="15" thickBot="1">
      <c r="A444" s="3186">
        <v>441</v>
      </c>
      <c r="B444" s="3187" t="s">
        <v>4027</v>
      </c>
      <c r="C444" s="3187">
        <v>-1013</v>
      </c>
      <c r="D444" s="3187">
        <v>13.59</v>
      </c>
      <c r="E444" s="3187">
        <v>5.59</v>
      </c>
      <c r="F444" s="3193" t="s">
        <v>3593</v>
      </c>
    </row>
    <row r="445" spans="1:6" ht="15" thickBot="1">
      <c r="A445" s="3186">
        <v>442</v>
      </c>
      <c r="B445" s="3187" t="s">
        <v>4027</v>
      </c>
      <c r="C445" s="3187">
        <v>-1014</v>
      </c>
      <c r="D445" s="3187">
        <v>9.6300000000000008</v>
      </c>
      <c r="E445" s="3187">
        <v>3.96</v>
      </c>
      <c r="F445" s="3193" t="s">
        <v>3593</v>
      </c>
    </row>
    <row r="446" spans="1:6" ht="15" thickBot="1">
      <c r="A446" s="3186">
        <v>443</v>
      </c>
      <c r="B446" s="3187" t="s">
        <v>4027</v>
      </c>
      <c r="C446" s="3187">
        <v>-1015</v>
      </c>
      <c r="D446" s="3187">
        <v>9.6300000000000008</v>
      </c>
      <c r="E446" s="3187">
        <v>3.96</v>
      </c>
      <c r="F446" s="3193" t="s">
        <v>3593</v>
      </c>
    </row>
    <row r="447" spans="1:6" ht="15" thickBot="1">
      <c r="A447" s="3186">
        <v>444</v>
      </c>
      <c r="B447" s="3187" t="s">
        <v>4027</v>
      </c>
      <c r="C447" s="3187">
        <v>-1016</v>
      </c>
      <c r="D447" s="3187">
        <v>13.59</v>
      </c>
      <c r="E447" s="3187">
        <v>5.59</v>
      </c>
      <c r="F447" s="3193" t="s">
        <v>3593</v>
      </c>
    </row>
    <row r="448" spans="1:6" ht="15" thickBot="1">
      <c r="A448" s="3186">
        <v>445</v>
      </c>
      <c r="B448" s="3187" t="s">
        <v>4027</v>
      </c>
      <c r="C448" s="3187">
        <v>-1017</v>
      </c>
      <c r="D448" s="3187">
        <v>13.59</v>
      </c>
      <c r="E448" s="3187">
        <v>5.59</v>
      </c>
      <c r="F448" s="3193" t="s">
        <v>3593</v>
      </c>
    </row>
    <row r="449" spans="1:6" ht="15" thickBot="1">
      <c r="A449" s="3186">
        <v>446</v>
      </c>
      <c r="B449" s="3187" t="s">
        <v>4027</v>
      </c>
      <c r="C449" s="3187">
        <v>-1018</v>
      </c>
      <c r="D449" s="3187">
        <v>13.59</v>
      </c>
      <c r="E449" s="3187">
        <v>5.59</v>
      </c>
      <c r="F449" s="3193" t="s">
        <v>3593</v>
      </c>
    </row>
    <row r="450" spans="1:6" ht="15" thickBot="1">
      <c r="A450" s="3186">
        <v>447</v>
      </c>
      <c r="B450" s="3187" t="s">
        <v>4027</v>
      </c>
      <c r="C450" s="3187">
        <v>-1019</v>
      </c>
      <c r="D450" s="3187">
        <v>13.59</v>
      </c>
      <c r="E450" s="3187">
        <v>5.59</v>
      </c>
      <c r="F450" s="3193" t="s">
        <v>3593</v>
      </c>
    </row>
    <row r="451" spans="1:6" ht="15" thickBot="1">
      <c r="A451" s="3186">
        <v>448</v>
      </c>
      <c r="B451" s="3187" t="s">
        <v>4027</v>
      </c>
      <c r="C451" s="3187">
        <v>-1020</v>
      </c>
      <c r="D451" s="3187">
        <v>13.59</v>
      </c>
      <c r="E451" s="3187">
        <v>5.59</v>
      </c>
      <c r="F451" s="3193" t="s">
        <v>3593</v>
      </c>
    </row>
    <row r="452" spans="1:6" ht="15" thickBot="1">
      <c r="A452" s="3186">
        <v>449</v>
      </c>
      <c r="B452" s="3187" t="s">
        <v>4027</v>
      </c>
      <c r="C452" s="3187">
        <v>-1021</v>
      </c>
      <c r="D452" s="3187">
        <v>13.59</v>
      </c>
      <c r="E452" s="3187">
        <v>5.59</v>
      </c>
      <c r="F452" s="3193" t="s">
        <v>3593</v>
      </c>
    </row>
    <row r="453" spans="1:6" ht="15" thickBot="1">
      <c r="A453" s="3186">
        <v>450</v>
      </c>
      <c r="B453" s="3187" t="s">
        <v>4027</v>
      </c>
      <c r="C453" s="3187">
        <v>-1022</v>
      </c>
      <c r="D453" s="3187">
        <v>13.59</v>
      </c>
      <c r="E453" s="3187">
        <v>5.59</v>
      </c>
      <c r="F453" s="3193" t="s">
        <v>3593</v>
      </c>
    </row>
    <row r="454" spans="1:6" ht="15" thickBot="1">
      <c r="A454" s="3186">
        <v>451</v>
      </c>
      <c r="B454" s="3187" t="s">
        <v>4027</v>
      </c>
      <c r="C454" s="3187">
        <v>-1023</v>
      </c>
      <c r="D454" s="3187">
        <v>13.59</v>
      </c>
      <c r="E454" s="3187">
        <v>5.59</v>
      </c>
      <c r="F454" s="3193" t="s">
        <v>3593</v>
      </c>
    </row>
    <row r="455" spans="1:6" ht="15" thickBot="1">
      <c r="A455" s="3186">
        <v>452</v>
      </c>
      <c r="B455" s="3187" t="s">
        <v>4027</v>
      </c>
      <c r="C455" s="3187">
        <v>-1024</v>
      </c>
      <c r="D455" s="3187">
        <v>13.59</v>
      </c>
      <c r="E455" s="3187">
        <v>5.59</v>
      </c>
      <c r="F455" s="3193" t="s">
        <v>3593</v>
      </c>
    </row>
    <row r="456" spans="1:6" ht="15" thickBot="1">
      <c r="A456" s="3186">
        <v>453</v>
      </c>
      <c r="B456" s="3187" t="s">
        <v>4027</v>
      </c>
      <c r="C456" s="3187">
        <v>-1025</v>
      </c>
      <c r="D456" s="3187">
        <v>13.59</v>
      </c>
      <c r="E456" s="3187">
        <v>5.59</v>
      </c>
      <c r="F456" s="3193" t="s">
        <v>3593</v>
      </c>
    </row>
    <row r="457" spans="1:6" ht="15" thickBot="1">
      <c r="A457" s="3186">
        <v>454</v>
      </c>
      <c r="B457" s="3187" t="s">
        <v>4027</v>
      </c>
      <c r="C457" s="3187">
        <v>-1026</v>
      </c>
      <c r="D457" s="3187">
        <v>13.59</v>
      </c>
      <c r="E457" s="3187">
        <v>5.59</v>
      </c>
      <c r="F457" s="3193" t="s">
        <v>3593</v>
      </c>
    </row>
    <row r="458" spans="1:6" ht="15" thickBot="1">
      <c r="A458" s="3186">
        <v>455</v>
      </c>
      <c r="B458" s="3187" t="s">
        <v>4027</v>
      </c>
      <c r="C458" s="3187">
        <v>-1027</v>
      </c>
      <c r="D458" s="3187">
        <v>13.59</v>
      </c>
      <c r="E458" s="3187">
        <v>5.59</v>
      </c>
      <c r="F458" s="3193" t="s">
        <v>3593</v>
      </c>
    </row>
    <row r="459" spans="1:6" ht="15" thickBot="1">
      <c r="A459" s="3186">
        <v>456</v>
      </c>
      <c r="B459" s="3187" t="s">
        <v>4027</v>
      </c>
      <c r="C459" s="3187">
        <v>-1028</v>
      </c>
      <c r="D459" s="3187">
        <v>13.59</v>
      </c>
      <c r="E459" s="3187">
        <v>5.59</v>
      </c>
      <c r="F459" s="3193" t="s">
        <v>3593</v>
      </c>
    </row>
    <row r="460" spans="1:6" ht="15" thickBot="1">
      <c r="A460" s="3186">
        <v>457</v>
      </c>
      <c r="B460" s="3187" t="s">
        <v>4027</v>
      </c>
      <c r="C460" s="3187">
        <v>-1029</v>
      </c>
      <c r="D460" s="3187">
        <v>20.38</v>
      </c>
      <c r="E460" s="3187">
        <v>8.39</v>
      </c>
      <c r="F460" s="3193" t="s">
        <v>3593</v>
      </c>
    </row>
    <row r="461" spans="1:6" ht="15" thickBot="1">
      <c r="A461" s="3186">
        <v>458</v>
      </c>
      <c r="B461" s="3187" t="s">
        <v>4027</v>
      </c>
      <c r="C461" s="3187">
        <v>-1030</v>
      </c>
      <c r="D461" s="3187">
        <v>13.59</v>
      </c>
      <c r="E461" s="3187">
        <v>5.59</v>
      </c>
      <c r="F461" s="3193" t="s">
        <v>3593</v>
      </c>
    </row>
    <row r="462" spans="1:6" ht="15" thickBot="1">
      <c r="A462" s="3186">
        <v>459</v>
      </c>
      <c r="B462" s="3187" t="s">
        <v>4027</v>
      </c>
      <c r="C462" s="3187">
        <v>-1031</v>
      </c>
      <c r="D462" s="3187">
        <v>13.59</v>
      </c>
      <c r="E462" s="3187">
        <v>5.59</v>
      </c>
      <c r="F462" s="3193" t="s">
        <v>3593</v>
      </c>
    </row>
    <row r="463" spans="1:6" ht="15" thickBot="1">
      <c r="A463" s="3186">
        <v>460</v>
      </c>
      <c r="B463" s="3187" t="s">
        <v>4027</v>
      </c>
      <c r="C463" s="3187">
        <v>-1032</v>
      </c>
      <c r="D463" s="3187">
        <v>13.59</v>
      </c>
      <c r="E463" s="3187">
        <v>5.59</v>
      </c>
      <c r="F463" s="3193" t="s">
        <v>3593</v>
      </c>
    </row>
    <row r="464" spans="1:6" ht="15" thickBot="1">
      <c r="A464" s="3186">
        <v>461</v>
      </c>
      <c r="B464" s="3187" t="s">
        <v>4027</v>
      </c>
      <c r="C464" s="3187">
        <v>-1033</v>
      </c>
      <c r="D464" s="3187">
        <v>13.59</v>
      </c>
      <c r="E464" s="3187">
        <v>5.59</v>
      </c>
      <c r="F464" s="3193" t="s">
        <v>3593</v>
      </c>
    </row>
    <row r="465" spans="1:6" ht="15" thickBot="1">
      <c r="A465" s="3186">
        <v>462</v>
      </c>
      <c r="B465" s="3187" t="s">
        <v>4027</v>
      </c>
      <c r="C465" s="3187">
        <v>-1034</v>
      </c>
      <c r="D465" s="3187">
        <v>13.59</v>
      </c>
      <c r="E465" s="3187">
        <v>5.59</v>
      </c>
      <c r="F465" s="3193" t="s">
        <v>3593</v>
      </c>
    </row>
    <row r="466" spans="1:6" ht="15" thickBot="1">
      <c r="A466" s="3186">
        <v>463</v>
      </c>
      <c r="B466" s="3187" t="s">
        <v>4027</v>
      </c>
      <c r="C466" s="3187">
        <v>-1035</v>
      </c>
      <c r="D466" s="3187">
        <v>13.59</v>
      </c>
      <c r="E466" s="3187">
        <v>5.59</v>
      </c>
      <c r="F466" s="3193" t="s">
        <v>3593</v>
      </c>
    </row>
    <row r="467" spans="1:6" ht="15" thickBot="1">
      <c r="A467" s="3186">
        <v>464</v>
      </c>
      <c r="B467" s="3187" t="s">
        <v>4027</v>
      </c>
      <c r="C467" s="3187">
        <v>-1036</v>
      </c>
      <c r="D467" s="3187">
        <v>13.59</v>
      </c>
      <c r="E467" s="3187">
        <v>5.59</v>
      </c>
      <c r="F467" s="3193" t="s">
        <v>3593</v>
      </c>
    </row>
    <row r="468" spans="1:6" ht="15" thickBot="1">
      <c r="A468" s="3186">
        <v>465</v>
      </c>
      <c r="B468" s="3187" t="s">
        <v>4027</v>
      </c>
      <c r="C468" s="3187">
        <v>-1037</v>
      </c>
      <c r="D468" s="3187">
        <v>13.59</v>
      </c>
      <c r="E468" s="3187">
        <v>5.59</v>
      </c>
      <c r="F468" s="3193" t="s">
        <v>3593</v>
      </c>
    </row>
    <row r="469" spans="1:6" ht="15" thickBot="1">
      <c r="A469" s="3186">
        <v>466</v>
      </c>
      <c r="B469" s="3187" t="s">
        <v>4027</v>
      </c>
      <c r="C469" s="3187">
        <v>-1038</v>
      </c>
      <c r="D469" s="3187">
        <v>13.59</v>
      </c>
      <c r="E469" s="3187">
        <v>5.59</v>
      </c>
      <c r="F469" s="3193" t="s">
        <v>3593</v>
      </c>
    </row>
    <row r="470" spans="1:6" ht="15" thickBot="1">
      <c r="A470" s="3186">
        <v>467</v>
      </c>
      <c r="B470" s="3187" t="s">
        <v>4027</v>
      </c>
      <c r="C470" s="3187">
        <v>-1039</v>
      </c>
      <c r="D470" s="3187">
        <v>13.59</v>
      </c>
      <c r="E470" s="3187">
        <v>5.59</v>
      </c>
      <c r="F470" s="3193" t="s">
        <v>3593</v>
      </c>
    </row>
    <row r="471" spans="1:6" ht="15" thickBot="1">
      <c r="A471" s="3186">
        <v>468</v>
      </c>
      <c r="B471" s="3187" t="s">
        <v>4027</v>
      </c>
      <c r="C471" s="3187">
        <v>-1040</v>
      </c>
      <c r="D471" s="3187">
        <v>13.59</v>
      </c>
      <c r="E471" s="3187">
        <v>5.59</v>
      </c>
      <c r="F471" s="3193" t="s">
        <v>3593</v>
      </c>
    </row>
    <row r="472" spans="1:6" ht="15" thickBot="1">
      <c r="A472" s="3186">
        <v>469</v>
      </c>
      <c r="B472" s="3187" t="s">
        <v>4027</v>
      </c>
      <c r="C472" s="3187">
        <v>-1041</v>
      </c>
      <c r="D472" s="3187">
        <v>13.59</v>
      </c>
      <c r="E472" s="3187">
        <v>5.59</v>
      </c>
      <c r="F472" s="3193" t="s">
        <v>3593</v>
      </c>
    </row>
    <row r="473" spans="1:6" ht="15" thickBot="1">
      <c r="A473" s="3186">
        <v>470</v>
      </c>
      <c r="B473" s="3187" t="s">
        <v>4027</v>
      </c>
      <c r="C473" s="3187">
        <v>-1042</v>
      </c>
      <c r="D473" s="3187">
        <v>13.59</v>
      </c>
      <c r="E473" s="3187">
        <v>5.59</v>
      </c>
      <c r="F473" s="3193" t="s">
        <v>3593</v>
      </c>
    </row>
    <row r="474" spans="1:6" ht="15" thickBot="1">
      <c r="A474" s="3186">
        <v>471</v>
      </c>
      <c r="B474" s="3187" t="s">
        <v>4027</v>
      </c>
      <c r="C474" s="3187">
        <v>-1043</v>
      </c>
      <c r="D474" s="3187">
        <v>13.59</v>
      </c>
      <c r="E474" s="3187">
        <v>5.59</v>
      </c>
      <c r="F474" s="3193" t="s">
        <v>3593</v>
      </c>
    </row>
    <row r="475" spans="1:6" ht="15" thickBot="1">
      <c r="A475" s="3186">
        <v>472</v>
      </c>
      <c r="B475" s="3187" t="s">
        <v>4027</v>
      </c>
      <c r="C475" s="3187">
        <v>-1044</v>
      </c>
      <c r="D475" s="3187">
        <v>13.59</v>
      </c>
      <c r="E475" s="3187">
        <v>5.59</v>
      </c>
      <c r="F475" s="3193" t="s">
        <v>3593</v>
      </c>
    </row>
    <row r="476" spans="1:6" ht="15" thickBot="1">
      <c r="A476" s="3186">
        <v>473</v>
      </c>
      <c r="B476" s="3187" t="s">
        <v>4027</v>
      </c>
      <c r="C476" s="3187">
        <v>-1045</v>
      </c>
      <c r="D476" s="3187">
        <v>13.59</v>
      </c>
      <c r="E476" s="3187">
        <v>5.59</v>
      </c>
      <c r="F476" s="3193" t="s">
        <v>3593</v>
      </c>
    </row>
    <row r="477" spans="1:6" ht="15" thickBot="1">
      <c r="A477" s="3186">
        <v>474</v>
      </c>
      <c r="B477" s="3187" t="s">
        <v>4027</v>
      </c>
      <c r="C477" s="3187">
        <v>-1046</v>
      </c>
      <c r="D477" s="3187">
        <v>13.59</v>
      </c>
      <c r="E477" s="3187">
        <v>5.59</v>
      </c>
      <c r="F477" s="3193" t="s">
        <v>3593</v>
      </c>
    </row>
    <row r="478" spans="1:6" ht="15" thickBot="1">
      <c r="A478" s="3186">
        <v>475</v>
      </c>
      <c r="B478" s="3187" t="s">
        <v>4027</v>
      </c>
      <c r="C478" s="3187">
        <v>-1047</v>
      </c>
      <c r="D478" s="3187">
        <v>13.59</v>
      </c>
      <c r="E478" s="3187">
        <v>5.59</v>
      </c>
      <c r="F478" s="3193" t="s">
        <v>3593</v>
      </c>
    </row>
    <row r="479" spans="1:6" ht="15" thickBot="1">
      <c r="A479" s="3186">
        <v>476</v>
      </c>
      <c r="B479" s="3187" t="s">
        <v>4027</v>
      </c>
      <c r="C479" s="3187">
        <v>-1048</v>
      </c>
      <c r="D479" s="3187">
        <v>13.59</v>
      </c>
      <c r="E479" s="3187">
        <v>5.59</v>
      </c>
      <c r="F479" s="3193" t="s">
        <v>3593</v>
      </c>
    </row>
    <row r="480" spans="1:6" ht="15" thickBot="1">
      <c r="A480" s="3186">
        <v>477</v>
      </c>
      <c r="B480" s="3187" t="s">
        <v>4027</v>
      </c>
      <c r="C480" s="3187">
        <v>-1049</v>
      </c>
      <c r="D480" s="3187">
        <v>13.59</v>
      </c>
      <c r="E480" s="3187">
        <v>5.59</v>
      </c>
      <c r="F480" s="3193" t="s">
        <v>3593</v>
      </c>
    </row>
    <row r="481" spans="1:6" ht="15" thickBot="1">
      <c r="A481" s="3186">
        <v>478</v>
      </c>
      <c r="B481" s="3187" t="s">
        <v>4027</v>
      </c>
      <c r="C481" s="3187">
        <v>-1050</v>
      </c>
      <c r="D481" s="3187">
        <v>13.59</v>
      </c>
      <c r="E481" s="3187">
        <v>5.59</v>
      </c>
      <c r="F481" s="3193" t="s">
        <v>3593</v>
      </c>
    </row>
    <row r="482" spans="1:6" ht="15" thickBot="1">
      <c r="A482" s="3186">
        <v>479</v>
      </c>
      <c r="B482" s="3187" t="s">
        <v>4027</v>
      </c>
      <c r="C482" s="3187">
        <v>-1051</v>
      </c>
      <c r="D482" s="3187">
        <v>13.59</v>
      </c>
      <c r="E482" s="3187">
        <v>5.59</v>
      </c>
      <c r="F482" s="3193" t="s">
        <v>3593</v>
      </c>
    </row>
    <row r="483" spans="1:6" ht="15" thickBot="1">
      <c r="A483" s="3186">
        <v>480</v>
      </c>
      <c r="B483" s="3187" t="s">
        <v>4027</v>
      </c>
      <c r="C483" s="3187">
        <v>-1052</v>
      </c>
      <c r="D483" s="3187">
        <v>13.59</v>
      </c>
      <c r="E483" s="3187">
        <v>5.59</v>
      </c>
      <c r="F483" s="3193" t="s">
        <v>3593</v>
      </c>
    </row>
    <row r="484" spans="1:6" ht="15" thickBot="1">
      <c r="A484" s="3186">
        <v>481</v>
      </c>
      <c r="B484" s="3187" t="s">
        <v>4027</v>
      </c>
      <c r="C484" s="3187">
        <v>-1053</v>
      </c>
      <c r="D484" s="3187">
        <v>13.59</v>
      </c>
      <c r="E484" s="3187">
        <v>5.59</v>
      </c>
      <c r="F484" s="3193" t="s">
        <v>3593</v>
      </c>
    </row>
    <row r="485" spans="1:6" ht="15" thickBot="1">
      <c r="A485" s="3186">
        <v>482</v>
      </c>
      <c r="B485" s="3187" t="s">
        <v>4027</v>
      </c>
      <c r="C485" s="3187">
        <v>-1054</v>
      </c>
      <c r="D485" s="3187">
        <v>13.59</v>
      </c>
      <c r="E485" s="3187">
        <v>5.59</v>
      </c>
      <c r="F485" s="3193" t="s">
        <v>3593</v>
      </c>
    </row>
    <row r="486" spans="1:6" ht="15" thickBot="1">
      <c r="A486" s="3186">
        <v>483</v>
      </c>
      <c r="B486" s="3187" t="s">
        <v>4027</v>
      </c>
      <c r="C486" s="3187">
        <v>-1055</v>
      </c>
      <c r="D486" s="3187">
        <v>13.59</v>
      </c>
      <c r="E486" s="3187">
        <v>5.59</v>
      </c>
      <c r="F486" s="3193" t="s">
        <v>3593</v>
      </c>
    </row>
    <row r="487" spans="1:6" ht="15" thickBot="1">
      <c r="A487" s="3186">
        <v>484</v>
      </c>
      <c r="B487" s="3187" t="s">
        <v>4027</v>
      </c>
      <c r="C487" s="3187">
        <v>-1056</v>
      </c>
      <c r="D487" s="3187">
        <v>13.59</v>
      </c>
      <c r="E487" s="3187">
        <v>5.59</v>
      </c>
      <c r="F487" s="3193" t="s">
        <v>3593</v>
      </c>
    </row>
    <row r="488" spans="1:6" ht="15" thickBot="1">
      <c r="A488" s="3186">
        <v>485</v>
      </c>
      <c r="B488" s="3187" t="s">
        <v>4027</v>
      </c>
      <c r="C488" s="3187">
        <v>-1057</v>
      </c>
      <c r="D488" s="3187">
        <v>13.59</v>
      </c>
      <c r="E488" s="3187">
        <v>5.59</v>
      </c>
      <c r="F488" s="3193" t="s">
        <v>3593</v>
      </c>
    </row>
    <row r="489" spans="1:6" ht="15" thickBot="1">
      <c r="A489" s="3186">
        <v>486</v>
      </c>
      <c r="B489" s="3187" t="s">
        <v>4027</v>
      </c>
      <c r="C489" s="3187">
        <v>-1058</v>
      </c>
      <c r="D489" s="3187">
        <v>13.59</v>
      </c>
      <c r="E489" s="3187">
        <v>5.59</v>
      </c>
      <c r="F489" s="3193" t="s">
        <v>3593</v>
      </c>
    </row>
    <row r="490" spans="1:6" ht="15" thickBot="1">
      <c r="A490" s="3186">
        <v>487</v>
      </c>
      <c r="B490" s="3187" t="s">
        <v>4027</v>
      </c>
      <c r="C490" s="3187">
        <v>-1059</v>
      </c>
      <c r="D490" s="3187">
        <v>13.59</v>
      </c>
      <c r="E490" s="3187">
        <v>5.59</v>
      </c>
      <c r="F490" s="3193" t="s">
        <v>3593</v>
      </c>
    </row>
    <row r="491" spans="1:6" ht="15" thickBot="1">
      <c r="A491" s="3186">
        <v>488</v>
      </c>
      <c r="B491" s="3187" t="s">
        <v>4027</v>
      </c>
      <c r="C491" s="3187">
        <v>-1060</v>
      </c>
      <c r="D491" s="3187">
        <v>13.59</v>
      </c>
      <c r="E491" s="3187">
        <v>5.59</v>
      </c>
      <c r="F491" s="3193" t="s">
        <v>3593</v>
      </c>
    </row>
    <row r="492" spans="1:6" ht="15" thickBot="1">
      <c r="A492" s="3186">
        <v>489</v>
      </c>
      <c r="B492" s="3187" t="s">
        <v>4027</v>
      </c>
      <c r="C492" s="3187">
        <v>-1061</v>
      </c>
      <c r="D492" s="3187">
        <v>13.59</v>
      </c>
      <c r="E492" s="3187">
        <v>5.59</v>
      </c>
      <c r="F492" s="3193" t="s">
        <v>3593</v>
      </c>
    </row>
    <row r="493" spans="1:6" ht="15" thickBot="1">
      <c r="A493" s="3186">
        <v>490</v>
      </c>
      <c r="B493" s="3187" t="s">
        <v>4027</v>
      </c>
      <c r="C493" s="3187">
        <v>-1062</v>
      </c>
      <c r="D493" s="3187">
        <v>13.59</v>
      </c>
      <c r="E493" s="3187">
        <v>5.59</v>
      </c>
      <c r="F493" s="3193" t="s">
        <v>3593</v>
      </c>
    </row>
    <row r="494" spans="1:6" ht="15" thickBot="1">
      <c r="A494" s="3186">
        <v>491</v>
      </c>
      <c r="B494" s="3187" t="s">
        <v>4027</v>
      </c>
      <c r="C494" s="3187">
        <v>-1063</v>
      </c>
      <c r="D494" s="3187">
        <v>13.59</v>
      </c>
      <c r="E494" s="3187">
        <v>5.59</v>
      </c>
      <c r="F494" s="3193" t="s">
        <v>3593</v>
      </c>
    </row>
    <row r="495" spans="1:6" ht="15" thickBot="1">
      <c r="A495" s="3186">
        <v>492</v>
      </c>
      <c r="B495" s="3187" t="s">
        <v>4027</v>
      </c>
      <c r="C495" s="3187">
        <v>-1064</v>
      </c>
      <c r="D495" s="3187">
        <v>13.59</v>
      </c>
      <c r="E495" s="3187">
        <v>5.59</v>
      </c>
      <c r="F495" s="3193" t="s">
        <v>3593</v>
      </c>
    </row>
    <row r="496" spans="1:6" ht="15" thickBot="1">
      <c r="A496" s="3186">
        <v>493</v>
      </c>
      <c r="B496" s="3187" t="s">
        <v>4027</v>
      </c>
      <c r="C496" s="3187">
        <v>-1065</v>
      </c>
      <c r="D496" s="3187">
        <v>13.59</v>
      </c>
      <c r="E496" s="3187">
        <v>5.59</v>
      </c>
      <c r="F496" s="3193" t="s">
        <v>3593</v>
      </c>
    </row>
    <row r="497" spans="1:6" ht="15" thickBot="1">
      <c r="A497" s="3186">
        <v>494</v>
      </c>
      <c r="B497" s="3187" t="s">
        <v>4027</v>
      </c>
      <c r="C497" s="3187">
        <v>-1066</v>
      </c>
      <c r="D497" s="3187">
        <v>13.59</v>
      </c>
      <c r="E497" s="3187">
        <v>5.59</v>
      </c>
      <c r="F497" s="3193" t="s">
        <v>3593</v>
      </c>
    </row>
    <row r="498" spans="1:6" ht="15" thickBot="1">
      <c r="A498" s="3186">
        <v>495</v>
      </c>
      <c r="B498" s="3187" t="s">
        <v>4027</v>
      </c>
      <c r="C498" s="3187">
        <v>-1067</v>
      </c>
      <c r="D498" s="3187">
        <v>13.59</v>
      </c>
      <c r="E498" s="3187">
        <v>5.59</v>
      </c>
      <c r="F498" s="3193" t="s">
        <v>3593</v>
      </c>
    </row>
    <row r="499" spans="1:6" ht="15" thickBot="1">
      <c r="A499" s="3186">
        <v>496</v>
      </c>
      <c r="B499" s="3187" t="s">
        <v>4027</v>
      </c>
      <c r="C499" s="3187">
        <v>-1068</v>
      </c>
      <c r="D499" s="3187">
        <v>13.59</v>
      </c>
      <c r="E499" s="3187">
        <v>5.59</v>
      </c>
      <c r="F499" s="3193" t="s">
        <v>3593</v>
      </c>
    </row>
    <row r="500" spans="1:6" ht="15" thickBot="1">
      <c r="A500" s="3186">
        <v>497</v>
      </c>
      <c r="B500" s="3187" t="s">
        <v>4027</v>
      </c>
      <c r="C500" s="3187">
        <v>-1069</v>
      </c>
      <c r="D500" s="3187">
        <v>13.59</v>
      </c>
      <c r="E500" s="3187">
        <v>5.59</v>
      </c>
      <c r="F500" s="3193" t="s">
        <v>3593</v>
      </c>
    </row>
    <row r="501" spans="1:6" ht="15" thickBot="1">
      <c r="A501" s="3186">
        <v>498</v>
      </c>
      <c r="B501" s="3187" t="s">
        <v>4027</v>
      </c>
      <c r="C501" s="3187">
        <v>-1070</v>
      </c>
      <c r="D501" s="3187">
        <v>13.59</v>
      </c>
      <c r="E501" s="3187">
        <v>5.59</v>
      </c>
      <c r="F501" s="3193" t="s">
        <v>3593</v>
      </c>
    </row>
    <row r="502" spans="1:6" ht="15" thickBot="1">
      <c r="A502" s="3186">
        <v>499</v>
      </c>
      <c r="B502" s="3187" t="s">
        <v>4027</v>
      </c>
      <c r="C502" s="3187">
        <v>-1071</v>
      </c>
      <c r="D502" s="3187">
        <v>13.59</v>
      </c>
      <c r="E502" s="3187">
        <v>5.59</v>
      </c>
      <c r="F502" s="3193" t="s">
        <v>3593</v>
      </c>
    </row>
    <row r="503" spans="1:6" ht="15" thickBot="1">
      <c r="A503" s="3186">
        <v>500</v>
      </c>
      <c r="B503" s="3187" t="s">
        <v>4027</v>
      </c>
      <c r="C503" s="3187">
        <v>-1072</v>
      </c>
      <c r="D503" s="3187">
        <v>13.59</v>
      </c>
      <c r="E503" s="3187">
        <v>5.59</v>
      </c>
      <c r="F503" s="3193" t="s">
        <v>3593</v>
      </c>
    </row>
    <row r="504" spans="1:6" ht="15" thickBot="1">
      <c r="A504" s="3186">
        <v>501</v>
      </c>
      <c r="B504" s="3187" t="s">
        <v>4027</v>
      </c>
      <c r="C504" s="3187">
        <v>-1073</v>
      </c>
      <c r="D504" s="3187">
        <v>13.59</v>
      </c>
      <c r="E504" s="3187">
        <v>5.59</v>
      </c>
      <c r="F504" s="3193" t="s">
        <v>3593</v>
      </c>
    </row>
    <row r="505" spans="1:6" ht="15" thickBot="1">
      <c r="A505" s="3186">
        <v>502</v>
      </c>
      <c r="B505" s="3187" t="s">
        <v>4027</v>
      </c>
      <c r="C505" s="3187">
        <v>-1074</v>
      </c>
      <c r="D505" s="3187">
        <v>13.59</v>
      </c>
      <c r="E505" s="3187">
        <v>5.59</v>
      </c>
      <c r="F505" s="3193" t="s">
        <v>3593</v>
      </c>
    </row>
    <row r="506" spans="1:6" ht="15" thickBot="1">
      <c r="A506" s="3186">
        <v>503</v>
      </c>
      <c r="B506" s="3187" t="s">
        <v>4027</v>
      </c>
      <c r="C506" s="3187">
        <v>-1075</v>
      </c>
      <c r="D506" s="3187">
        <v>13.59</v>
      </c>
      <c r="E506" s="3187">
        <v>5.59</v>
      </c>
      <c r="F506" s="3193" t="s">
        <v>3593</v>
      </c>
    </row>
    <row r="507" spans="1:6" ht="15" thickBot="1">
      <c r="A507" s="3186">
        <v>504</v>
      </c>
      <c r="B507" s="3187" t="s">
        <v>4027</v>
      </c>
      <c r="C507" s="3187">
        <v>-1076</v>
      </c>
      <c r="D507" s="3187">
        <v>13.59</v>
      </c>
      <c r="E507" s="3187">
        <v>5.59</v>
      </c>
      <c r="F507" s="3193" t="s">
        <v>3593</v>
      </c>
    </row>
    <row r="508" spans="1:6" ht="15" thickBot="1">
      <c r="A508" s="3186">
        <v>505</v>
      </c>
      <c r="B508" s="3187" t="s">
        <v>4027</v>
      </c>
      <c r="C508" s="3187">
        <v>-1077</v>
      </c>
      <c r="D508" s="3187">
        <v>13.59</v>
      </c>
      <c r="E508" s="3187">
        <v>5.59</v>
      </c>
      <c r="F508" s="3193" t="s">
        <v>3593</v>
      </c>
    </row>
    <row r="509" spans="1:6" ht="15" thickBot="1">
      <c r="A509" s="3186">
        <v>506</v>
      </c>
      <c r="B509" s="3187" t="s">
        <v>4027</v>
      </c>
      <c r="C509" s="3187">
        <v>-1078</v>
      </c>
      <c r="D509" s="3187">
        <v>13.59</v>
      </c>
      <c r="E509" s="3187">
        <v>5.59</v>
      </c>
      <c r="F509" s="3193" t="s">
        <v>3593</v>
      </c>
    </row>
    <row r="510" spans="1:6" ht="15" thickBot="1">
      <c r="A510" s="3186">
        <v>507</v>
      </c>
      <c r="B510" s="3187" t="s">
        <v>4027</v>
      </c>
      <c r="C510" s="3187">
        <v>-1079</v>
      </c>
      <c r="D510" s="3187">
        <v>13.59</v>
      </c>
      <c r="E510" s="3187">
        <v>5.59</v>
      </c>
      <c r="F510" s="3193" t="s">
        <v>3593</v>
      </c>
    </row>
    <row r="511" spans="1:6" ht="15" thickBot="1">
      <c r="A511" s="3186">
        <v>508</v>
      </c>
      <c r="B511" s="3187" t="s">
        <v>4027</v>
      </c>
      <c r="C511" s="3187">
        <v>-1080</v>
      </c>
      <c r="D511" s="3187">
        <v>13.59</v>
      </c>
      <c r="E511" s="3187">
        <v>5.59</v>
      </c>
      <c r="F511" s="3193" t="s">
        <v>3593</v>
      </c>
    </row>
    <row r="512" spans="1:6" ht="15" thickBot="1">
      <c r="A512" s="3186">
        <v>509</v>
      </c>
      <c r="B512" s="3187" t="s">
        <v>4027</v>
      </c>
      <c r="C512" s="3187">
        <v>-1081</v>
      </c>
      <c r="D512" s="3187">
        <v>13.59</v>
      </c>
      <c r="E512" s="3187">
        <v>5.59</v>
      </c>
      <c r="F512" s="3193" t="s">
        <v>3593</v>
      </c>
    </row>
    <row r="513" spans="1:6" ht="15" thickBot="1">
      <c r="A513" s="3186">
        <v>510</v>
      </c>
      <c r="B513" s="3187" t="s">
        <v>4027</v>
      </c>
      <c r="C513" s="3187">
        <v>-1082</v>
      </c>
      <c r="D513" s="3187">
        <v>13.59</v>
      </c>
      <c r="E513" s="3187">
        <v>5.59</v>
      </c>
      <c r="F513" s="3193" t="s">
        <v>3593</v>
      </c>
    </row>
    <row r="514" spans="1:6" ht="15" thickBot="1">
      <c r="A514" s="3186">
        <v>511</v>
      </c>
      <c r="B514" s="3187" t="s">
        <v>4027</v>
      </c>
      <c r="C514" s="3187">
        <v>-1083</v>
      </c>
      <c r="D514" s="3187">
        <v>13.59</v>
      </c>
      <c r="E514" s="3187">
        <v>5.59</v>
      </c>
      <c r="F514" s="3193" t="s">
        <v>3593</v>
      </c>
    </row>
    <row r="515" spans="1:6" ht="15" thickBot="1">
      <c r="A515" s="3186">
        <v>512</v>
      </c>
      <c r="B515" s="3187" t="s">
        <v>4027</v>
      </c>
      <c r="C515" s="3187">
        <v>-1084</v>
      </c>
      <c r="D515" s="3187">
        <v>13.59</v>
      </c>
      <c r="E515" s="3187">
        <v>5.59</v>
      </c>
      <c r="F515" s="3193" t="s">
        <v>3593</v>
      </c>
    </row>
    <row r="516" spans="1:6" ht="15" thickBot="1">
      <c r="A516" s="3186">
        <v>513</v>
      </c>
      <c r="B516" s="3187" t="s">
        <v>4027</v>
      </c>
      <c r="C516" s="3187">
        <v>-1085</v>
      </c>
      <c r="D516" s="3187">
        <v>13.59</v>
      </c>
      <c r="E516" s="3187">
        <v>5.59</v>
      </c>
      <c r="F516" s="3193" t="s">
        <v>3593</v>
      </c>
    </row>
    <row r="517" spans="1:6" ht="15" thickBot="1">
      <c r="A517" s="3186">
        <v>514</v>
      </c>
      <c r="B517" s="3187" t="s">
        <v>4027</v>
      </c>
      <c r="C517" s="3187">
        <v>-1086</v>
      </c>
      <c r="D517" s="3187">
        <v>13.59</v>
      </c>
      <c r="E517" s="3187">
        <v>5.59</v>
      </c>
      <c r="F517" s="3193" t="s">
        <v>3593</v>
      </c>
    </row>
    <row r="518" spans="1:6" ht="15" thickBot="1">
      <c r="A518" s="3186">
        <v>515</v>
      </c>
      <c r="B518" s="3187" t="s">
        <v>4027</v>
      </c>
      <c r="C518" s="3187">
        <v>-1087</v>
      </c>
      <c r="D518" s="3187">
        <v>13.59</v>
      </c>
      <c r="E518" s="3187">
        <v>5.59</v>
      </c>
      <c r="F518" s="3193" t="s">
        <v>3593</v>
      </c>
    </row>
    <row r="519" spans="1:6" ht="15" thickBot="1">
      <c r="A519" s="3186">
        <v>516</v>
      </c>
      <c r="B519" s="3187" t="s">
        <v>4027</v>
      </c>
      <c r="C519" s="3187">
        <v>-1088</v>
      </c>
      <c r="D519" s="3187">
        <v>13.59</v>
      </c>
      <c r="E519" s="3187">
        <v>5.59</v>
      </c>
      <c r="F519" s="3193" t="s">
        <v>3593</v>
      </c>
    </row>
    <row r="520" spans="1:6" ht="15" thickBot="1">
      <c r="A520" s="3186">
        <v>517</v>
      </c>
      <c r="B520" s="3187" t="s">
        <v>4027</v>
      </c>
      <c r="C520" s="3187">
        <v>-1089</v>
      </c>
      <c r="D520" s="3187">
        <v>13.59</v>
      </c>
      <c r="E520" s="3187">
        <v>5.59</v>
      </c>
      <c r="F520" s="3193" t="s">
        <v>3593</v>
      </c>
    </row>
    <row r="521" spans="1:6" ht="15" thickBot="1">
      <c r="A521" s="3186">
        <v>518</v>
      </c>
      <c r="B521" s="3187" t="s">
        <v>4027</v>
      </c>
      <c r="C521" s="3187">
        <v>-1090</v>
      </c>
      <c r="D521" s="3187">
        <v>13.59</v>
      </c>
      <c r="E521" s="3187">
        <v>5.59</v>
      </c>
      <c r="F521" s="3193" t="s">
        <v>3593</v>
      </c>
    </row>
    <row r="522" spans="1:6" ht="15" thickBot="1">
      <c r="A522" s="3186">
        <v>519</v>
      </c>
      <c r="B522" s="3187" t="s">
        <v>4027</v>
      </c>
      <c r="C522" s="3187">
        <v>-1091</v>
      </c>
      <c r="D522" s="3187">
        <v>9.6300000000000008</v>
      </c>
      <c r="E522" s="3187">
        <v>3.96</v>
      </c>
      <c r="F522" s="3193" t="s">
        <v>3593</v>
      </c>
    </row>
    <row r="523" spans="1:6" ht="15" thickBot="1">
      <c r="A523" s="3186">
        <v>520</v>
      </c>
      <c r="B523" s="3187" t="s">
        <v>4027</v>
      </c>
      <c r="C523" s="3187">
        <v>-1092</v>
      </c>
      <c r="D523" s="3187">
        <v>9.6300000000000008</v>
      </c>
      <c r="E523" s="3187">
        <v>3.96</v>
      </c>
      <c r="F523" s="3193" t="s">
        <v>3593</v>
      </c>
    </row>
    <row r="524" spans="1:6" ht="15" thickBot="1">
      <c r="A524" s="3186">
        <v>521</v>
      </c>
      <c r="B524" s="3187" t="s">
        <v>4027</v>
      </c>
      <c r="C524" s="3187">
        <v>-1093</v>
      </c>
      <c r="D524" s="3187">
        <v>13.59</v>
      </c>
      <c r="E524" s="3187">
        <v>5.59</v>
      </c>
      <c r="F524" s="3193" t="s">
        <v>3593</v>
      </c>
    </row>
    <row r="525" spans="1:6" ht="15" thickBot="1">
      <c r="A525" s="3186">
        <v>522</v>
      </c>
      <c r="B525" s="3187" t="s">
        <v>4027</v>
      </c>
      <c r="C525" s="3187">
        <v>-1094</v>
      </c>
      <c r="D525" s="3187">
        <v>13.59</v>
      </c>
      <c r="E525" s="3187">
        <v>5.59</v>
      </c>
      <c r="F525" s="3193" t="s">
        <v>3593</v>
      </c>
    </row>
    <row r="526" spans="1:6" ht="15" thickBot="1">
      <c r="A526" s="3186">
        <v>523</v>
      </c>
      <c r="B526" s="3187" t="s">
        <v>4027</v>
      </c>
      <c r="C526" s="3187">
        <v>-1095</v>
      </c>
      <c r="D526" s="3187">
        <v>13.59</v>
      </c>
      <c r="E526" s="3187">
        <v>5.59</v>
      </c>
      <c r="F526" s="3193" t="s">
        <v>3593</v>
      </c>
    </row>
    <row r="527" spans="1:6" ht="15" thickBot="1">
      <c r="A527" s="3186">
        <v>524</v>
      </c>
      <c r="B527" s="3187" t="s">
        <v>4027</v>
      </c>
      <c r="C527" s="3187">
        <v>-1096</v>
      </c>
      <c r="D527" s="3187">
        <v>9.6300000000000008</v>
      </c>
      <c r="E527" s="3187">
        <v>3.96</v>
      </c>
      <c r="F527" s="3193" t="s">
        <v>3593</v>
      </c>
    </row>
    <row r="528" spans="1:6" ht="15" thickBot="1">
      <c r="A528" s="3186">
        <v>525</v>
      </c>
      <c r="B528" s="3187" t="s">
        <v>4027</v>
      </c>
      <c r="C528" s="3187">
        <v>-1097</v>
      </c>
      <c r="D528" s="3187">
        <v>9.6300000000000008</v>
      </c>
      <c r="E528" s="3187">
        <v>3.96</v>
      </c>
      <c r="F528" s="3193" t="s">
        <v>3593</v>
      </c>
    </row>
    <row r="529" spans="1:6" ht="15" thickBot="1">
      <c r="A529" s="3186">
        <v>526</v>
      </c>
      <c r="B529" s="3187" t="s">
        <v>4027</v>
      </c>
      <c r="C529" s="3187">
        <v>-1098</v>
      </c>
      <c r="D529" s="3187">
        <v>13.59</v>
      </c>
      <c r="E529" s="3187">
        <v>5.59</v>
      </c>
      <c r="F529" s="3193" t="s">
        <v>3593</v>
      </c>
    </row>
    <row r="530" spans="1:6" ht="15" thickBot="1">
      <c r="A530" s="3186">
        <v>527</v>
      </c>
      <c r="B530" s="3187" t="s">
        <v>4027</v>
      </c>
      <c r="C530" s="3187">
        <v>-1099</v>
      </c>
      <c r="D530" s="3187">
        <v>13.59</v>
      </c>
      <c r="E530" s="3187">
        <v>5.59</v>
      </c>
      <c r="F530" s="3193" t="s">
        <v>3593</v>
      </c>
    </row>
    <row r="531" spans="1:6" ht="15" thickBot="1">
      <c r="A531" s="3186">
        <v>528</v>
      </c>
      <c r="B531" s="3187" t="s">
        <v>4027</v>
      </c>
      <c r="C531" s="3187">
        <v>-1100</v>
      </c>
      <c r="D531" s="3187">
        <v>13.59</v>
      </c>
      <c r="E531" s="3187">
        <v>5.59</v>
      </c>
      <c r="F531" s="3193" t="s">
        <v>3593</v>
      </c>
    </row>
    <row r="532" spans="1:6" ht="15" thickBot="1">
      <c r="A532" s="3186">
        <v>529</v>
      </c>
      <c r="B532" s="3187" t="s">
        <v>4027</v>
      </c>
      <c r="C532" s="3187">
        <v>-1101</v>
      </c>
      <c r="D532" s="3187">
        <v>13.59</v>
      </c>
      <c r="E532" s="3187">
        <v>5.59</v>
      </c>
      <c r="F532" s="3193" t="s">
        <v>3593</v>
      </c>
    </row>
    <row r="533" spans="1:6" ht="15" thickBot="1">
      <c r="A533" s="3186">
        <v>530</v>
      </c>
      <c r="B533" s="3187" t="s">
        <v>4027</v>
      </c>
      <c r="C533" s="3187">
        <v>-1102</v>
      </c>
      <c r="D533" s="3187">
        <v>13.59</v>
      </c>
      <c r="E533" s="3187">
        <v>5.59</v>
      </c>
      <c r="F533" s="3193" t="s">
        <v>3593</v>
      </c>
    </row>
    <row r="534" spans="1:6" ht="15" thickBot="1">
      <c r="A534" s="3186">
        <v>531</v>
      </c>
      <c r="B534" s="3187" t="s">
        <v>4027</v>
      </c>
      <c r="C534" s="3187">
        <v>-1103</v>
      </c>
      <c r="D534" s="3187">
        <v>13.59</v>
      </c>
      <c r="E534" s="3187">
        <v>5.59</v>
      </c>
      <c r="F534" s="3193" t="s">
        <v>3593</v>
      </c>
    </row>
    <row r="535" spans="1:6" ht="15" thickBot="1">
      <c r="A535" s="3186">
        <v>532</v>
      </c>
      <c r="B535" s="3187" t="s">
        <v>4027</v>
      </c>
      <c r="C535" s="3187">
        <v>-1104</v>
      </c>
      <c r="D535" s="3187">
        <v>13.59</v>
      </c>
      <c r="E535" s="3187">
        <v>5.59</v>
      </c>
      <c r="F535" s="3193" t="s">
        <v>3593</v>
      </c>
    </row>
    <row r="536" spans="1:6" ht="15" thickBot="1">
      <c r="A536" s="3186">
        <v>533</v>
      </c>
      <c r="B536" s="3187" t="s">
        <v>4027</v>
      </c>
      <c r="C536" s="3187">
        <v>-1105</v>
      </c>
      <c r="D536" s="3187">
        <v>13.59</v>
      </c>
      <c r="E536" s="3187">
        <v>5.59</v>
      </c>
      <c r="F536" s="3193" t="s">
        <v>3593</v>
      </c>
    </row>
    <row r="537" spans="1:6" ht="15" thickBot="1">
      <c r="A537" s="3186">
        <v>534</v>
      </c>
      <c r="B537" s="3187" t="s">
        <v>4027</v>
      </c>
      <c r="C537" s="3187">
        <v>-1106</v>
      </c>
      <c r="D537" s="3187">
        <v>13.59</v>
      </c>
      <c r="E537" s="3187">
        <v>5.59</v>
      </c>
      <c r="F537" s="3193" t="s">
        <v>3593</v>
      </c>
    </row>
    <row r="538" spans="1:6" ht="15" thickBot="1">
      <c r="A538" s="3186">
        <v>535</v>
      </c>
      <c r="B538" s="3187" t="s">
        <v>4027</v>
      </c>
      <c r="C538" s="3187">
        <v>-1107</v>
      </c>
      <c r="D538" s="3187">
        <v>13.59</v>
      </c>
      <c r="E538" s="3187">
        <v>5.59</v>
      </c>
      <c r="F538" s="3193" t="s">
        <v>3593</v>
      </c>
    </row>
    <row r="539" spans="1:6" ht="15" thickBot="1">
      <c r="A539" s="3186">
        <v>536</v>
      </c>
      <c r="B539" s="3187" t="s">
        <v>4027</v>
      </c>
      <c r="C539" s="3187">
        <v>-1108</v>
      </c>
      <c r="D539" s="3187">
        <v>13.59</v>
      </c>
      <c r="E539" s="3187">
        <v>5.59</v>
      </c>
      <c r="F539" s="3193" t="s">
        <v>3593</v>
      </c>
    </row>
    <row r="540" spans="1:6" ht="15" thickBot="1">
      <c r="A540" s="3186">
        <v>537</v>
      </c>
      <c r="B540" s="3187" t="s">
        <v>4027</v>
      </c>
      <c r="C540" s="3187">
        <v>-1109</v>
      </c>
      <c r="D540" s="3187">
        <v>13.59</v>
      </c>
      <c r="E540" s="3187">
        <v>5.59</v>
      </c>
      <c r="F540" s="3193" t="s">
        <v>3593</v>
      </c>
    </row>
    <row r="541" spans="1:6" ht="15" thickBot="1">
      <c r="A541" s="3186">
        <v>538</v>
      </c>
      <c r="B541" s="3187" t="s">
        <v>4027</v>
      </c>
      <c r="C541" s="3187">
        <v>-1110</v>
      </c>
      <c r="D541" s="3187">
        <v>13.59</v>
      </c>
      <c r="E541" s="3187">
        <v>5.59</v>
      </c>
      <c r="F541" s="3193" t="s">
        <v>3593</v>
      </c>
    </row>
    <row r="542" spans="1:6" ht="15" thickBot="1">
      <c r="A542" s="3186">
        <v>539</v>
      </c>
      <c r="B542" s="3187" t="s">
        <v>4027</v>
      </c>
      <c r="C542" s="3187">
        <v>-1111</v>
      </c>
      <c r="D542" s="3187">
        <v>13.59</v>
      </c>
      <c r="E542" s="3187">
        <v>5.59</v>
      </c>
      <c r="F542" s="3193" t="s">
        <v>3593</v>
      </c>
    </row>
    <row r="543" spans="1:6" ht="15" thickBot="1">
      <c r="A543" s="3186">
        <v>540</v>
      </c>
      <c r="B543" s="3187" t="s">
        <v>4027</v>
      </c>
      <c r="C543" s="3187">
        <v>-1112</v>
      </c>
      <c r="D543" s="3187">
        <v>20.38</v>
      </c>
      <c r="E543" s="3187">
        <v>8.39</v>
      </c>
      <c r="F543" s="3193" t="s">
        <v>3593</v>
      </c>
    </row>
    <row r="544" spans="1:6" ht="15" thickBot="1">
      <c r="A544" s="3186">
        <v>541</v>
      </c>
      <c r="B544" s="3187" t="s">
        <v>4027</v>
      </c>
      <c r="C544" s="3187">
        <v>-1113</v>
      </c>
      <c r="D544" s="3187">
        <v>13.59</v>
      </c>
      <c r="E544" s="3187">
        <v>5.59</v>
      </c>
      <c r="F544" s="3193" t="s">
        <v>3593</v>
      </c>
    </row>
    <row r="545" spans="1:6" ht="15" thickBot="1">
      <c r="A545" s="3186">
        <v>542</v>
      </c>
      <c r="B545" s="3187" t="s">
        <v>4027</v>
      </c>
      <c r="C545" s="3187">
        <v>-1114</v>
      </c>
      <c r="D545" s="3187">
        <v>13.59</v>
      </c>
      <c r="E545" s="3187">
        <v>5.59</v>
      </c>
      <c r="F545" s="3193" t="s">
        <v>3593</v>
      </c>
    </row>
    <row r="546" spans="1:6" ht="15" thickBot="1">
      <c r="A546" s="3186">
        <v>543</v>
      </c>
      <c r="B546" s="3187" t="s">
        <v>4027</v>
      </c>
      <c r="C546" s="3187">
        <v>-1115</v>
      </c>
      <c r="D546" s="3187">
        <v>13.59</v>
      </c>
      <c r="E546" s="3187">
        <v>5.59</v>
      </c>
      <c r="F546" s="3193" t="s">
        <v>3593</v>
      </c>
    </row>
    <row r="547" spans="1:6" ht="15" thickBot="1">
      <c r="A547" s="3186">
        <v>544</v>
      </c>
      <c r="B547" s="3187" t="s">
        <v>4027</v>
      </c>
      <c r="C547" s="3187">
        <v>-1116</v>
      </c>
      <c r="D547" s="3187">
        <v>13.59</v>
      </c>
      <c r="E547" s="3187">
        <v>5.59</v>
      </c>
      <c r="F547" s="3193" t="s">
        <v>3593</v>
      </c>
    </row>
    <row r="548" spans="1:6" ht="15" thickBot="1">
      <c r="A548" s="3186">
        <v>545</v>
      </c>
      <c r="B548" s="3187" t="s">
        <v>4027</v>
      </c>
      <c r="C548" s="3187">
        <v>-1117</v>
      </c>
      <c r="D548" s="3187">
        <v>13.59</v>
      </c>
      <c r="E548" s="3187">
        <v>5.59</v>
      </c>
      <c r="F548" s="3193" t="s">
        <v>3593</v>
      </c>
    </row>
    <row r="549" spans="1:6" ht="15" thickBot="1">
      <c r="A549" s="3186">
        <v>546</v>
      </c>
      <c r="B549" s="3187" t="s">
        <v>4027</v>
      </c>
      <c r="C549" s="3187">
        <v>-1118</v>
      </c>
      <c r="D549" s="3187">
        <v>13.59</v>
      </c>
      <c r="E549" s="3187">
        <v>5.59</v>
      </c>
      <c r="F549" s="3193" t="s">
        <v>3593</v>
      </c>
    </row>
    <row r="550" spans="1:6" ht="15" thickBot="1">
      <c r="A550" s="3186">
        <v>547</v>
      </c>
      <c r="B550" s="3187" t="s">
        <v>4027</v>
      </c>
      <c r="C550" s="3187">
        <v>-1119</v>
      </c>
      <c r="D550" s="3187">
        <v>13.59</v>
      </c>
      <c r="E550" s="3187">
        <v>5.59</v>
      </c>
      <c r="F550" s="3193" t="s">
        <v>3593</v>
      </c>
    </row>
    <row r="551" spans="1:6" ht="15" thickBot="1">
      <c r="A551" s="3186">
        <v>548</v>
      </c>
      <c r="B551" s="3187" t="s">
        <v>4027</v>
      </c>
      <c r="C551" s="3187">
        <v>-1120</v>
      </c>
      <c r="D551" s="3187">
        <v>13.59</v>
      </c>
      <c r="E551" s="3187">
        <v>5.59</v>
      </c>
      <c r="F551" s="3193" t="s">
        <v>3593</v>
      </c>
    </row>
    <row r="552" spans="1:6" ht="15" thickBot="1">
      <c r="A552" s="3186">
        <v>549</v>
      </c>
      <c r="B552" s="3187" t="s">
        <v>4027</v>
      </c>
      <c r="C552" s="3187">
        <v>-1121</v>
      </c>
      <c r="D552" s="3187">
        <v>13.59</v>
      </c>
      <c r="E552" s="3187">
        <v>5.59</v>
      </c>
      <c r="F552" s="3193" t="s">
        <v>3593</v>
      </c>
    </row>
    <row r="553" spans="1:6" ht="15" thickBot="1">
      <c r="A553" s="3186">
        <v>550</v>
      </c>
      <c r="B553" s="3187" t="s">
        <v>4027</v>
      </c>
      <c r="C553" s="3187">
        <v>-1122</v>
      </c>
      <c r="D553" s="3187">
        <v>13.59</v>
      </c>
      <c r="E553" s="3187">
        <v>5.59</v>
      </c>
      <c r="F553" s="3193" t="s">
        <v>3593</v>
      </c>
    </row>
    <row r="554" spans="1:6" ht="15" thickBot="1">
      <c r="A554" s="3186">
        <v>551</v>
      </c>
      <c r="B554" s="3187" t="s">
        <v>4027</v>
      </c>
      <c r="C554" s="3187">
        <v>-1123</v>
      </c>
      <c r="D554" s="3187">
        <v>13.59</v>
      </c>
      <c r="E554" s="3187">
        <v>5.59</v>
      </c>
      <c r="F554" s="3193" t="s">
        <v>3593</v>
      </c>
    </row>
    <row r="555" spans="1:6" ht="15" thickBot="1">
      <c r="A555" s="3186">
        <v>552</v>
      </c>
      <c r="B555" s="3187" t="s">
        <v>4027</v>
      </c>
      <c r="C555" s="3187">
        <v>-1124</v>
      </c>
      <c r="D555" s="3187">
        <v>13.59</v>
      </c>
      <c r="E555" s="3187">
        <v>5.59</v>
      </c>
      <c r="F555" s="3193" t="s">
        <v>3593</v>
      </c>
    </row>
    <row r="556" spans="1:6" ht="15" thickBot="1">
      <c r="A556" s="3186">
        <v>553</v>
      </c>
      <c r="B556" s="3187" t="s">
        <v>4027</v>
      </c>
      <c r="C556" s="3187">
        <v>-1125</v>
      </c>
      <c r="D556" s="3187">
        <v>13.59</v>
      </c>
      <c r="E556" s="3187">
        <v>5.59</v>
      </c>
      <c r="F556" s="3193" t="s">
        <v>3593</v>
      </c>
    </row>
    <row r="557" spans="1:6" ht="15" thickBot="1">
      <c r="A557" s="3186">
        <v>554</v>
      </c>
      <c r="B557" s="3187" t="s">
        <v>4027</v>
      </c>
      <c r="C557" s="3187">
        <v>-1126</v>
      </c>
      <c r="D557" s="3187">
        <v>13.59</v>
      </c>
      <c r="E557" s="3187">
        <v>5.59</v>
      </c>
      <c r="F557" s="3193" t="s">
        <v>3593</v>
      </c>
    </row>
    <row r="558" spans="1:6" ht="15" thickBot="1">
      <c r="A558" s="3186">
        <v>555</v>
      </c>
      <c r="B558" s="3187" t="s">
        <v>4027</v>
      </c>
      <c r="C558" s="3187">
        <v>-1127</v>
      </c>
      <c r="D558" s="3187">
        <v>13.59</v>
      </c>
      <c r="E558" s="3187">
        <v>5.59</v>
      </c>
      <c r="F558" s="3193" t="s">
        <v>3593</v>
      </c>
    </row>
    <row r="559" spans="1:6" ht="15" thickBot="1">
      <c r="A559" s="3186">
        <v>556</v>
      </c>
      <c r="B559" s="3187" t="s">
        <v>4027</v>
      </c>
      <c r="C559" s="3187">
        <v>-1128</v>
      </c>
      <c r="D559" s="3187">
        <v>13.59</v>
      </c>
      <c r="E559" s="3187">
        <v>5.59</v>
      </c>
      <c r="F559" s="3193" t="s">
        <v>3593</v>
      </c>
    </row>
    <row r="560" spans="1:6" ht="15" thickBot="1">
      <c r="A560" s="3186">
        <v>557</v>
      </c>
      <c r="B560" s="3187" t="s">
        <v>4027</v>
      </c>
      <c r="C560" s="3187">
        <v>-1129</v>
      </c>
      <c r="D560" s="3187">
        <v>13.59</v>
      </c>
      <c r="E560" s="3187">
        <v>5.59</v>
      </c>
      <c r="F560" s="3193" t="s">
        <v>3593</v>
      </c>
    </row>
    <row r="561" spans="1:6" ht="15" thickBot="1">
      <c r="A561" s="3186">
        <v>558</v>
      </c>
      <c r="B561" s="3187" t="s">
        <v>4027</v>
      </c>
      <c r="C561" s="3187">
        <v>-1130</v>
      </c>
      <c r="D561" s="3187">
        <v>20.38</v>
      </c>
      <c r="E561" s="3187">
        <v>8.39</v>
      </c>
      <c r="F561" s="3193" t="s">
        <v>3593</v>
      </c>
    </row>
    <row r="562" spans="1:6" ht="15" thickBot="1">
      <c r="A562" s="3186">
        <v>559</v>
      </c>
      <c r="B562" s="3187" t="s">
        <v>4027</v>
      </c>
      <c r="C562" s="3187">
        <v>-1131</v>
      </c>
      <c r="D562" s="3187">
        <v>13.59</v>
      </c>
      <c r="E562" s="3187">
        <v>5.59</v>
      </c>
      <c r="F562" s="3193" t="s">
        <v>3593</v>
      </c>
    </row>
    <row r="563" spans="1:6" ht="15" thickBot="1">
      <c r="A563" s="3186">
        <v>560</v>
      </c>
      <c r="B563" s="3187" t="s">
        <v>4027</v>
      </c>
      <c r="C563" s="3187">
        <v>-1132</v>
      </c>
      <c r="D563" s="3187">
        <v>13.59</v>
      </c>
      <c r="E563" s="3187">
        <v>5.59</v>
      </c>
      <c r="F563" s="3193" t="s">
        <v>3593</v>
      </c>
    </row>
    <row r="564" spans="1:6" ht="15" thickBot="1">
      <c r="A564" s="3186">
        <v>561</v>
      </c>
      <c r="B564" s="3187" t="s">
        <v>4027</v>
      </c>
      <c r="C564" s="3187">
        <v>-1133</v>
      </c>
      <c r="D564" s="3187">
        <v>13.59</v>
      </c>
      <c r="E564" s="3187">
        <v>5.59</v>
      </c>
      <c r="F564" s="3193" t="s">
        <v>3593</v>
      </c>
    </row>
    <row r="565" spans="1:6" ht="15" thickBot="1">
      <c r="A565" s="3186">
        <v>562</v>
      </c>
      <c r="B565" s="3187" t="s">
        <v>4027</v>
      </c>
      <c r="C565" s="3187">
        <v>-1134</v>
      </c>
      <c r="D565" s="3187">
        <v>13.59</v>
      </c>
      <c r="E565" s="3187">
        <v>5.59</v>
      </c>
      <c r="F565" s="3193" t="s">
        <v>3593</v>
      </c>
    </row>
    <row r="566" spans="1:6" ht="15" thickBot="1">
      <c r="A566" s="3186">
        <v>563</v>
      </c>
      <c r="B566" s="3187" t="s">
        <v>4027</v>
      </c>
      <c r="C566" s="3187">
        <v>-1135</v>
      </c>
      <c r="D566" s="3187">
        <v>13.59</v>
      </c>
      <c r="E566" s="3187">
        <v>5.59</v>
      </c>
      <c r="F566" s="3193" t="s">
        <v>3593</v>
      </c>
    </row>
    <row r="567" spans="1:6" ht="15" thickBot="1">
      <c r="A567" s="3186">
        <v>564</v>
      </c>
      <c r="B567" s="3187" t="s">
        <v>4027</v>
      </c>
      <c r="C567" s="3187">
        <v>-1136</v>
      </c>
      <c r="D567" s="3187">
        <v>13.59</v>
      </c>
      <c r="E567" s="3187">
        <v>5.59</v>
      </c>
      <c r="F567" s="3193" t="s">
        <v>3593</v>
      </c>
    </row>
    <row r="568" spans="1:6" ht="15" thickBot="1">
      <c r="A568" s="3186">
        <v>565</v>
      </c>
      <c r="B568" s="3187" t="s">
        <v>4027</v>
      </c>
      <c r="C568" s="3187">
        <v>-1137</v>
      </c>
      <c r="D568" s="3187">
        <v>13.59</v>
      </c>
      <c r="E568" s="3187">
        <v>5.59</v>
      </c>
      <c r="F568" s="3193" t="s">
        <v>3593</v>
      </c>
    </row>
    <row r="569" spans="1:6" ht="15" thickBot="1">
      <c r="A569" s="3186">
        <v>566</v>
      </c>
      <c r="B569" s="3187" t="s">
        <v>4027</v>
      </c>
      <c r="C569" s="3187">
        <v>-1138</v>
      </c>
      <c r="D569" s="3187">
        <v>13.59</v>
      </c>
      <c r="E569" s="3187">
        <v>5.59</v>
      </c>
      <c r="F569" s="3193" t="s">
        <v>3593</v>
      </c>
    </row>
    <row r="570" spans="1:6" ht="15" thickBot="1">
      <c r="A570" s="3186">
        <v>567</v>
      </c>
      <c r="B570" s="3187" t="s">
        <v>4027</v>
      </c>
      <c r="C570" s="3187">
        <v>-1139</v>
      </c>
      <c r="D570" s="3187">
        <v>13.59</v>
      </c>
      <c r="E570" s="3187">
        <v>5.59</v>
      </c>
      <c r="F570" s="3193" t="s">
        <v>3593</v>
      </c>
    </row>
    <row r="571" spans="1:6" ht="15" thickBot="1">
      <c r="A571" s="3186">
        <v>568</v>
      </c>
      <c r="B571" s="3187" t="s">
        <v>4027</v>
      </c>
      <c r="C571" s="3187">
        <v>-1140</v>
      </c>
      <c r="D571" s="3187">
        <v>13.59</v>
      </c>
      <c r="E571" s="3187">
        <v>5.59</v>
      </c>
      <c r="F571" s="3193" t="s">
        <v>3593</v>
      </c>
    </row>
    <row r="572" spans="1:6" ht="15" thickBot="1">
      <c r="A572" s="3186">
        <v>569</v>
      </c>
      <c r="B572" s="3187" t="s">
        <v>4027</v>
      </c>
      <c r="C572" s="3187">
        <v>-1141</v>
      </c>
      <c r="D572" s="3187">
        <v>13.59</v>
      </c>
      <c r="E572" s="3187">
        <v>5.59</v>
      </c>
      <c r="F572" s="3193" t="s">
        <v>3593</v>
      </c>
    </row>
    <row r="573" spans="1:6" ht="15" thickBot="1">
      <c r="A573" s="3186">
        <v>570</v>
      </c>
      <c r="B573" s="3187" t="s">
        <v>4027</v>
      </c>
      <c r="C573" s="3187">
        <v>-1142</v>
      </c>
      <c r="D573" s="3187">
        <v>13.59</v>
      </c>
      <c r="E573" s="3187">
        <v>5.59</v>
      </c>
      <c r="F573" s="3193" t="s">
        <v>3593</v>
      </c>
    </row>
    <row r="574" spans="1:6" ht="15" thickBot="1">
      <c r="A574" s="3186">
        <v>571</v>
      </c>
      <c r="B574" s="3187" t="s">
        <v>4027</v>
      </c>
      <c r="C574" s="3187">
        <v>-1143</v>
      </c>
      <c r="D574" s="3187">
        <v>13.59</v>
      </c>
      <c r="E574" s="3187">
        <v>5.59</v>
      </c>
      <c r="F574" s="3193" t="s">
        <v>3593</v>
      </c>
    </row>
    <row r="575" spans="1:6" ht="15" thickBot="1">
      <c r="A575" s="3186">
        <v>572</v>
      </c>
      <c r="B575" s="3187" t="s">
        <v>4027</v>
      </c>
      <c r="C575" s="3187">
        <v>-1144</v>
      </c>
      <c r="D575" s="3187">
        <v>20.38</v>
      </c>
      <c r="E575" s="3187">
        <v>8.39</v>
      </c>
      <c r="F575" s="3193" t="s">
        <v>3593</v>
      </c>
    </row>
    <row r="576" spans="1:6" ht="15" thickBot="1">
      <c r="A576" s="3186">
        <v>573</v>
      </c>
      <c r="B576" s="3187" t="s">
        <v>4027</v>
      </c>
      <c r="C576" s="3187">
        <v>-1145</v>
      </c>
      <c r="D576" s="3187">
        <v>13.59</v>
      </c>
      <c r="E576" s="3187">
        <v>5.59</v>
      </c>
      <c r="F576" s="3193" t="s">
        <v>3593</v>
      </c>
    </row>
    <row r="577" spans="1:6" ht="15" thickBot="1">
      <c r="A577" s="3186">
        <v>574</v>
      </c>
      <c r="B577" s="3187" t="s">
        <v>4027</v>
      </c>
      <c r="C577" s="3187">
        <v>-1146</v>
      </c>
      <c r="D577" s="3187">
        <v>13.59</v>
      </c>
      <c r="E577" s="3187">
        <v>5.59</v>
      </c>
      <c r="F577" s="3193" t="s">
        <v>3593</v>
      </c>
    </row>
    <row r="578" spans="1:6" ht="15" thickBot="1">
      <c r="A578" s="3186">
        <v>575</v>
      </c>
      <c r="B578" s="3187" t="s">
        <v>4027</v>
      </c>
      <c r="C578" s="3187">
        <v>-1147</v>
      </c>
      <c r="D578" s="3187">
        <v>13.59</v>
      </c>
      <c r="E578" s="3187">
        <v>5.59</v>
      </c>
      <c r="F578" s="3193" t="s">
        <v>3593</v>
      </c>
    </row>
    <row r="579" spans="1:6" ht="15" thickBot="1">
      <c r="A579" s="3186">
        <v>576</v>
      </c>
      <c r="B579" s="3187" t="s">
        <v>4027</v>
      </c>
      <c r="C579" s="3187">
        <v>-1148</v>
      </c>
      <c r="D579" s="3187">
        <v>13.59</v>
      </c>
      <c r="E579" s="3187">
        <v>5.59</v>
      </c>
      <c r="F579" s="3193" t="s">
        <v>3593</v>
      </c>
    </row>
    <row r="580" spans="1:6" ht="15" thickBot="1">
      <c r="A580" s="3186">
        <v>577</v>
      </c>
      <c r="B580" s="3187" t="s">
        <v>4027</v>
      </c>
      <c r="C580" s="3187">
        <v>-1149</v>
      </c>
      <c r="D580" s="3187">
        <v>13.59</v>
      </c>
      <c r="E580" s="3187">
        <v>5.59</v>
      </c>
      <c r="F580" s="3193" t="s">
        <v>3593</v>
      </c>
    </row>
    <row r="581" spans="1:6" ht="15" thickBot="1">
      <c r="A581" s="3186">
        <v>578</v>
      </c>
      <c r="B581" s="3187" t="s">
        <v>4027</v>
      </c>
      <c r="C581" s="3187">
        <v>-1150</v>
      </c>
      <c r="D581" s="3187">
        <v>20.38</v>
      </c>
      <c r="E581" s="3187">
        <v>8.39</v>
      </c>
      <c r="F581" s="3193" t="s">
        <v>3593</v>
      </c>
    </row>
    <row r="582" spans="1:6" ht="15" thickBot="1">
      <c r="A582" s="3186">
        <v>579</v>
      </c>
      <c r="B582" s="3187" t="s">
        <v>4027</v>
      </c>
      <c r="C582" s="3187">
        <v>-1151</v>
      </c>
      <c r="D582" s="3187">
        <v>13.59</v>
      </c>
      <c r="E582" s="3187">
        <v>5.59</v>
      </c>
      <c r="F582" s="3193" t="s">
        <v>3593</v>
      </c>
    </row>
    <row r="583" spans="1:6" ht="15" thickBot="1">
      <c r="A583" s="3186">
        <v>580</v>
      </c>
      <c r="B583" s="3187" t="s">
        <v>4027</v>
      </c>
      <c r="C583" s="3187">
        <v>-1152</v>
      </c>
      <c r="D583" s="3187">
        <v>9.6300000000000008</v>
      </c>
      <c r="E583" s="3187">
        <v>3.96</v>
      </c>
      <c r="F583" s="3193" t="s">
        <v>3593</v>
      </c>
    </row>
    <row r="584" spans="1:6" ht="15" thickBot="1">
      <c r="A584" s="3186">
        <v>581</v>
      </c>
      <c r="B584" s="3187" t="s">
        <v>4027</v>
      </c>
      <c r="C584" s="3187">
        <v>-1153</v>
      </c>
      <c r="D584" s="3187">
        <v>9.6300000000000008</v>
      </c>
      <c r="E584" s="3187">
        <v>3.96</v>
      </c>
      <c r="F584" s="3193" t="s">
        <v>3593</v>
      </c>
    </row>
    <row r="585" spans="1:6" ht="15" thickBot="1">
      <c r="A585" s="3186">
        <v>582</v>
      </c>
      <c r="B585" s="3187" t="s">
        <v>4027</v>
      </c>
      <c r="C585" s="3187">
        <v>-1154</v>
      </c>
      <c r="D585" s="3187">
        <v>13.59</v>
      </c>
      <c r="E585" s="3187">
        <v>5.59</v>
      </c>
      <c r="F585" s="3193" t="s">
        <v>3593</v>
      </c>
    </row>
    <row r="586" spans="1:6" ht="15" thickBot="1">
      <c r="A586" s="3186">
        <v>583</v>
      </c>
      <c r="B586" s="3187" t="s">
        <v>4027</v>
      </c>
      <c r="C586" s="3187">
        <v>-1155</v>
      </c>
      <c r="D586" s="3187">
        <v>13.59</v>
      </c>
      <c r="E586" s="3187">
        <v>5.59</v>
      </c>
      <c r="F586" s="3193" t="s">
        <v>3593</v>
      </c>
    </row>
    <row r="587" spans="1:6" ht="15" thickBot="1">
      <c r="A587" s="3186">
        <v>584</v>
      </c>
      <c r="B587" s="3187" t="s">
        <v>4027</v>
      </c>
      <c r="C587" s="3187">
        <v>-1156</v>
      </c>
      <c r="D587" s="3187">
        <v>13.59</v>
      </c>
      <c r="E587" s="3187">
        <v>5.59</v>
      </c>
      <c r="F587" s="3193" t="s">
        <v>3593</v>
      </c>
    </row>
    <row r="588" spans="1:6" ht="15" thickBot="1">
      <c r="A588" s="3186">
        <v>585</v>
      </c>
      <c r="B588" s="3187" t="s">
        <v>4027</v>
      </c>
      <c r="C588" s="3187">
        <v>-1157</v>
      </c>
      <c r="D588" s="3187">
        <v>13.59</v>
      </c>
      <c r="E588" s="3187">
        <v>5.59</v>
      </c>
      <c r="F588" s="3193" t="s">
        <v>3593</v>
      </c>
    </row>
    <row r="589" spans="1:6" ht="15" thickBot="1">
      <c r="A589" s="3186">
        <v>586</v>
      </c>
      <c r="B589" s="3187" t="s">
        <v>4027</v>
      </c>
      <c r="C589" s="3187">
        <v>-1158</v>
      </c>
      <c r="D589" s="3187">
        <v>13.59</v>
      </c>
      <c r="E589" s="3187">
        <v>5.59</v>
      </c>
      <c r="F589" s="3193" t="s">
        <v>3593</v>
      </c>
    </row>
    <row r="590" spans="1:6" ht="15" thickBot="1">
      <c r="A590" s="3186">
        <v>587</v>
      </c>
      <c r="B590" s="3187" t="s">
        <v>4027</v>
      </c>
      <c r="C590" s="3187">
        <v>-1159</v>
      </c>
      <c r="D590" s="3187">
        <v>13.59</v>
      </c>
      <c r="E590" s="3187">
        <v>5.59</v>
      </c>
      <c r="F590" s="3193" t="s">
        <v>3593</v>
      </c>
    </row>
    <row r="591" spans="1:6" ht="15" thickBot="1">
      <c r="A591" s="3186">
        <v>588</v>
      </c>
      <c r="B591" s="3187" t="s">
        <v>4027</v>
      </c>
      <c r="C591" s="3187">
        <v>-1160</v>
      </c>
      <c r="D591" s="3187">
        <v>13.59</v>
      </c>
      <c r="E591" s="3187">
        <v>5.59</v>
      </c>
      <c r="F591" s="3193" t="s">
        <v>3593</v>
      </c>
    </row>
    <row r="592" spans="1:6" ht="15" thickBot="1">
      <c r="A592" s="3186">
        <v>589</v>
      </c>
      <c r="B592" s="3187" t="s">
        <v>4027</v>
      </c>
      <c r="C592" s="3187">
        <v>-1161</v>
      </c>
      <c r="D592" s="3187">
        <v>13.59</v>
      </c>
      <c r="E592" s="3187">
        <v>5.59</v>
      </c>
      <c r="F592" s="3193" t="s">
        <v>3593</v>
      </c>
    </row>
    <row r="593" spans="1:6" ht="15" thickBot="1">
      <c r="A593" s="3186">
        <v>590</v>
      </c>
      <c r="B593" s="3187" t="s">
        <v>4027</v>
      </c>
      <c r="C593" s="3187">
        <v>-1162</v>
      </c>
      <c r="D593" s="3187">
        <v>13.59</v>
      </c>
      <c r="E593" s="3187">
        <v>5.59</v>
      </c>
      <c r="F593" s="3193" t="s">
        <v>3593</v>
      </c>
    </row>
    <row r="594" spans="1:6" ht="15" thickBot="1">
      <c r="A594" s="3186">
        <v>591</v>
      </c>
      <c r="B594" s="3187" t="s">
        <v>4027</v>
      </c>
      <c r="C594" s="3187">
        <v>-1163</v>
      </c>
      <c r="D594" s="3187">
        <v>13.59</v>
      </c>
      <c r="E594" s="3187">
        <v>5.59</v>
      </c>
      <c r="F594" s="3193" t="s">
        <v>3593</v>
      </c>
    </row>
    <row r="595" spans="1:6" ht="15" thickBot="1">
      <c r="A595" s="3186">
        <v>592</v>
      </c>
      <c r="B595" s="3187" t="s">
        <v>4027</v>
      </c>
      <c r="C595" s="3187">
        <v>-1164</v>
      </c>
      <c r="D595" s="3187">
        <v>13.59</v>
      </c>
      <c r="E595" s="3187">
        <v>5.59</v>
      </c>
      <c r="F595" s="3193" t="s">
        <v>3593</v>
      </c>
    </row>
    <row r="596" spans="1:6" ht="15" thickBot="1">
      <c r="A596" s="3186">
        <v>593</v>
      </c>
      <c r="B596" s="3187" t="s">
        <v>4027</v>
      </c>
      <c r="C596" s="3187">
        <v>-1165</v>
      </c>
      <c r="D596" s="3187">
        <v>13.59</v>
      </c>
      <c r="E596" s="3187">
        <v>5.59</v>
      </c>
      <c r="F596" s="3193" t="s">
        <v>3593</v>
      </c>
    </row>
    <row r="597" spans="1:6" ht="15" thickBot="1">
      <c r="A597" s="3186">
        <v>594</v>
      </c>
      <c r="B597" s="3187" t="s">
        <v>4027</v>
      </c>
      <c r="C597" s="3187">
        <v>-1166</v>
      </c>
      <c r="D597" s="3187">
        <v>42.3</v>
      </c>
      <c r="E597" s="3187">
        <v>17.420000000000002</v>
      </c>
      <c r="F597" s="3193" t="s">
        <v>3594</v>
      </c>
    </row>
    <row r="598" spans="1:6" ht="15" thickBot="1">
      <c r="A598" s="3186">
        <v>595</v>
      </c>
      <c r="B598" s="3187" t="s">
        <v>4027</v>
      </c>
      <c r="C598" s="3187">
        <v>-1167</v>
      </c>
      <c r="D598" s="3187">
        <v>42.3</v>
      </c>
      <c r="E598" s="3187">
        <v>17.420000000000002</v>
      </c>
      <c r="F598" s="3193" t="s">
        <v>3594</v>
      </c>
    </row>
    <row r="599" spans="1:6" ht="15" thickBot="1">
      <c r="A599" s="3186">
        <v>596</v>
      </c>
      <c r="B599" s="3187" t="s">
        <v>4027</v>
      </c>
      <c r="C599" s="3187">
        <v>-1168</v>
      </c>
      <c r="D599" s="3187">
        <v>42.3</v>
      </c>
      <c r="E599" s="3187">
        <v>17.420000000000002</v>
      </c>
      <c r="F599" s="3193" t="s">
        <v>3594</v>
      </c>
    </row>
    <row r="600" spans="1:6" ht="15" thickBot="1">
      <c r="A600" s="3186">
        <v>597</v>
      </c>
      <c r="B600" s="3187" t="s">
        <v>4027</v>
      </c>
      <c r="C600" s="3187">
        <v>-1169</v>
      </c>
      <c r="D600" s="3187">
        <v>42.3</v>
      </c>
      <c r="E600" s="3187">
        <v>17.420000000000002</v>
      </c>
      <c r="F600" s="3193" t="s">
        <v>3594</v>
      </c>
    </row>
    <row r="601" spans="1:6" ht="15" thickBot="1">
      <c r="A601" s="3186">
        <v>598</v>
      </c>
      <c r="B601" s="3187" t="s">
        <v>4027</v>
      </c>
      <c r="C601" s="3187">
        <v>-1170</v>
      </c>
      <c r="D601" s="3187">
        <v>42.3</v>
      </c>
      <c r="E601" s="3187">
        <v>17.420000000000002</v>
      </c>
      <c r="F601" s="3193" t="s">
        <v>3594</v>
      </c>
    </row>
    <row r="602" spans="1:6" ht="15" thickBot="1">
      <c r="A602" s="3186">
        <v>599</v>
      </c>
      <c r="B602" s="3187" t="s">
        <v>4027</v>
      </c>
      <c r="C602" s="3187">
        <v>-1171</v>
      </c>
      <c r="D602" s="3187">
        <v>42.3</v>
      </c>
      <c r="E602" s="3187">
        <v>17.420000000000002</v>
      </c>
      <c r="F602" s="3193" t="s">
        <v>3594</v>
      </c>
    </row>
    <row r="603" spans="1:6" ht="15" thickBot="1">
      <c r="A603" s="3186">
        <v>600</v>
      </c>
      <c r="B603" s="3187" t="s">
        <v>4027</v>
      </c>
      <c r="C603" s="3187">
        <v>-1172</v>
      </c>
      <c r="D603" s="3187">
        <v>13.59</v>
      </c>
      <c r="E603" s="3187">
        <v>5.59</v>
      </c>
      <c r="F603" s="3193" t="s">
        <v>3593</v>
      </c>
    </row>
    <row r="604" spans="1:6" ht="15" thickBot="1">
      <c r="A604" s="3186">
        <v>601</v>
      </c>
      <c r="B604" s="3187" t="s">
        <v>4027</v>
      </c>
      <c r="C604" s="3187">
        <v>-1173</v>
      </c>
      <c r="D604" s="3187">
        <v>13.59</v>
      </c>
      <c r="E604" s="3187">
        <v>5.59</v>
      </c>
      <c r="F604" s="3193" t="s">
        <v>3593</v>
      </c>
    </row>
    <row r="605" spans="1:6" ht="15" thickBot="1">
      <c r="A605" s="3186">
        <v>602</v>
      </c>
      <c r="B605" s="3187" t="s">
        <v>4027</v>
      </c>
      <c r="C605" s="3187">
        <v>-1174</v>
      </c>
      <c r="D605" s="3187">
        <v>20.38</v>
      </c>
      <c r="E605" s="3187">
        <v>8.39</v>
      </c>
      <c r="F605" s="3193" t="s">
        <v>3593</v>
      </c>
    </row>
    <row r="606" spans="1:6" ht="15" thickBot="1">
      <c r="A606" s="3186">
        <v>603</v>
      </c>
      <c r="B606" s="3187" t="s">
        <v>4027</v>
      </c>
      <c r="C606" s="3187">
        <v>-1175</v>
      </c>
      <c r="D606" s="3187">
        <v>13.59</v>
      </c>
      <c r="E606" s="3187">
        <v>5.59</v>
      </c>
      <c r="F606" s="3193" t="s">
        <v>3593</v>
      </c>
    </row>
    <row r="607" spans="1:6" ht="15" thickBot="1">
      <c r="A607" s="3186">
        <v>604</v>
      </c>
      <c r="B607" s="3187" t="s">
        <v>4027</v>
      </c>
      <c r="C607" s="3187">
        <v>-1176</v>
      </c>
      <c r="D607" s="3187">
        <v>30.98</v>
      </c>
      <c r="E607" s="3187">
        <v>12.75</v>
      </c>
      <c r="F607" s="3193" t="s">
        <v>3594</v>
      </c>
    </row>
    <row r="608" spans="1:6" ht="15" thickBot="1">
      <c r="A608" s="3186">
        <v>605</v>
      </c>
      <c r="B608" s="3187" t="s">
        <v>4027</v>
      </c>
      <c r="C608" s="3187">
        <v>-1177</v>
      </c>
      <c r="D608" s="3187">
        <v>13.59</v>
      </c>
      <c r="E608" s="3187">
        <v>5.59</v>
      </c>
      <c r="F608" s="3193" t="s">
        <v>3593</v>
      </c>
    </row>
    <row r="609" spans="1:6" ht="15" thickBot="1">
      <c r="A609" s="3186">
        <v>606</v>
      </c>
      <c r="B609" s="3187" t="s">
        <v>4027</v>
      </c>
      <c r="C609" s="3187">
        <v>-1178</v>
      </c>
      <c r="D609" s="3187">
        <v>92.93</v>
      </c>
      <c r="E609" s="3187">
        <v>38.28</v>
      </c>
      <c r="F609" s="3193" t="s">
        <v>3594</v>
      </c>
    </row>
    <row r="610" spans="1:6" ht="15" thickBot="1">
      <c r="A610" s="3186">
        <v>607</v>
      </c>
      <c r="B610" s="3187" t="s">
        <v>4027</v>
      </c>
      <c r="C610" s="3187">
        <v>-1179</v>
      </c>
      <c r="D610" s="3187">
        <v>13.59</v>
      </c>
      <c r="E610" s="3187">
        <v>5.59</v>
      </c>
      <c r="F610" s="3193" t="s">
        <v>3593</v>
      </c>
    </row>
    <row r="611" spans="1:6" ht="15" thickBot="1">
      <c r="A611" s="3186">
        <v>608</v>
      </c>
      <c r="B611" s="3187" t="s">
        <v>4027</v>
      </c>
      <c r="C611" s="3187">
        <v>-1180</v>
      </c>
      <c r="D611" s="3187">
        <v>13.59</v>
      </c>
      <c r="E611" s="3187">
        <v>5.59</v>
      </c>
      <c r="F611" s="3193" t="s">
        <v>3593</v>
      </c>
    </row>
    <row r="612" spans="1:6" ht="15" thickBot="1">
      <c r="A612" s="3186">
        <v>609</v>
      </c>
      <c r="B612" s="3187" t="s">
        <v>4027</v>
      </c>
      <c r="C612" s="3187">
        <v>-1181</v>
      </c>
      <c r="D612" s="3187">
        <v>13.59</v>
      </c>
      <c r="E612" s="3187">
        <v>5.59</v>
      </c>
      <c r="F612" s="3193" t="s">
        <v>3593</v>
      </c>
    </row>
    <row r="613" spans="1:6" ht="15" thickBot="1">
      <c r="A613" s="3186">
        <v>610</v>
      </c>
      <c r="B613" s="3187" t="s">
        <v>4027</v>
      </c>
      <c r="C613" s="3187">
        <v>-1182</v>
      </c>
      <c r="D613" s="3187">
        <v>13.59</v>
      </c>
      <c r="E613" s="3187">
        <v>5.59</v>
      </c>
      <c r="F613" s="3193" t="s">
        <v>3593</v>
      </c>
    </row>
    <row r="614" spans="1:6" ht="15" thickBot="1">
      <c r="A614" s="3186">
        <v>611</v>
      </c>
      <c r="B614" s="3187" t="s">
        <v>4027</v>
      </c>
      <c r="C614" s="3187">
        <v>-1183</v>
      </c>
      <c r="D614" s="3187">
        <v>13.59</v>
      </c>
      <c r="E614" s="3187">
        <v>5.59</v>
      </c>
      <c r="F614" s="3193" t="s">
        <v>3593</v>
      </c>
    </row>
    <row r="615" spans="1:6" ht="15" thickBot="1">
      <c r="A615" s="3186">
        <v>612</v>
      </c>
      <c r="B615" s="3187" t="s">
        <v>4027</v>
      </c>
      <c r="C615" s="3187">
        <v>-1184</v>
      </c>
      <c r="D615" s="3187">
        <v>13.59</v>
      </c>
      <c r="E615" s="3187">
        <v>5.59</v>
      </c>
      <c r="F615" s="3193" t="s">
        <v>3593</v>
      </c>
    </row>
    <row r="616" spans="1:6" ht="15" thickBot="1">
      <c r="A616" s="3186">
        <v>613</v>
      </c>
      <c r="B616" s="3187" t="s">
        <v>4027</v>
      </c>
      <c r="C616" s="3187">
        <v>-1185</v>
      </c>
      <c r="D616" s="3187">
        <v>13.59</v>
      </c>
      <c r="E616" s="3187">
        <v>5.59</v>
      </c>
      <c r="F616" s="3193" t="s">
        <v>3593</v>
      </c>
    </row>
    <row r="617" spans="1:6" ht="15" thickBot="1">
      <c r="A617" s="3186">
        <v>614</v>
      </c>
      <c r="B617" s="3187" t="s">
        <v>4027</v>
      </c>
      <c r="C617" s="3187">
        <v>-1186</v>
      </c>
      <c r="D617" s="3187">
        <v>13.59</v>
      </c>
      <c r="E617" s="3187">
        <v>5.59</v>
      </c>
      <c r="F617" s="3193" t="s">
        <v>3593</v>
      </c>
    </row>
    <row r="618" spans="1:6" ht="15" thickBot="1">
      <c r="A618" s="3186">
        <v>615</v>
      </c>
      <c r="B618" s="3187" t="s">
        <v>4027</v>
      </c>
      <c r="C618" s="3187">
        <v>-1187</v>
      </c>
      <c r="D618" s="3187">
        <v>13.59</v>
      </c>
      <c r="E618" s="3187">
        <v>5.59</v>
      </c>
      <c r="F618" s="3193" t="s">
        <v>3593</v>
      </c>
    </row>
    <row r="619" spans="1:6" ht="15" thickBot="1">
      <c r="A619" s="3186">
        <v>616</v>
      </c>
      <c r="B619" s="3187" t="s">
        <v>4027</v>
      </c>
      <c r="C619" s="3187">
        <v>-1188</v>
      </c>
      <c r="D619" s="3187">
        <v>9.6300000000000008</v>
      </c>
      <c r="E619" s="3187">
        <v>3.96</v>
      </c>
      <c r="F619" s="3193" t="s">
        <v>3593</v>
      </c>
    </row>
    <row r="620" spans="1:6" ht="15" thickBot="1">
      <c r="A620" s="3186">
        <v>617</v>
      </c>
      <c r="B620" s="3187" t="s">
        <v>4027</v>
      </c>
      <c r="C620" s="3187">
        <v>-1189</v>
      </c>
      <c r="D620" s="3187">
        <v>42.3</v>
      </c>
      <c r="E620" s="3187">
        <v>17.420000000000002</v>
      </c>
      <c r="F620" s="3193" t="s">
        <v>3594</v>
      </c>
    </row>
    <row r="621" spans="1:6" ht="15" thickBot="1">
      <c r="A621" s="3186">
        <v>618</v>
      </c>
      <c r="B621" s="3187" t="s">
        <v>4027</v>
      </c>
      <c r="C621" s="3187">
        <v>-1190</v>
      </c>
      <c r="D621" s="3187">
        <v>42.3</v>
      </c>
      <c r="E621" s="3187">
        <v>17.420000000000002</v>
      </c>
      <c r="F621" s="3193" t="s">
        <v>3594</v>
      </c>
    </row>
    <row r="622" spans="1:6" ht="15" thickBot="1">
      <c r="A622" s="3186">
        <v>619</v>
      </c>
      <c r="B622" s="3187" t="s">
        <v>4027</v>
      </c>
      <c r="C622" s="3187">
        <v>-1191</v>
      </c>
      <c r="D622" s="3187">
        <v>42.3</v>
      </c>
      <c r="E622" s="3187">
        <v>17.420000000000002</v>
      </c>
      <c r="F622" s="3193" t="s">
        <v>3594</v>
      </c>
    </row>
    <row r="623" spans="1:6" ht="15" thickBot="1">
      <c r="A623" s="3186">
        <v>620</v>
      </c>
      <c r="B623" s="3187" t="s">
        <v>4027</v>
      </c>
      <c r="C623" s="3187">
        <v>-1192</v>
      </c>
      <c r="D623" s="3187">
        <v>13.59</v>
      </c>
      <c r="E623" s="3187">
        <v>5.59</v>
      </c>
      <c r="F623" s="3193" t="s">
        <v>3593</v>
      </c>
    </row>
    <row r="624" spans="1:6" ht="15" thickBot="1">
      <c r="A624" s="3186">
        <v>621</v>
      </c>
      <c r="B624" s="3187" t="s">
        <v>4027</v>
      </c>
      <c r="C624" s="3187">
        <v>-1193</v>
      </c>
      <c r="D624" s="3187">
        <v>28.2</v>
      </c>
      <c r="E624" s="3187">
        <v>11.61</v>
      </c>
      <c r="F624" s="3193" t="s">
        <v>3594</v>
      </c>
    </row>
    <row r="625" spans="1:6" ht="15" thickBot="1">
      <c r="A625" s="3186">
        <v>622</v>
      </c>
      <c r="B625" s="3187" t="s">
        <v>4027</v>
      </c>
      <c r="C625" s="3187">
        <v>-1194</v>
      </c>
      <c r="D625" s="3187">
        <v>42.3</v>
      </c>
      <c r="E625" s="3187">
        <v>17.420000000000002</v>
      </c>
      <c r="F625" s="3193" t="s">
        <v>3594</v>
      </c>
    </row>
    <row r="626" spans="1:6" ht="15" thickBot="1">
      <c r="A626" s="3186">
        <v>623</v>
      </c>
      <c r="B626" s="3187" t="s">
        <v>4027</v>
      </c>
      <c r="C626" s="3187">
        <v>-1195</v>
      </c>
      <c r="D626" s="3187">
        <v>42.3</v>
      </c>
      <c r="E626" s="3187">
        <v>17.420000000000002</v>
      </c>
      <c r="F626" s="3193" t="s">
        <v>3594</v>
      </c>
    </row>
    <row r="627" spans="1:6" ht="15" thickBot="1">
      <c r="A627" s="3186">
        <v>624</v>
      </c>
      <c r="B627" s="3187" t="s">
        <v>4027</v>
      </c>
      <c r="C627" s="3187">
        <v>-1196</v>
      </c>
      <c r="D627" s="3187">
        <v>42.3</v>
      </c>
      <c r="E627" s="3187">
        <v>17.420000000000002</v>
      </c>
      <c r="F627" s="3193" t="s">
        <v>3594</v>
      </c>
    </row>
    <row r="628" spans="1:6" ht="15" thickBot="1">
      <c r="A628" s="3186">
        <v>625</v>
      </c>
      <c r="B628" s="3187" t="s">
        <v>4027</v>
      </c>
      <c r="C628" s="3187">
        <v>-1197</v>
      </c>
      <c r="D628" s="3187">
        <v>42.3</v>
      </c>
      <c r="E628" s="3187">
        <v>17.420000000000002</v>
      </c>
      <c r="F628" s="3193" t="s">
        <v>3594</v>
      </c>
    </row>
    <row r="629" spans="1:6" ht="15" thickBot="1">
      <c r="A629" s="3186">
        <v>626</v>
      </c>
      <c r="B629" s="3187" t="s">
        <v>4027</v>
      </c>
      <c r="C629" s="3187">
        <v>-1198</v>
      </c>
      <c r="D629" s="3187">
        <v>13.59</v>
      </c>
      <c r="E629" s="3187">
        <v>5.59</v>
      </c>
      <c r="F629" s="3193" t="s">
        <v>3593</v>
      </c>
    </row>
    <row r="630" spans="1:6" ht="15" thickBot="1">
      <c r="A630" s="3186">
        <v>627</v>
      </c>
      <c r="B630" s="3187" t="s">
        <v>4027</v>
      </c>
      <c r="C630" s="3187">
        <v>-1199</v>
      </c>
      <c r="D630" s="3187">
        <v>42.3</v>
      </c>
      <c r="E630" s="3187">
        <v>17.420000000000002</v>
      </c>
      <c r="F630" s="3193" t="s">
        <v>3594</v>
      </c>
    </row>
    <row r="631" spans="1:6" ht="15" thickBot="1">
      <c r="A631" s="3186">
        <v>628</v>
      </c>
      <c r="B631" s="3187" t="s">
        <v>4027</v>
      </c>
      <c r="C631" s="3187">
        <v>-1200</v>
      </c>
      <c r="D631" s="3187">
        <v>42.3</v>
      </c>
      <c r="E631" s="3187">
        <v>17.420000000000002</v>
      </c>
      <c r="F631" s="3193" t="s">
        <v>3594</v>
      </c>
    </row>
    <row r="632" spans="1:6" ht="15" thickBot="1">
      <c r="A632" s="3186">
        <v>629</v>
      </c>
      <c r="B632" s="3187" t="s">
        <v>4027</v>
      </c>
      <c r="C632" s="3187">
        <v>-1201</v>
      </c>
      <c r="D632" s="3187">
        <v>13.59</v>
      </c>
      <c r="E632" s="3187">
        <v>5.59</v>
      </c>
      <c r="F632" s="3193" t="s">
        <v>3593</v>
      </c>
    </row>
    <row r="633" spans="1:6" ht="15" thickBot="1">
      <c r="A633" s="3186">
        <v>630</v>
      </c>
      <c r="B633" s="3187" t="s">
        <v>4027</v>
      </c>
      <c r="C633" s="3187">
        <v>-1202</v>
      </c>
      <c r="D633" s="3187">
        <v>13.59</v>
      </c>
      <c r="E633" s="3187">
        <v>5.59</v>
      </c>
      <c r="F633" s="3193" t="s">
        <v>3593</v>
      </c>
    </row>
    <row r="634" spans="1:6" ht="15" thickBot="1">
      <c r="A634" s="3186">
        <v>631</v>
      </c>
      <c r="B634" s="3187" t="s">
        <v>4027</v>
      </c>
      <c r="C634" s="3187">
        <v>-1203</v>
      </c>
      <c r="D634" s="3187">
        <v>13.59</v>
      </c>
      <c r="E634" s="3187">
        <v>5.59</v>
      </c>
      <c r="F634" s="3193" t="s">
        <v>3593</v>
      </c>
    </row>
    <row r="635" spans="1:6" ht="15" thickBot="1">
      <c r="A635" s="3186">
        <v>632</v>
      </c>
      <c r="B635" s="3187" t="s">
        <v>4027</v>
      </c>
      <c r="C635" s="3187">
        <v>-1204</v>
      </c>
      <c r="D635" s="3187">
        <v>13.59</v>
      </c>
      <c r="E635" s="3187">
        <v>5.59</v>
      </c>
      <c r="F635" s="3193" t="s">
        <v>3593</v>
      </c>
    </row>
    <row r="636" spans="1:6" ht="15" thickBot="1">
      <c r="A636" s="3186">
        <v>633</v>
      </c>
      <c r="B636" s="3187" t="s">
        <v>4027</v>
      </c>
      <c r="C636" s="3187">
        <v>-1205</v>
      </c>
      <c r="D636" s="3187">
        <v>9.6300000000000008</v>
      </c>
      <c r="E636" s="3187">
        <v>3.96</v>
      </c>
      <c r="F636" s="3193" t="s">
        <v>3593</v>
      </c>
    </row>
    <row r="637" spans="1:6" ht="15" thickBot="1">
      <c r="A637" s="3186">
        <v>634</v>
      </c>
      <c r="B637" s="3187" t="s">
        <v>4027</v>
      </c>
      <c r="C637" s="3187">
        <v>-1206</v>
      </c>
      <c r="D637" s="3187">
        <v>13.59</v>
      </c>
      <c r="E637" s="3187">
        <v>5.59</v>
      </c>
      <c r="F637" s="3193" t="s">
        <v>3593</v>
      </c>
    </row>
    <row r="638" spans="1:6" ht="15" thickBot="1">
      <c r="A638" s="3186">
        <v>635</v>
      </c>
      <c r="B638" s="3187" t="s">
        <v>4027</v>
      </c>
      <c r="C638" s="3187">
        <v>-1207</v>
      </c>
      <c r="D638" s="3187">
        <v>13.59</v>
      </c>
      <c r="E638" s="3187">
        <v>5.59</v>
      </c>
      <c r="F638" s="3193" t="s">
        <v>3593</v>
      </c>
    </row>
    <row r="639" spans="1:6" ht="15" thickBot="1">
      <c r="A639" s="3186">
        <v>636</v>
      </c>
      <c r="B639" s="3187" t="s">
        <v>4027</v>
      </c>
      <c r="C639" s="3187">
        <v>-1208</v>
      </c>
      <c r="D639" s="3187">
        <v>13.59</v>
      </c>
      <c r="E639" s="3187">
        <v>5.59</v>
      </c>
      <c r="F639" s="3193" t="s">
        <v>3593</v>
      </c>
    </row>
    <row r="640" spans="1:6" ht="15" thickBot="1">
      <c r="A640" s="3186">
        <v>637</v>
      </c>
      <c r="B640" s="3187" t="s">
        <v>4027</v>
      </c>
      <c r="C640" s="3187">
        <v>-1209</v>
      </c>
      <c r="D640" s="3187">
        <v>9.6300000000000008</v>
      </c>
      <c r="E640" s="3187">
        <v>3.96</v>
      </c>
      <c r="F640" s="3193" t="s">
        <v>3593</v>
      </c>
    </row>
    <row r="641" spans="1:6" ht="15" thickBot="1">
      <c r="A641" s="3186">
        <v>638</v>
      </c>
      <c r="B641" s="3187" t="s">
        <v>4027</v>
      </c>
      <c r="C641" s="3187">
        <v>-1210</v>
      </c>
      <c r="D641" s="3187">
        <v>13.59</v>
      </c>
      <c r="E641" s="3187">
        <v>5.59</v>
      </c>
      <c r="F641" s="3193" t="s">
        <v>3593</v>
      </c>
    </row>
    <row r="642" spans="1:6" ht="15" thickBot="1">
      <c r="A642" s="3186">
        <v>639</v>
      </c>
      <c r="B642" s="3187" t="s">
        <v>4027</v>
      </c>
      <c r="C642" s="3187">
        <v>-1211</v>
      </c>
      <c r="D642" s="3187">
        <v>13.59</v>
      </c>
      <c r="E642" s="3187">
        <v>5.59</v>
      </c>
      <c r="F642" s="3193" t="s">
        <v>3593</v>
      </c>
    </row>
    <row r="643" spans="1:6" ht="15" thickBot="1">
      <c r="A643" s="3186">
        <v>640</v>
      </c>
      <c r="B643" s="3187" t="s">
        <v>4027</v>
      </c>
      <c r="C643" s="3187">
        <v>-1212</v>
      </c>
      <c r="D643" s="3187">
        <v>13.59</v>
      </c>
      <c r="E643" s="3187">
        <v>5.59</v>
      </c>
      <c r="F643" s="3193" t="s">
        <v>3593</v>
      </c>
    </row>
    <row r="644" spans="1:6" ht="15" thickBot="1">
      <c r="A644" s="3186">
        <v>641</v>
      </c>
      <c r="B644" s="3187" t="s">
        <v>4027</v>
      </c>
      <c r="C644" s="3187">
        <v>-1213</v>
      </c>
      <c r="D644" s="3187">
        <v>13.59</v>
      </c>
      <c r="E644" s="3187">
        <v>5.59</v>
      </c>
      <c r="F644" s="3193" t="s">
        <v>3593</v>
      </c>
    </row>
    <row r="645" spans="1:6" ht="15" thickBot="1">
      <c r="A645" s="3186">
        <v>642</v>
      </c>
      <c r="B645" s="3187" t="s">
        <v>4027</v>
      </c>
      <c r="C645" s="3187">
        <v>-1214</v>
      </c>
      <c r="D645" s="3187">
        <v>13.59</v>
      </c>
      <c r="E645" s="3187">
        <v>5.59</v>
      </c>
      <c r="F645" s="3193" t="s">
        <v>3593</v>
      </c>
    </row>
    <row r="646" spans="1:6" ht="15" thickBot="1">
      <c r="A646" s="3186">
        <v>643</v>
      </c>
      <c r="B646" s="3187" t="s">
        <v>4027</v>
      </c>
      <c r="C646" s="3187">
        <v>-1215</v>
      </c>
      <c r="D646" s="3187">
        <v>13.59</v>
      </c>
      <c r="E646" s="3187">
        <v>5.59</v>
      </c>
      <c r="F646" s="3193" t="s">
        <v>3593</v>
      </c>
    </row>
    <row r="647" spans="1:6" ht="15" thickBot="1">
      <c r="A647" s="3186">
        <v>644</v>
      </c>
      <c r="B647" s="3187" t="s">
        <v>4027</v>
      </c>
      <c r="C647" s="3187">
        <v>-1216</v>
      </c>
      <c r="D647" s="3187">
        <v>13.59</v>
      </c>
      <c r="E647" s="3187">
        <v>5.59</v>
      </c>
      <c r="F647" s="3193" t="s">
        <v>3593</v>
      </c>
    </row>
    <row r="648" spans="1:6" ht="15" thickBot="1">
      <c r="A648" s="3186">
        <v>645</v>
      </c>
      <c r="B648" s="3187" t="s">
        <v>4027</v>
      </c>
      <c r="C648" s="3187">
        <v>-1217</v>
      </c>
      <c r="D648" s="3187">
        <v>13.59</v>
      </c>
      <c r="E648" s="3187">
        <v>5.59</v>
      </c>
      <c r="F648" s="3193" t="s">
        <v>3593</v>
      </c>
    </row>
    <row r="649" spans="1:6" ht="15" thickBot="1">
      <c r="A649" s="3186">
        <v>646</v>
      </c>
      <c r="B649" s="3187" t="s">
        <v>4027</v>
      </c>
      <c r="C649" s="3187">
        <v>-1218</v>
      </c>
      <c r="D649" s="3187">
        <v>13.59</v>
      </c>
      <c r="E649" s="3187">
        <v>5.59</v>
      </c>
      <c r="F649" s="3193" t="s">
        <v>3593</v>
      </c>
    </row>
    <row r="650" spans="1:6" ht="15" thickBot="1">
      <c r="A650" s="3186">
        <v>647</v>
      </c>
      <c r="B650" s="3187" t="s">
        <v>4027</v>
      </c>
      <c r="C650" s="3187">
        <v>-1219</v>
      </c>
      <c r="D650" s="3187">
        <v>13.59</v>
      </c>
      <c r="E650" s="3187">
        <v>5.59</v>
      </c>
      <c r="F650" s="3193" t="s">
        <v>3593</v>
      </c>
    </row>
    <row r="651" spans="1:6" ht="15" thickBot="1">
      <c r="A651" s="3186">
        <v>648</v>
      </c>
      <c r="B651" s="3187" t="s">
        <v>4027</v>
      </c>
      <c r="C651" s="3187">
        <v>-1220</v>
      </c>
      <c r="D651" s="3187">
        <v>13.59</v>
      </c>
      <c r="E651" s="3187">
        <v>5.59</v>
      </c>
      <c r="F651" s="3193" t="s">
        <v>3593</v>
      </c>
    </row>
    <row r="652" spans="1:6" ht="15" thickBot="1">
      <c r="A652" s="3186">
        <v>649</v>
      </c>
      <c r="B652" s="3187" t="s">
        <v>4027</v>
      </c>
      <c r="C652" s="3187">
        <v>-1221</v>
      </c>
      <c r="D652" s="3187">
        <v>13.59</v>
      </c>
      <c r="E652" s="3187">
        <v>5.59</v>
      </c>
      <c r="F652" s="3193" t="s">
        <v>3593</v>
      </c>
    </row>
    <row r="653" spans="1:6" ht="15" thickBot="1">
      <c r="A653" s="3186">
        <v>650</v>
      </c>
      <c r="B653" s="3187" t="s">
        <v>4027</v>
      </c>
      <c r="C653" s="3187">
        <v>-1222</v>
      </c>
      <c r="D653" s="3187">
        <v>13.59</v>
      </c>
      <c r="E653" s="3187">
        <v>5.59</v>
      </c>
      <c r="F653" s="3193" t="s">
        <v>3593</v>
      </c>
    </row>
    <row r="654" spans="1:6" ht="15" thickBot="1">
      <c r="A654" s="3186">
        <v>651</v>
      </c>
      <c r="B654" s="3187" t="s">
        <v>4027</v>
      </c>
      <c r="C654" s="3187">
        <v>-1223</v>
      </c>
      <c r="D654" s="3187">
        <v>13.59</v>
      </c>
      <c r="E654" s="3187">
        <v>5.59</v>
      </c>
      <c r="F654" s="3193" t="s">
        <v>3593</v>
      </c>
    </row>
    <row r="655" spans="1:6" ht="15" thickBot="1">
      <c r="A655" s="3186">
        <v>652</v>
      </c>
      <c r="B655" s="3187" t="s">
        <v>4027</v>
      </c>
      <c r="C655" s="3187">
        <v>-1224</v>
      </c>
      <c r="D655" s="3187">
        <v>13.59</v>
      </c>
      <c r="E655" s="3187">
        <v>5.59</v>
      </c>
      <c r="F655" s="3193" t="s">
        <v>3593</v>
      </c>
    </row>
    <row r="656" spans="1:6" ht="15" thickBot="1">
      <c r="A656" s="3186">
        <v>653</v>
      </c>
      <c r="B656" s="3187" t="s">
        <v>4027</v>
      </c>
      <c r="C656" s="3187">
        <v>-1225</v>
      </c>
      <c r="D656" s="3187">
        <v>13.59</v>
      </c>
      <c r="E656" s="3187">
        <v>5.59</v>
      </c>
      <c r="F656" s="3193" t="s">
        <v>3593</v>
      </c>
    </row>
    <row r="657" spans="1:6" ht="15" thickBot="1">
      <c r="A657" s="3186">
        <v>654</v>
      </c>
      <c r="B657" s="3187" t="s">
        <v>4027</v>
      </c>
      <c r="C657" s="3187">
        <v>-1226</v>
      </c>
      <c r="D657" s="3187">
        <v>13.59</v>
      </c>
      <c r="E657" s="3187">
        <v>5.59</v>
      </c>
      <c r="F657" s="3193" t="s">
        <v>3593</v>
      </c>
    </row>
    <row r="658" spans="1:6" ht="15" thickBot="1">
      <c r="A658" s="3186">
        <v>655</v>
      </c>
      <c r="B658" s="3187" t="s">
        <v>4027</v>
      </c>
      <c r="C658" s="3187">
        <v>-1227</v>
      </c>
      <c r="D658" s="3187">
        <v>13.59</v>
      </c>
      <c r="E658" s="3187">
        <v>5.59</v>
      </c>
      <c r="F658" s="3193" t="s">
        <v>3593</v>
      </c>
    </row>
    <row r="659" spans="1:6" ht="15" thickBot="1">
      <c r="A659" s="3186">
        <v>656</v>
      </c>
      <c r="B659" s="3187" t="s">
        <v>4027</v>
      </c>
      <c r="C659" s="3187">
        <v>-1228</v>
      </c>
      <c r="D659" s="3187">
        <v>13.59</v>
      </c>
      <c r="E659" s="3187">
        <v>5.59</v>
      </c>
      <c r="F659" s="3193" t="s">
        <v>3593</v>
      </c>
    </row>
    <row r="660" spans="1:6" ht="15" thickBot="1">
      <c r="A660" s="3186">
        <v>657</v>
      </c>
      <c r="B660" s="3187" t="s">
        <v>4027</v>
      </c>
      <c r="C660" s="3187">
        <v>-1229</v>
      </c>
      <c r="D660" s="3187">
        <v>13.59</v>
      </c>
      <c r="E660" s="3187">
        <v>5.59</v>
      </c>
      <c r="F660" s="3193" t="s">
        <v>3593</v>
      </c>
    </row>
    <row r="661" spans="1:6" ht="15" thickBot="1">
      <c r="A661" s="3186">
        <v>658</v>
      </c>
      <c r="B661" s="3187" t="s">
        <v>4027</v>
      </c>
      <c r="C661" s="3187">
        <v>-1230</v>
      </c>
      <c r="D661" s="3187">
        <v>13.59</v>
      </c>
      <c r="E661" s="3187">
        <v>5.59</v>
      </c>
      <c r="F661" s="3193" t="s">
        <v>3593</v>
      </c>
    </row>
    <row r="662" spans="1:6" ht="15" thickBot="1">
      <c r="A662" s="3186">
        <v>659</v>
      </c>
      <c r="B662" s="3187" t="s">
        <v>4027</v>
      </c>
      <c r="C662" s="3187">
        <v>-1231</v>
      </c>
      <c r="D662" s="3187">
        <v>13.59</v>
      </c>
      <c r="E662" s="3187">
        <v>5.59</v>
      </c>
      <c r="F662" s="3193" t="s">
        <v>3593</v>
      </c>
    </row>
    <row r="663" spans="1:6" ht="15" thickBot="1">
      <c r="A663" s="3186">
        <v>660</v>
      </c>
      <c r="B663" s="3187" t="s">
        <v>4027</v>
      </c>
      <c r="C663" s="3187">
        <v>-1232</v>
      </c>
      <c r="D663" s="3187">
        <v>13.59</v>
      </c>
      <c r="E663" s="3187">
        <v>5.59</v>
      </c>
      <c r="F663" s="3193" t="s">
        <v>3593</v>
      </c>
    </row>
    <row r="664" spans="1:6" ht="15" thickBot="1">
      <c r="A664" s="3186">
        <v>661</v>
      </c>
      <c r="B664" s="3187" t="s">
        <v>4027</v>
      </c>
      <c r="C664" s="3187">
        <v>-1233</v>
      </c>
      <c r="D664" s="3187">
        <v>13.59</v>
      </c>
      <c r="E664" s="3187">
        <v>5.59</v>
      </c>
      <c r="F664" s="3193" t="s">
        <v>3593</v>
      </c>
    </row>
    <row r="665" spans="1:6" ht="15" thickBot="1">
      <c r="A665" s="3186">
        <v>662</v>
      </c>
      <c r="B665" s="3187" t="s">
        <v>4027</v>
      </c>
      <c r="C665" s="3187">
        <v>-1234</v>
      </c>
      <c r="D665" s="3187">
        <v>13.59</v>
      </c>
      <c r="E665" s="3187">
        <v>5.59</v>
      </c>
      <c r="F665" s="3193" t="s">
        <v>3593</v>
      </c>
    </row>
    <row r="666" spans="1:6" ht="15" thickBot="1">
      <c r="A666" s="3186">
        <v>663</v>
      </c>
      <c r="B666" s="3187" t="s">
        <v>4027</v>
      </c>
      <c r="C666" s="3187">
        <v>-1235</v>
      </c>
      <c r="D666" s="3187">
        <v>13.59</v>
      </c>
      <c r="E666" s="3187">
        <v>5.59</v>
      </c>
      <c r="F666" s="3193" t="s">
        <v>3593</v>
      </c>
    </row>
    <row r="667" spans="1:6" ht="15" thickBot="1">
      <c r="A667" s="3186">
        <v>664</v>
      </c>
      <c r="B667" s="3187" t="s">
        <v>4027</v>
      </c>
      <c r="C667" s="3187">
        <v>-1236</v>
      </c>
      <c r="D667" s="3187">
        <v>13.59</v>
      </c>
      <c r="E667" s="3187">
        <v>5.59</v>
      </c>
      <c r="F667" s="3193" t="s">
        <v>3593</v>
      </c>
    </row>
    <row r="668" spans="1:6" ht="15" thickBot="1">
      <c r="A668" s="3186">
        <v>665</v>
      </c>
      <c r="B668" s="3187" t="s">
        <v>4027</v>
      </c>
      <c r="C668" s="3187">
        <v>-1237</v>
      </c>
      <c r="D668" s="3187">
        <v>13.59</v>
      </c>
      <c r="E668" s="3187">
        <v>5.59</v>
      </c>
      <c r="F668" s="3193" t="s">
        <v>3593</v>
      </c>
    </row>
    <row r="669" spans="1:6" ht="15" thickBot="1">
      <c r="A669" s="3186">
        <v>666</v>
      </c>
      <c r="B669" s="3187" t="s">
        <v>4027</v>
      </c>
      <c r="C669" s="3187">
        <v>-1238</v>
      </c>
      <c r="D669" s="3187">
        <v>13.59</v>
      </c>
      <c r="E669" s="3187">
        <v>5.59</v>
      </c>
      <c r="F669" s="3193" t="s">
        <v>3593</v>
      </c>
    </row>
    <row r="670" spans="1:6" ht="15" thickBot="1">
      <c r="A670" s="3186">
        <v>667</v>
      </c>
      <c r="B670" s="3187" t="s">
        <v>4027</v>
      </c>
      <c r="C670" s="3187">
        <v>-1239</v>
      </c>
      <c r="D670" s="3187">
        <v>13.59</v>
      </c>
      <c r="E670" s="3187">
        <v>5.59</v>
      </c>
      <c r="F670" s="3193" t="s">
        <v>3593</v>
      </c>
    </row>
    <row r="671" spans="1:6" ht="15" thickBot="1">
      <c r="A671" s="3186">
        <v>668</v>
      </c>
      <c r="B671" s="3187" t="s">
        <v>4027</v>
      </c>
      <c r="C671" s="3187">
        <v>-1240</v>
      </c>
      <c r="D671" s="3187">
        <v>13.59</v>
      </c>
      <c r="E671" s="3187">
        <v>5.59</v>
      </c>
      <c r="F671" s="3193" t="s">
        <v>3593</v>
      </c>
    </row>
    <row r="672" spans="1:6" ht="15" thickBot="1">
      <c r="A672" s="3186">
        <v>669</v>
      </c>
      <c r="B672" s="3187" t="s">
        <v>4027</v>
      </c>
      <c r="C672" s="3187">
        <v>-1241</v>
      </c>
      <c r="D672" s="3187">
        <v>13.59</v>
      </c>
      <c r="E672" s="3187">
        <v>5.59</v>
      </c>
      <c r="F672" s="3193" t="s">
        <v>3593</v>
      </c>
    </row>
    <row r="673" spans="1:6" ht="15" thickBot="1">
      <c r="A673" s="3186">
        <v>670</v>
      </c>
      <c r="B673" s="3187" t="s">
        <v>4027</v>
      </c>
      <c r="C673" s="3187">
        <v>-1242</v>
      </c>
      <c r="D673" s="3187">
        <v>13.59</v>
      </c>
      <c r="E673" s="3187">
        <v>5.59</v>
      </c>
      <c r="F673" s="3193" t="s">
        <v>3593</v>
      </c>
    </row>
    <row r="674" spans="1:6" ht="15" thickBot="1">
      <c r="A674" s="3186">
        <v>671</v>
      </c>
      <c r="B674" s="3187" t="s">
        <v>4027</v>
      </c>
      <c r="C674" s="3187">
        <v>-1243</v>
      </c>
      <c r="D674" s="3187">
        <v>13.59</v>
      </c>
      <c r="E674" s="3187">
        <v>5.59</v>
      </c>
      <c r="F674" s="3193" t="s">
        <v>3593</v>
      </c>
    </row>
    <row r="675" spans="1:6" ht="15" thickBot="1">
      <c r="A675" s="3186">
        <v>672</v>
      </c>
      <c r="B675" s="3187" t="s">
        <v>4027</v>
      </c>
      <c r="C675" s="3187">
        <v>-1244</v>
      </c>
      <c r="D675" s="3187">
        <v>13.59</v>
      </c>
      <c r="E675" s="3187">
        <v>5.59</v>
      </c>
      <c r="F675" s="3193" t="s">
        <v>3593</v>
      </c>
    </row>
    <row r="676" spans="1:6" ht="15" thickBot="1">
      <c r="A676" s="3186">
        <v>673</v>
      </c>
      <c r="B676" s="3187" t="s">
        <v>4027</v>
      </c>
      <c r="C676" s="3187">
        <v>-1245</v>
      </c>
      <c r="D676" s="3187">
        <v>13.59</v>
      </c>
      <c r="E676" s="3187">
        <v>5.59</v>
      </c>
      <c r="F676" s="3193" t="s">
        <v>3593</v>
      </c>
    </row>
    <row r="677" spans="1:6" ht="15" thickBot="1">
      <c r="A677" s="3186">
        <v>674</v>
      </c>
      <c r="B677" s="3187" t="s">
        <v>4027</v>
      </c>
      <c r="C677" s="3187">
        <v>-1246</v>
      </c>
      <c r="D677" s="3187">
        <v>13.59</v>
      </c>
      <c r="E677" s="3187">
        <v>5.59</v>
      </c>
      <c r="F677" s="3193" t="s">
        <v>3593</v>
      </c>
    </row>
    <row r="678" spans="1:6" ht="15" thickBot="1">
      <c r="A678" s="3186">
        <v>675</v>
      </c>
      <c r="B678" s="3187" t="s">
        <v>4027</v>
      </c>
      <c r="C678" s="3187">
        <v>-1247</v>
      </c>
      <c r="D678" s="3187">
        <v>13.59</v>
      </c>
      <c r="E678" s="3187">
        <v>5.59</v>
      </c>
      <c r="F678" s="3193" t="s">
        <v>3593</v>
      </c>
    </row>
    <row r="679" spans="1:6" ht="15" thickBot="1">
      <c r="A679" s="3186">
        <v>676</v>
      </c>
      <c r="B679" s="3187" t="s">
        <v>4027</v>
      </c>
      <c r="C679" s="3187">
        <v>-1248</v>
      </c>
      <c r="D679" s="3187">
        <v>13.59</v>
      </c>
      <c r="E679" s="3187">
        <v>5.59</v>
      </c>
      <c r="F679" s="3193" t="s">
        <v>3593</v>
      </c>
    </row>
    <row r="680" spans="1:6" ht="15" thickBot="1">
      <c r="A680" s="3186">
        <v>677</v>
      </c>
      <c r="B680" s="3187" t="s">
        <v>4027</v>
      </c>
      <c r="C680" s="3187">
        <v>-1249</v>
      </c>
      <c r="D680" s="3187">
        <v>13.59</v>
      </c>
      <c r="E680" s="3187">
        <v>5.59</v>
      </c>
      <c r="F680" s="3193" t="s">
        <v>3593</v>
      </c>
    </row>
    <row r="681" spans="1:6" ht="15" thickBot="1">
      <c r="A681" s="3186">
        <v>678</v>
      </c>
      <c r="B681" s="3187" t="s">
        <v>4027</v>
      </c>
      <c r="C681" s="3187">
        <v>-1250</v>
      </c>
      <c r="D681" s="3187">
        <v>13.59</v>
      </c>
      <c r="E681" s="3187">
        <v>5.59</v>
      </c>
      <c r="F681" s="3193" t="s">
        <v>3593</v>
      </c>
    </row>
    <row r="682" spans="1:6" ht="15" thickBot="1">
      <c r="A682" s="3186">
        <v>679</v>
      </c>
      <c r="B682" s="3187" t="s">
        <v>4027</v>
      </c>
      <c r="C682" s="3187">
        <v>-1251</v>
      </c>
      <c r="D682" s="3187">
        <v>13.59</v>
      </c>
      <c r="E682" s="3187">
        <v>5.59</v>
      </c>
      <c r="F682" s="3193" t="s">
        <v>3593</v>
      </c>
    </row>
    <row r="683" spans="1:6" ht="15" thickBot="1">
      <c r="A683" s="3186">
        <v>680</v>
      </c>
      <c r="B683" s="3187" t="s">
        <v>4027</v>
      </c>
      <c r="C683" s="3187">
        <v>-1252</v>
      </c>
      <c r="D683" s="3187">
        <v>13.59</v>
      </c>
      <c r="E683" s="3187">
        <v>5.59</v>
      </c>
      <c r="F683" s="3193" t="s">
        <v>3593</v>
      </c>
    </row>
    <row r="684" spans="1:6" ht="15" thickBot="1">
      <c r="A684" s="3186">
        <v>681</v>
      </c>
      <c r="B684" s="3187" t="s">
        <v>4027</v>
      </c>
      <c r="C684" s="3187">
        <v>-1253</v>
      </c>
      <c r="D684" s="3187">
        <v>13.59</v>
      </c>
      <c r="E684" s="3187">
        <v>5.59</v>
      </c>
      <c r="F684" s="3193" t="s">
        <v>3593</v>
      </c>
    </row>
    <row r="685" spans="1:6" ht="15" thickBot="1">
      <c r="A685" s="3186">
        <v>682</v>
      </c>
      <c r="B685" s="3187" t="s">
        <v>4027</v>
      </c>
      <c r="C685" s="3187">
        <v>-1254</v>
      </c>
      <c r="D685" s="3187">
        <v>13.59</v>
      </c>
      <c r="E685" s="3187">
        <v>5.59</v>
      </c>
      <c r="F685" s="3193" t="s">
        <v>3593</v>
      </c>
    </row>
    <row r="686" spans="1:6" ht="15" thickBot="1">
      <c r="A686" s="3186">
        <v>683</v>
      </c>
      <c r="B686" s="3187" t="s">
        <v>4027</v>
      </c>
      <c r="C686" s="3187">
        <v>-1255</v>
      </c>
      <c r="D686" s="3187">
        <v>13.59</v>
      </c>
      <c r="E686" s="3187">
        <v>5.59</v>
      </c>
      <c r="F686" s="3193" t="s">
        <v>3593</v>
      </c>
    </row>
    <row r="687" spans="1:6" ht="15" thickBot="1">
      <c r="A687" s="3186">
        <v>684</v>
      </c>
      <c r="B687" s="3187" t="s">
        <v>4027</v>
      </c>
      <c r="C687" s="3187">
        <v>-1256</v>
      </c>
      <c r="D687" s="3187">
        <v>13.59</v>
      </c>
      <c r="E687" s="3187">
        <v>5.59</v>
      </c>
      <c r="F687" s="3193" t="s">
        <v>3593</v>
      </c>
    </row>
    <row r="688" spans="1:6" ht="15" thickBot="1">
      <c r="A688" s="3186">
        <v>685</v>
      </c>
      <c r="B688" s="3187" t="s">
        <v>4027</v>
      </c>
      <c r="C688" s="3187">
        <v>-1257</v>
      </c>
      <c r="D688" s="3187">
        <v>13.59</v>
      </c>
      <c r="E688" s="3187">
        <v>5.59</v>
      </c>
      <c r="F688" s="3193" t="s">
        <v>3593</v>
      </c>
    </row>
    <row r="689" spans="1:6" ht="15" thickBot="1">
      <c r="A689" s="3186">
        <v>686</v>
      </c>
      <c r="B689" s="3187" t="s">
        <v>4027</v>
      </c>
      <c r="C689" s="3187">
        <v>-1258</v>
      </c>
      <c r="D689" s="3187">
        <v>13.59</v>
      </c>
      <c r="E689" s="3187">
        <v>5.59</v>
      </c>
      <c r="F689" s="3193" t="s">
        <v>3593</v>
      </c>
    </row>
    <row r="690" spans="1:6" ht="15" thickBot="1">
      <c r="A690" s="3186">
        <v>687</v>
      </c>
      <c r="B690" s="3187" t="s">
        <v>4027</v>
      </c>
      <c r="C690" s="3187">
        <v>-1259</v>
      </c>
      <c r="D690" s="3187">
        <v>13.59</v>
      </c>
      <c r="E690" s="3187">
        <v>5.59</v>
      </c>
      <c r="F690" s="3193" t="s">
        <v>3593</v>
      </c>
    </row>
    <row r="691" spans="1:6" ht="15" thickBot="1">
      <c r="A691" s="3186">
        <v>688</v>
      </c>
      <c r="B691" s="3187" t="s">
        <v>4027</v>
      </c>
      <c r="C691" s="3187">
        <v>-1260</v>
      </c>
      <c r="D691" s="3187">
        <v>13.59</v>
      </c>
      <c r="E691" s="3187">
        <v>5.59</v>
      </c>
      <c r="F691" s="3193" t="s">
        <v>3593</v>
      </c>
    </row>
    <row r="692" spans="1:6" ht="15" thickBot="1">
      <c r="A692" s="3186">
        <v>689</v>
      </c>
      <c r="B692" s="3187" t="s">
        <v>4027</v>
      </c>
      <c r="C692" s="3187">
        <v>-1261</v>
      </c>
      <c r="D692" s="3187">
        <v>13.59</v>
      </c>
      <c r="E692" s="3187">
        <v>5.59</v>
      </c>
      <c r="F692" s="3193" t="s">
        <v>3593</v>
      </c>
    </row>
    <row r="693" spans="1:6" ht="15" thickBot="1">
      <c r="A693" s="3186">
        <v>690</v>
      </c>
      <c r="B693" s="3187" t="s">
        <v>4027</v>
      </c>
      <c r="C693" s="3187">
        <v>-1262</v>
      </c>
      <c r="D693" s="3187">
        <v>13.59</v>
      </c>
      <c r="E693" s="3187">
        <v>5.59</v>
      </c>
      <c r="F693" s="3193" t="s">
        <v>3593</v>
      </c>
    </row>
    <row r="694" spans="1:6" ht="15" thickBot="1">
      <c r="A694" s="3186">
        <v>691</v>
      </c>
      <c r="B694" s="3187" t="s">
        <v>4027</v>
      </c>
      <c r="C694" s="3187">
        <v>-1263</v>
      </c>
      <c r="D694" s="3187">
        <v>13.59</v>
      </c>
      <c r="E694" s="3187">
        <v>5.59</v>
      </c>
      <c r="F694" s="3193" t="s">
        <v>3593</v>
      </c>
    </row>
    <row r="695" spans="1:6" ht="15" thickBot="1">
      <c r="A695" s="3186">
        <v>692</v>
      </c>
      <c r="B695" s="3187" t="s">
        <v>4027</v>
      </c>
      <c r="C695" s="3187">
        <v>-1264</v>
      </c>
      <c r="D695" s="3187">
        <v>13.59</v>
      </c>
      <c r="E695" s="3187">
        <v>5.59</v>
      </c>
      <c r="F695" s="3193" t="s">
        <v>3593</v>
      </c>
    </row>
    <row r="696" spans="1:6" ht="15" thickBot="1">
      <c r="A696" s="3186">
        <v>693</v>
      </c>
      <c r="B696" s="3187" t="s">
        <v>4027</v>
      </c>
      <c r="C696" s="3187">
        <v>-1265</v>
      </c>
      <c r="D696" s="3187">
        <v>13.59</v>
      </c>
      <c r="E696" s="3187">
        <v>5.59</v>
      </c>
      <c r="F696" s="3193" t="s">
        <v>3593</v>
      </c>
    </row>
    <row r="697" spans="1:6" ht="15" thickBot="1">
      <c r="A697" s="3186">
        <v>694</v>
      </c>
      <c r="B697" s="3187" t="s">
        <v>4027</v>
      </c>
      <c r="C697" s="3187">
        <v>-1266</v>
      </c>
      <c r="D697" s="3187">
        <v>13.59</v>
      </c>
      <c r="E697" s="3187">
        <v>5.59</v>
      </c>
      <c r="F697" s="3193" t="s">
        <v>3593</v>
      </c>
    </row>
    <row r="698" spans="1:6" ht="15" thickBot="1">
      <c r="A698" s="3186">
        <v>695</v>
      </c>
      <c r="B698" s="3187" t="s">
        <v>4027</v>
      </c>
      <c r="C698" s="3187">
        <v>-1267</v>
      </c>
      <c r="D698" s="3187">
        <v>13.59</v>
      </c>
      <c r="E698" s="3187">
        <v>5.59</v>
      </c>
      <c r="F698" s="3193" t="s">
        <v>3593</v>
      </c>
    </row>
    <row r="699" spans="1:6" ht="15" thickBot="1">
      <c r="A699" s="3186">
        <v>696</v>
      </c>
      <c r="B699" s="3187" t="s">
        <v>4027</v>
      </c>
      <c r="C699" s="3187">
        <v>-1268</v>
      </c>
      <c r="D699" s="3187">
        <v>13.59</v>
      </c>
      <c r="E699" s="3187">
        <v>5.59</v>
      </c>
      <c r="F699" s="3193" t="s">
        <v>3593</v>
      </c>
    </row>
    <row r="700" spans="1:6" ht="15" thickBot="1">
      <c r="A700" s="3186">
        <v>697</v>
      </c>
      <c r="B700" s="3187" t="s">
        <v>4027</v>
      </c>
      <c r="C700" s="3187">
        <v>-1269</v>
      </c>
      <c r="D700" s="3187">
        <v>13.59</v>
      </c>
      <c r="E700" s="3187">
        <v>5.59</v>
      </c>
      <c r="F700" s="3193" t="s">
        <v>3593</v>
      </c>
    </row>
    <row r="701" spans="1:6" ht="15" thickBot="1">
      <c r="A701" s="3186">
        <v>698</v>
      </c>
      <c r="B701" s="3187" t="s">
        <v>4027</v>
      </c>
      <c r="C701" s="3187">
        <v>-1270</v>
      </c>
      <c r="D701" s="3187">
        <v>13.59</v>
      </c>
      <c r="E701" s="3187">
        <v>5.59</v>
      </c>
      <c r="F701" s="3193" t="s">
        <v>3593</v>
      </c>
    </row>
    <row r="702" spans="1:6" ht="15" thickBot="1">
      <c r="A702" s="3186">
        <v>699</v>
      </c>
      <c r="B702" s="3187" t="s">
        <v>4027</v>
      </c>
      <c r="C702" s="3187">
        <v>-1271</v>
      </c>
      <c r="D702" s="3187">
        <v>13.59</v>
      </c>
      <c r="E702" s="3187">
        <v>5.59</v>
      </c>
      <c r="F702" s="3193" t="s">
        <v>3593</v>
      </c>
    </row>
    <row r="703" spans="1:6" ht="15" thickBot="1">
      <c r="A703" s="3186">
        <v>700</v>
      </c>
      <c r="B703" s="3187" t="s">
        <v>4027</v>
      </c>
      <c r="C703" s="3187">
        <v>-1272</v>
      </c>
      <c r="D703" s="3187">
        <v>13.59</v>
      </c>
      <c r="E703" s="3187">
        <v>5.59</v>
      </c>
      <c r="F703" s="3193" t="s">
        <v>3593</v>
      </c>
    </row>
    <row r="704" spans="1:6" ht="15" thickBot="1">
      <c r="A704" s="3186">
        <v>701</v>
      </c>
      <c r="B704" s="3187" t="s">
        <v>4027</v>
      </c>
      <c r="C704" s="3187">
        <v>-1273</v>
      </c>
      <c r="D704" s="3187">
        <v>13.59</v>
      </c>
      <c r="E704" s="3187">
        <v>5.59</v>
      </c>
      <c r="F704" s="3193" t="s">
        <v>3593</v>
      </c>
    </row>
    <row r="705" spans="1:6" ht="15" thickBot="1">
      <c r="A705" s="3186">
        <v>702</v>
      </c>
      <c r="B705" s="3187" t="s">
        <v>4027</v>
      </c>
      <c r="C705" s="3187">
        <v>-1274</v>
      </c>
      <c r="D705" s="3187">
        <v>13.59</v>
      </c>
      <c r="E705" s="3187">
        <v>5.59</v>
      </c>
      <c r="F705" s="3193" t="s">
        <v>3593</v>
      </c>
    </row>
    <row r="706" spans="1:6" ht="15" thickBot="1">
      <c r="A706" s="3186">
        <v>703</v>
      </c>
      <c r="B706" s="3187" t="s">
        <v>4027</v>
      </c>
      <c r="C706" s="3187">
        <v>-1275</v>
      </c>
      <c r="D706" s="3187">
        <v>13.59</v>
      </c>
      <c r="E706" s="3187">
        <v>5.59</v>
      </c>
      <c r="F706" s="3193" t="s">
        <v>3593</v>
      </c>
    </row>
    <row r="707" spans="1:6" ht="15" thickBot="1">
      <c r="A707" s="3186">
        <v>704</v>
      </c>
      <c r="B707" s="3187" t="s">
        <v>4027</v>
      </c>
      <c r="C707" s="3187">
        <v>-1276</v>
      </c>
      <c r="D707" s="3187">
        <v>13.59</v>
      </c>
      <c r="E707" s="3187">
        <v>5.59</v>
      </c>
      <c r="F707" s="3193" t="s">
        <v>3593</v>
      </c>
    </row>
    <row r="708" spans="1:6" ht="15" thickBot="1">
      <c r="A708" s="3186">
        <v>705</v>
      </c>
      <c r="B708" s="3187" t="s">
        <v>4027</v>
      </c>
      <c r="C708" s="3187">
        <v>-1277</v>
      </c>
      <c r="D708" s="3187">
        <v>13.59</v>
      </c>
      <c r="E708" s="3187">
        <v>5.59</v>
      </c>
      <c r="F708" s="3193" t="s">
        <v>3593</v>
      </c>
    </row>
    <row r="709" spans="1:6" ht="15" thickBot="1">
      <c r="A709" s="3186">
        <v>706</v>
      </c>
      <c r="B709" s="3187" t="s">
        <v>4027</v>
      </c>
      <c r="C709" s="3187">
        <v>-1278</v>
      </c>
      <c r="D709" s="3187">
        <v>13.59</v>
      </c>
      <c r="E709" s="3187">
        <v>5.59</v>
      </c>
      <c r="F709" s="3193" t="s">
        <v>3593</v>
      </c>
    </row>
    <row r="710" spans="1:6" ht="15" thickBot="1">
      <c r="A710" s="3186">
        <v>707</v>
      </c>
      <c r="B710" s="3187" t="s">
        <v>4027</v>
      </c>
      <c r="C710" s="3187">
        <v>-1279</v>
      </c>
      <c r="D710" s="3187">
        <v>13.59</v>
      </c>
      <c r="E710" s="3187">
        <v>5.59</v>
      </c>
      <c r="F710" s="3193" t="s">
        <v>3593</v>
      </c>
    </row>
    <row r="711" spans="1:6" ht="15" thickBot="1">
      <c r="A711" s="3186">
        <v>708</v>
      </c>
      <c r="B711" s="3187" t="s">
        <v>4027</v>
      </c>
      <c r="C711" s="3187">
        <v>-1280</v>
      </c>
      <c r="D711" s="3187">
        <v>13.59</v>
      </c>
      <c r="E711" s="3187">
        <v>5.59</v>
      </c>
      <c r="F711" s="3193" t="s">
        <v>3593</v>
      </c>
    </row>
    <row r="712" spans="1:6" ht="15" thickBot="1">
      <c r="A712" s="3186">
        <v>709</v>
      </c>
      <c r="B712" s="3187" t="s">
        <v>4027</v>
      </c>
      <c r="C712" s="3187">
        <v>-1281</v>
      </c>
      <c r="D712" s="3187">
        <v>13.59</v>
      </c>
      <c r="E712" s="3187">
        <v>5.59</v>
      </c>
      <c r="F712" s="3193" t="s">
        <v>3593</v>
      </c>
    </row>
    <row r="713" spans="1:6" ht="15" thickBot="1">
      <c r="A713" s="3186">
        <v>710</v>
      </c>
      <c r="B713" s="3187" t="s">
        <v>4027</v>
      </c>
      <c r="C713" s="3187">
        <v>-1282</v>
      </c>
      <c r="D713" s="3187">
        <v>13.59</v>
      </c>
      <c r="E713" s="3187">
        <v>5.59</v>
      </c>
      <c r="F713" s="3193" t="s">
        <v>3593</v>
      </c>
    </row>
    <row r="714" spans="1:6" ht="15" thickBot="1">
      <c r="A714" s="3186">
        <v>711</v>
      </c>
      <c r="B714" s="3187" t="s">
        <v>4027</v>
      </c>
      <c r="C714" s="3187">
        <v>-1283</v>
      </c>
      <c r="D714" s="3187">
        <v>13.59</v>
      </c>
      <c r="E714" s="3187">
        <v>5.59</v>
      </c>
      <c r="F714" s="3193" t="s">
        <v>3593</v>
      </c>
    </row>
    <row r="715" spans="1:6" ht="15" thickBot="1">
      <c r="A715" s="3186">
        <v>712</v>
      </c>
      <c r="B715" s="3187" t="s">
        <v>4027</v>
      </c>
      <c r="C715" s="3187">
        <v>-1284</v>
      </c>
      <c r="D715" s="3187">
        <v>13.59</v>
      </c>
      <c r="E715" s="3187">
        <v>5.59</v>
      </c>
      <c r="F715" s="3193" t="s">
        <v>3593</v>
      </c>
    </row>
    <row r="716" spans="1:6" ht="15" thickBot="1">
      <c r="A716" s="3186">
        <v>713</v>
      </c>
      <c r="B716" s="3187" t="s">
        <v>4027</v>
      </c>
      <c r="C716" s="3187">
        <v>-1285</v>
      </c>
      <c r="D716" s="3187">
        <v>13.59</v>
      </c>
      <c r="E716" s="3187">
        <v>5.59</v>
      </c>
      <c r="F716" s="3193" t="s">
        <v>3593</v>
      </c>
    </row>
    <row r="717" spans="1:6" ht="15" thickBot="1">
      <c r="A717" s="3186">
        <v>714</v>
      </c>
      <c r="B717" s="3187" t="s">
        <v>4027</v>
      </c>
      <c r="C717" s="3187">
        <v>-1286</v>
      </c>
      <c r="D717" s="3187">
        <v>13.59</v>
      </c>
      <c r="E717" s="3187">
        <v>5.59</v>
      </c>
      <c r="F717" s="3193" t="s">
        <v>3593</v>
      </c>
    </row>
    <row r="718" spans="1:6" ht="15" thickBot="1">
      <c r="A718" s="3186">
        <v>715</v>
      </c>
      <c r="B718" s="3187" t="s">
        <v>4027</v>
      </c>
      <c r="C718" s="3187">
        <v>-1287</v>
      </c>
      <c r="D718" s="3187">
        <v>13.59</v>
      </c>
      <c r="E718" s="3187">
        <v>5.59</v>
      </c>
      <c r="F718" s="3193" t="s">
        <v>3593</v>
      </c>
    </row>
    <row r="719" spans="1:6" ht="15" thickBot="1">
      <c r="A719" s="3186">
        <v>716</v>
      </c>
      <c r="B719" s="3187" t="s">
        <v>4027</v>
      </c>
      <c r="C719" s="3187">
        <v>-1288</v>
      </c>
      <c r="D719" s="3187">
        <v>13.59</v>
      </c>
      <c r="E719" s="3187">
        <v>5.59</v>
      </c>
      <c r="F719" s="3193" t="s">
        <v>3593</v>
      </c>
    </row>
    <row r="720" spans="1:6" ht="15" thickBot="1">
      <c r="A720" s="3186">
        <v>717</v>
      </c>
      <c r="B720" s="3187" t="s">
        <v>4027</v>
      </c>
      <c r="C720" s="3187">
        <v>-1289</v>
      </c>
      <c r="D720" s="3187">
        <v>13.59</v>
      </c>
      <c r="E720" s="3187">
        <v>5.59</v>
      </c>
      <c r="F720" s="3193" t="s">
        <v>3593</v>
      </c>
    </row>
    <row r="721" spans="1:6" ht="15" thickBot="1">
      <c r="A721" s="3186">
        <v>718</v>
      </c>
      <c r="B721" s="3187" t="s">
        <v>4027</v>
      </c>
      <c r="C721" s="3187">
        <v>-1290</v>
      </c>
      <c r="D721" s="3187">
        <v>13.59</v>
      </c>
      <c r="E721" s="3187">
        <v>5.59</v>
      </c>
      <c r="F721" s="3193" t="s">
        <v>3593</v>
      </c>
    </row>
    <row r="722" spans="1:6" ht="15" thickBot="1">
      <c r="A722" s="3186">
        <v>719</v>
      </c>
      <c r="B722" s="3187" t="s">
        <v>4027</v>
      </c>
      <c r="C722" s="3187">
        <v>-1291</v>
      </c>
      <c r="D722" s="3187">
        <v>13.59</v>
      </c>
      <c r="E722" s="3187">
        <v>5.59</v>
      </c>
      <c r="F722" s="3193" t="s">
        <v>3593</v>
      </c>
    </row>
    <row r="723" spans="1:6" ht="15" thickBot="1">
      <c r="A723" s="3186">
        <v>720</v>
      </c>
      <c r="B723" s="3187" t="s">
        <v>4027</v>
      </c>
      <c r="C723" s="3187">
        <v>-1292</v>
      </c>
      <c r="D723" s="3187">
        <v>13.59</v>
      </c>
      <c r="E723" s="3187">
        <v>5.59</v>
      </c>
      <c r="F723" s="3193" t="s">
        <v>3593</v>
      </c>
    </row>
    <row r="724" spans="1:6" ht="15" thickBot="1">
      <c r="A724" s="3186">
        <v>721</v>
      </c>
      <c r="B724" s="3187" t="s">
        <v>4027</v>
      </c>
      <c r="C724" s="3187">
        <v>-1293</v>
      </c>
      <c r="D724" s="3187">
        <v>13.59</v>
      </c>
      <c r="E724" s="3187">
        <v>5.59</v>
      </c>
      <c r="F724" s="3193" t="s">
        <v>3593</v>
      </c>
    </row>
    <row r="725" spans="1:6" ht="15" thickBot="1">
      <c r="A725" s="3186">
        <v>722</v>
      </c>
      <c r="B725" s="3187" t="s">
        <v>4027</v>
      </c>
      <c r="C725" s="3187">
        <v>-1294</v>
      </c>
      <c r="D725" s="3187">
        <v>13.59</v>
      </c>
      <c r="E725" s="3187">
        <v>5.59</v>
      </c>
      <c r="F725" s="3193" t="s">
        <v>3593</v>
      </c>
    </row>
    <row r="726" spans="1:6" ht="15" thickBot="1">
      <c r="A726" s="3186">
        <v>723</v>
      </c>
      <c r="B726" s="3187" t="s">
        <v>4027</v>
      </c>
      <c r="C726" s="3187">
        <v>-1295</v>
      </c>
      <c r="D726" s="3187">
        <v>13.59</v>
      </c>
      <c r="E726" s="3187">
        <v>5.59</v>
      </c>
      <c r="F726" s="3193" t="s">
        <v>3593</v>
      </c>
    </row>
    <row r="727" spans="1:6" ht="15" thickBot="1">
      <c r="A727" s="3186">
        <v>724</v>
      </c>
      <c r="B727" s="3187" t="s">
        <v>4027</v>
      </c>
      <c r="C727" s="3187">
        <v>-1296</v>
      </c>
      <c r="D727" s="3187">
        <v>13.59</v>
      </c>
      <c r="E727" s="3187">
        <v>5.59</v>
      </c>
      <c r="F727" s="3193" t="s">
        <v>3593</v>
      </c>
    </row>
    <row r="728" spans="1:6" ht="15" thickBot="1">
      <c r="A728" s="3186">
        <v>725</v>
      </c>
      <c r="B728" s="3187" t="s">
        <v>4027</v>
      </c>
      <c r="C728" s="3187">
        <v>-1297</v>
      </c>
      <c r="D728" s="3187">
        <v>13.59</v>
      </c>
      <c r="E728" s="3187">
        <v>5.59</v>
      </c>
      <c r="F728" s="3193" t="s">
        <v>3593</v>
      </c>
    </row>
    <row r="729" spans="1:6" ht="15" thickBot="1">
      <c r="A729" s="3186">
        <v>726</v>
      </c>
      <c r="B729" s="3187" t="s">
        <v>4027</v>
      </c>
      <c r="C729" s="3187">
        <v>-1298</v>
      </c>
      <c r="D729" s="3187">
        <v>13.59</v>
      </c>
      <c r="E729" s="3187">
        <v>5.59</v>
      </c>
      <c r="F729" s="3193" t="s">
        <v>3593</v>
      </c>
    </row>
    <row r="730" spans="1:6" ht="15" thickBot="1">
      <c r="A730" s="3186">
        <v>727</v>
      </c>
      <c r="B730" s="3187" t="s">
        <v>4027</v>
      </c>
      <c r="C730" s="3187">
        <v>-1299</v>
      </c>
      <c r="D730" s="3187">
        <v>13.59</v>
      </c>
      <c r="E730" s="3187">
        <v>5.59</v>
      </c>
      <c r="F730" s="3193" t="s">
        <v>3593</v>
      </c>
    </row>
    <row r="731" spans="1:6" ht="15" thickBot="1">
      <c r="A731" s="3186">
        <v>728</v>
      </c>
      <c r="B731" s="3187" t="s">
        <v>4027</v>
      </c>
      <c r="C731" s="3187">
        <v>-1300</v>
      </c>
      <c r="D731" s="3187">
        <v>13.59</v>
      </c>
      <c r="E731" s="3187">
        <v>5.59</v>
      </c>
      <c r="F731" s="3193" t="s">
        <v>3593</v>
      </c>
    </row>
    <row r="732" spans="1:6" ht="15" thickBot="1">
      <c r="A732" s="3186">
        <v>729</v>
      </c>
      <c r="B732" s="3187" t="s">
        <v>4027</v>
      </c>
      <c r="C732" s="3187">
        <v>-1301</v>
      </c>
      <c r="D732" s="3187">
        <v>13.59</v>
      </c>
      <c r="E732" s="3187">
        <v>5.59</v>
      </c>
      <c r="F732" s="3193" t="s">
        <v>3593</v>
      </c>
    </row>
    <row r="733" spans="1:6" ht="15" thickBot="1">
      <c r="A733" s="3186">
        <v>730</v>
      </c>
      <c r="B733" s="3187" t="s">
        <v>4027</v>
      </c>
      <c r="C733" s="3187">
        <v>-1302</v>
      </c>
      <c r="D733" s="3187">
        <v>13.59</v>
      </c>
      <c r="E733" s="3187">
        <v>5.59</v>
      </c>
      <c r="F733" s="3193" t="s">
        <v>3593</v>
      </c>
    </row>
    <row r="734" spans="1:6" ht="15" thickBot="1">
      <c r="A734" s="3186">
        <v>731</v>
      </c>
      <c r="B734" s="3187" t="s">
        <v>4027</v>
      </c>
      <c r="C734" s="3187">
        <v>-1303</v>
      </c>
      <c r="D734" s="3187">
        <v>13.59</v>
      </c>
      <c r="E734" s="3187">
        <v>5.59</v>
      </c>
      <c r="F734" s="3193" t="s">
        <v>3593</v>
      </c>
    </row>
    <row r="735" spans="1:6" ht="15" thickBot="1">
      <c r="A735" s="3186">
        <v>732</v>
      </c>
      <c r="B735" s="3187" t="s">
        <v>4027</v>
      </c>
      <c r="C735" s="3187">
        <v>-1304</v>
      </c>
      <c r="D735" s="3187">
        <v>13.59</v>
      </c>
      <c r="E735" s="3187">
        <v>5.59</v>
      </c>
      <c r="F735" s="3193" t="s">
        <v>3593</v>
      </c>
    </row>
    <row r="736" spans="1:6" ht="15" thickBot="1">
      <c r="A736" s="3186">
        <v>733</v>
      </c>
      <c r="B736" s="3187" t="s">
        <v>4027</v>
      </c>
      <c r="C736" s="3187">
        <v>-1305</v>
      </c>
      <c r="D736" s="3187">
        <v>13.59</v>
      </c>
      <c r="E736" s="3187">
        <v>5.59</v>
      </c>
      <c r="F736" s="3193" t="s">
        <v>3593</v>
      </c>
    </row>
    <row r="737" spans="1:6" ht="15" thickBot="1">
      <c r="A737" s="3186">
        <v>734</v>
      </c>
      <c r="B737" s="3187" t="s">
        <v>4027</v>
      </c>
      <c r="C737" s="3187">
        <v>-1306</v>
      </c>
      <c r="D737" s="3187">
        <v>13.59</v>
      </c>
      <c r="E737" s="3187">
        <v>5.59</v>
      </c>
      <c r="F737" s="3193" t="s">
        <v>3593</v>
      </c>
    </row>
    <row r="738" spans="1:6" ht="15" thickBot="1">
      <c r="A738" s="3186">
        <v>735</v>
      </c>
      <c r="B738" s="3187" t="s">
        <v>4027</v>
      </c>
      <c r="C738" s="3187">
        <v>-1307</v>
      </c>
      <c r="D738" s="3187">
        <v>13.59</v>
      </c>
      <c r="E738" s="3187">
        <v>5.59</v>
      </c>
      <c r="F738" s="3193" t="s">
        <v>3593</v>
      </c>
    </row>
    <row r="739" spans="1:6" ht="15" thickBot="1">
      <c r="A739" s="3186">
        <v>736</v>
      </c>
      <c r="B739" s="3187" t="s">
        <v>4027</v>
      </c>
      <c r="C739" s="3187">
        <v>-1308</v>
      </c>
      <c r="D739" s="3187">
        <v>20.38</v>
      </c>
      <c r="E739" s="3187">
        <v>8.39</v>
      </c>
      <c r="F739" s="3193" t="s">
        <v>3593</v>
      </c>
    </row>
    <row r="740" spans="1:6" ht="15" thickBot="1">
      <c r="A740" s="3186">
        <v>737</v>
      </c>
      <c r="B740" s="3187" t="s">
        <v>4027</v>
      </c>
      <c r="C740" s="3187">
        <v>-1309</v>
      </c>
      <c r="D740" s="3187">
        <v>13.59</v>
      </c>
      <c r="E740" s="3187">
        <v>5.59</v>
      </c>
      <c r="F740" s="3193" t="s">
        <v>3593</v>
      </c>
    </row>
    <row r="741" spans="1:6" ht="15" thickBot="1">
      <c r="A741" s="3186">
        <v>738</v>
      </c>
      <c r="B741" s="3187" t="s">
        <v>4027</v>
      </c>
      <c r="C741" s="3187">
        <v>-1310</v>
      </c>
      <c r="D741" s="3187">
        <v>13.59</v>
      </c>
      <c r="E741" s="3187">
        <v>5.59</v>
      </c>
      <c r="F741" s="3193" t="s">
        <v>3593</v>
      </c>
    </row>
    <row r="742" spans="1:6" ht="15" thickBot="1">
      <c r="A742" s="3186">
        <v>739</v>
      </c>
      <c r="B742" s="3187" t="s">
        <v>4027</v>
      </c>
      <c r="C742" s="3187">
        <v>-1311</v>
      </c>
      <c r="D742" s="3187">
        <v>13.59</v>
      </c>
      <c r="E742" s="3187">
        <v>5.59</v>
      </c>
      <c r="F742" s="3193" t="s">
        <v>3593</v>
      </c>
    </row>
    <row r="743" spans="1:6" ht="15" thickBot="1">
      <c r="A743" s="3186">
        <v>740</v>
      </c>
      <c r="B743" s="3187" t="s">
        <v>4027</v>
      </c>
      <c r="C743" s="3187">
        <v>-1312</v>
      </c>
      <c r="D743" s="3187">
        <v>13.59</v>
      </c>
      <c r="E743" s="3187">
        <v>5.59</v>
      </c>
      <c r="F743" s="3193" t="s">
        <v>3593</v>
      </c>
    </row>
    <row r="744" spans="1:6" ht="15" thickBot="1">
      <c r="A744" s="3186">
        <v>741</v>
      </c>
      <c r="B744" s="3187" t="s">
        <v>4027</v>
      </c>
      <c r="C744" s="3187">
        <v>-1313</v>
      </c>
      <c r="D744" s="3187">
        <v>13.59</v>
      </c>
      <c r="E744" s="3187">
        <v>5.59</v>
      </c>
      <c r="F744" s="3193" t="s">
        <v>3593</v>
      </c>
    </row>
    <row r="745" spans="1:6" ht="15" thickBot="1">
      <c r="A745" s="3186">
        <v>742</v>
      </c>
      <c r="B745" s="3187" t="s">
        <v>4027</v>
      </c>
      <c r="C745" s="3187">
        <v>-1314</v>
      </c>
      <c r="D745" s="3187">
        <v>13.59</v>
      </c>
      <c r="E745" s="3187">
        <v>5.59</v>
      </c>
      <c r="F745" s="3193" t="s">
        <v>3593</v>
      </c>
    </row>
    <row r="746" spans="1:6" ht="15" thickBot="1">
      <c r="A746" s="3186">
        <v>743</v>
      </c>
      <c r="B746" s="3187" t="s">
        <v>4027</v>
      </c>
      <c r="C746" s="3187">
        <v>-1315</v>
      </c>
      <c r="D746" s="3187">
        <v>13.59</v>
      </c>
      <c r="E746" s="3187">
        <v>5.59</v>
      </c>
      <c r="F746" s="3193" t="s">
        <v>3593</v>
      </c>
    </row>
    <row r="747" spans="1:6" ht="15" thickBot="1">
      <c r="A747" s="3186">
        <v>744</v>
      </c>
      <c r="B747" s="3187" t="s">
        <v>4027</v>
      </c>
      <c r="C747" s="3187">
        <v>-1316</v>
      </c>
      <c r="D747" s="3187">
        <v>13.59</v>
      </c>
      <c r="E747" s="3187">
        <v>5.59</v>
      </c>
      <c r="F747" s="3193" t="s">
        <v>3593</v>
      </c>
    </row>
    <row r="748" spans="1:6" ht="15" thickBot="1">
      <c r="A748" s="3186">
        <v>745</v>
      </c>
      <c r="B748" s="3187" t="s">
        <v>4027</v>
      </c>
      <c r="C748" s="3187">
        <v>-1317</v>
      </c>
      <c r="D748" s="3187">
        <v>13.59</v>
      </c>
      <c r="E748" s="3187">
        <v>5.59</v>
      </c>
      <c r="F748" s="3193" t="s">
        <v>3593</v>
      </c>
    </row>
    <row r="749" spans="1:6" ht="15" thickBot="1">
      <c r="A749" s="3186">
        <v>746</v>
      </c>
      <c r="B749" s="3187" t="s">
        <v>4027</v>
      </c>
      <c r="C749" s="3187">
        <v>-1318</v>
      </c>
      <c r="D749" s="3187">
        <v>13.59</v>
      </c>
      <c r="E749" s="3187">
        <v>5.59</v>
      </c>
      <c r="F749" s="3193" t="s">
        <v>3593</v>
      </c>
    </row>
    <row r="750" spans="1:6" ht="15" thickBot="1">
      <c r="A750" s="3186">
        <v>747</v>
      </c>
      <c r="B750" s="3187" t="s">
        <v>4027</v>
      </c>
      <c r="C750" s="3187">
        <v>-1319</v>
      </c>
      <c r="D750" s="3187">
        <v>13.59</v>
      </c>
      <c r="E750" s="3187">
        <v>5.59</v>
      </c>
      <c r="F750" s="3193" t="s">
        <v>3593</v>
      </c>
    </row>
    <row r="751" spans="1:6" ht="15" thickBot="1">
      <c r="A751" s="3186">
        <v>748</v>
      </c>
      <c r="B751" s="3187" t="s">
        <v>4027</v>
      </c>
      <c r="C751" s="3187">
        <v>-1320</v>
      </c>
      <c r="D751" s="3187">
        <v>13.59</v>
      </c>
      <c r="E751" s="3187">
        <v>5.59</v>
      </c>
      <c r="F751" s="3193" t="s">
        <v>3593</v>
      </c>
    </row>
    <row r="752" spans="1:6" ht="15" thickBot="1">
      <c r="A752" s="3186">
        <v>749</v>
      </c>
      <c r="B752" s="3187" t="s">
        <v>4027</v>
      </c>
      <c r="C752" s="3187">
        <v>-1321</v>
      </c>
      <c r="D752" s="3187">
        <v>13.59</v>
      </c>
      <c r="E752" s="3187">
        <v>5.59</v>
      </c>
      <c r="F752" s="3193" t="s">
        <v>3593</v>
      </c>
    </row>
    <row r="753" spans="1:6" ht="15" thickBot="1">
      <c r="A753" s="3186">
        <v>750</v>
      </c>
      <c r="B753" s="3187" t="s">
        <v>4027</v>
      </c>
      <c r="C753" s="3187">
        <v>-1322</v>
      </c>
      <c r="D753" s="3187">
        <v>13.59</v>
      </c>
      <c r="E753" s="3187">
        <v>5.59</v>
      </c>
      <c r="F753" s="3193" t="s">
        <v>3593</v>
      </c>
    </row>
    <row r="754" spans="1:6" ht="15" thickBot="1">
      <c r="A754" s="3186">
        <v>751</v>
      </c>
      <c r="B754" s="3187" t="s">
        <v>4027</v>
      </c>
      <c r="C754" s="3187">
        <v>-1323</v>
      </c>
      <c r="D754" s="3187">
        <v>13.59</v>
      </c>
      <c r="E754" s="3187">
        <v>5.59</v>
      </c>
      <c r="F754" s="3193" t="s">
        <v>3593</v>
      </c>
    </row>
    <row r="755" spans="1:6" ht="15" thickBot="1">
      <c r="A755" s="3186"/>
      <c r="B755" s="3187" t="s">
        <v>4033</v>
      </c>
      <c r="C755" s="3187"/>
      <c r="D755" s="3187">
        <f>SUM(D432:D754)</f>
        <v>4935.5300000000207</v>
      </c>
      <c r="E755" s="3187">
        <f>SUM(E432:E754)</f>
        <v>2030.5599999999906</v>
      </c>
      <c r="F755" s="3193"/>
    </row>
    <row r="756" spans="1:6" ht="15" thickBot="1">
      <c r="A756" s="3268" t="s">
        <v>4028</v>
      </c>
      <c r="B756" s="3269"/>
      <c r="C756" s="3270"/>
      <c r="D756" s="3194">
        <f>SUM(D755,D431,D425)</f>
        <v>42993.910000000222</v>
      </c>
      <c r="E756" s="3194">
        <f>SUM(E755,E431,E425)</f>
        <v>17707.409999999949</v>
      </c>
      <c r="F756" s="3188"/>
    </row>
  </sheetData>
  <mergeCells count="1">
    <mergeCell ref="A756:C75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sqref="M13:O1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hidden="1" customWidth="1"/>
    <col min="18" max="18" width="9.21875" style="1462" hidden="1" customWidth="1"/>
    <col min="19" max="19" width="10.88671875" style="1462" hidden="1" customWidth="1"/>
    <col min="20" max="21" width="10.77734375" style="1462" hidden="1" customWidth="1"/>
    <col min="22" max="22" width="10.88671875" style="1462" hidden="1" customWidth="1"/>
    <col min="23" max="27" width="10.77734375" style="1462" hidden="1" customWidth="1"/>
    <col min="28" max="28" width="10.88671875" style="1462" hidden="1"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清单!E756</f>
        <v>17707.409999999949</v>
      </c>
      <c r="B3" s="11">
        <f>IF(C3="否",G5-AT5,G5)</f>
        <v>42993.910000000222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42993.910000000222</v>
      </c>
      <c r="H5" s="13">
        <f t="shared" ref="H5:AT5" si="0">SUM(H13:H656)</f>
        <v>42657.230000000221</v>
      </c>
      <c r="I5" s="13">
        <f t="shared" si="0"/>
        <v>36485.100000000202</v>
      </c>
      <c r="J5" s="13">
        <f t="shared" si="0"/>
        <v>0</v>
      </c>
      <c r="K5" s="13">
        <f t="shared" si="0"/>
        <v>1236.5999999999999</v>
      </c>
      <c r="L5" s="13">
        <f t="shared" si="0"/>
        <v>0</v>
      </c>
      <c r="M5" s="13">
        <f t="shared" si="0"/>
        <v>4148.920000000021</v>
      </c>
      <c r="N5" s="13">
        <f t="shared" si="0"/>
        <v>0</v>
      </c>
      <c r="O5" s="13">
        <f t="shared" si="0"/>
        <v>786.60999999999979</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336.68000000000029</v>
      </c>
      <c r="AD5" s="13">
        <f t="shared" si="0"/>
        <v>0</v>
      </c>
      <c r="AE5" s="13">
        <f t="shared" si="0"/>
        <v>0</v>
      </c>
      <c r="AF5" s="13">
        <f t="shared" si="0"/>
        <v>336.68000000000029</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42993.910000000222</v>
      </c>
      <c r="BA5" s="15">
        <f t="shared" si="1"/>
        <v>42657.230000000221</v>
      </c>
      <c r="BB5" s="15">
        <f t="shared" si="1"/>
        <v>36485.100000000202</v>
      </c>
      <c r="BC5" s="15">
        <f t="shared" si="1"/>
        <v>1236.5999999999999</v>
      </c>
      <c r="BD5" s="15">
        <f t="shared" si="1"/>
        <v>4148.920000000021</v>
      </c>
      <c r="BE5" s="15">
        <f t="shared" si="1"/>
        <v>786.60999999999979</v>
      </c>
      <c r="BF5" s="15">
        <f t="shared" si="1"/>
        <v>0</v>
      </c>
      <c r="BG5" s="15">
        <f t="shared" si="1"/>
        <v>0</v>
      </c>
      <c r="BH5" s="15">
        <f t="shared" si="1"/>
        <v>0</v>
      </c>
      <c r="BI5" s="15">
        <f t="shared" si="1"/>
        <v>0</v>
      </c>
      <c r="BJ5" s="15">
        <f t="shared" si="1"/>
        <v>0</v>
      </c>
      <c r="BK5" s="15">
        <f t="shared" si="1"/>
        <v>0</v>
      </c>
      <c r="BL5" s="15">
        <f t="shared" si="1"/>
        <v>336.68000000000029</v>
      </c>
      <c r="BM5" s="15">
        <f t="shared" si="1"/>
        <v>0</v>
      </c>
      <c r="BN5" s="15">
        <f t="shared" si="1"/>
        <v>336.68000000000029</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17707.400000000001</v>
      </c>
      <c r="F6" s="13" t="s">
        <v>0</v>
      </c>
      <c r="G6" s="13" t="s">
        <v>1</v>
      </c>
      <c r="H6" s="17">
        <f>SUMIF(I$12:AB$12,"总值",I6:AB6)</f>
        <v>17568.740000000002</v>
      </c>
      <c r="I6" s="13">
        <f t="shared" ref="I6:AB6" si="2">ROUND($A$3*I5/$B$3,2)</f>
        <v>15026.7</v>
      </c>
      <c r="J6" s="13">
        <f t="shared" si="2"/>
        <v>0</v>
      </c>
      <c r="K6" s="13">
        <f t="shared" si="2"/>
        <v>509.3</v>
      </c>
      <c r="L6" s="13">
        <f t="shared" si="2"/>
        <v>0</v>
      </c>
      <c r="M6" s="13">
        <f t="shared" si="2"/>
        <v>1708.77</v>
      </c>
      <c r="N6" s="13">
        <f t="shared" si="2"/>
        <v>0</v>
      </c>
      <c r="O6" s="13">
        <f t="shared" si="2"/>
        <v>323.97000000000003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138.66</v>
      </c>
      <c r="AD6" s="13">
        <f t="shared" ref="AD6:AS6" si="3">ROUND($A$3*AD5/$B$3,2)</f>
        <v>0</v>
      </c>
      <c r="AE6" s="13">
        <f t="shared" si="3"/>
        <v>0</v>
      </c>
      <c r="AF6" s="13">
        <f t="shared" si="3"/>
        <v>138.66</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17707.41</v>
      </c>
      <c r="AZ6" s="13" t="s">
        <v>2</v>
      </c>
      <c r="BA6" s="13">
        <f>ROUND($AY$6*BA5/$AZ$5,2)</f>
        <v>17568.75</v>
      </c>
      <c r="BB6" s="13">
        <f>ROUND($AY$6*BB5/$AZ$5,2)</f>
        <v>15026.7</v>
      </c>
      <c r="BC6" s="13">
        <f t="shared" ref="BC6:BH6" si="4">ROUND($AY$6*BC5/$AZ$5,2)</f>
        <v>509.3</v>
      </c>
      <c r="BD6" s="13">
        <f t="shared" si="4"/>
        <v>1708.77</v>
      </c>
      <c r="BE6" s="13">
        <f t="shared" si="4"/>
        <v>323.97000000000003</v>
      </c>
      <c r="BF6" s="13">
        <f t="shared" si="4"/>
        <v>0</v>
      </c>
      <c r="BG6" s="13">
        <f t="shared" si="4"/>
        <v>0</v>
      </c>
      <c r="BH6" s="13">
        <f t="shared" si="4"/>
        <v>0</v>
      </c>
      <c r="BI6" s="13">
        <f t="shared" ref="BI6:BT6" si="5">ROUND($AY$6*BI5/$AZ$5,2)</f>
        <v>0</v>
      </c>
      <c r="BJ6" s="13">
        <f t="shared" si="5"/>
        <v>0</v>
      </c>
      <c r="BK6" s="13">
        <f t="shared" si="5"/>
        <v>0</v>
      </c>
      <c r="BL6" s="13">
        <f t="shared" si="5"/>
        <v>138.66</v>
      </c>
      <c r="BM6" s="13">
        <f t="shared" si="5"/>
        <v>0</v>
      </c>
      <c r="BN6" s="13">
        <f t="shared" si="5"/>
        <v>138.66</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3169" t="s">
        <v>3414</v>
      </c>
      <c r="J9" s="760"/>
      <c r="K9" s="3169" t="s">
        <v>3415</v>
      </c>
      <c r="L9" s="760"/>
      <c r="M9" s="3169" t="s">
        <v>3415</v>
      </c>
      <c r="N9" s="760"/>
      <c r="O9" s="3169" t="s">
        <v>3415</v>
      </c>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3169" t="s">
        <v>3394</v>
      </c>
      <c r="J10" s="760"/>
      <c r="K10" s="3170" t="s">
        <v>673</v>
      </c>
      <c r="L10" s="760"/>
      <c r="M10" s="3170" t="s">
        <v>3322</v>
      </c>
      <c r="N10" s="760"/>
      <c r="O10" s="3170" t="s">
        <v>3322</v>
      </c>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317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t="str">
        <f>K10</f>
        <v>商业</v>
      </c>
      <c r="BD11" s="1486" t="str">
        <f>M10</f>
        <v>车库</v>
      </c>
      <c r="BE11" s="1486" t="str">
        <f>O10</f>
        <v>车库</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3167" t="s">
        <v>3412</v>
      </c>
      <c r="B13" s="3167"/>
      <c r="C13" s="3167"/>
      <c r="D13" s="3168" t="s">
        <v>3413</v>
      </c>
      <c r="E13" s="13">
        <f>IF($C$3="是",ROUND($A$3*G13/$B$3,2),ROUND($A$3*(G13-AT13)/$B$3,2))</f>
        <v>17707.41</v>
      </c>
      <c r="F13" s="29"/>
      <c r="G13" s="30">
        <f>H13+AC13+AT13</f>
        <v>42993.910000000222</v>
      </c>
      <c r="H13" s="17">
        <f>SUMIF(I$12:AB$12,"总值",I13:AB13)</f>
        <v>42657.230000000221</v>
      </c>
      <c r="I13" s="1513">
        <f>清单!J2</f>
        <v>36485.100000000202</v>
      </c>
      <c r="J13" s="1513"/>
      <c r="K13" s="1513">
        <f>清单!M3</f>
        <v>1236.5999999999999</v>
      </c>
      <c r="L13" s="1513"/>
      <c r="M13" s="1513">
        <f>清单!J4</f>
        <v>4148.920000000021</v>
      </c>
      <c r="N13" s="1513"/>
      <c r="O13" s="1513">
        <f>清单!J5</f>
        <v>786.60999999999979</v>
      </c>
      <c r="P13" s="1513"/>
      <c r="Q13" s="1513"/>
      <c r="R13" s="1513"/>
      <c r="S13" s="1513"/>
      <c r="T13" s="1513"/>
      <c r="U13" s="1513"/>
      <c r="V13" s="1513"/>
      <c r="W13" s="1513"/>
      <c r="X13" s="1513"/>
      <c r="Y13" s="1513"/>
      <c r="Z13" s="1513"/>
      <c r="AA13" s="1513"/>
      <c r="AB13" s="1513"/>
      <c r="AC13" s="13">
        <f>SUMIF(AD$12:AS$12,"总值",AD13:AS13)</f>
        <v>336.68000000000029</v>
      </c>
      <c r="AD13" s="988"/>
      <c r="AE13" s="988"/>
      <c r="AF13" s="988">
        <f>清单!J3-清单!M3</f>
        <v>336.68000000000029</v>
      </c>
      <c r="AG13" s="988"/>
      <c r="AH13" s="988"/>
      <c r="AI13" s="988"/>
      <c r="AJ13" s="988"/>
      <c r="AK13" s="988"/>
      <c r="AL13" s="988"/>
      <c r="AM13" s="988"/>
      <c r="AN13" s="988"/>
      <c r="AO13" s="988"/>
      <c r="AP13" s="988"/>
      <c r="AQ13" s="988"/>
      <c r="AR13" s="988"/>
      <c r="AS13" s="988"/>
      <c r="AT13" s="29"/>
      <c r="AU13" s="1514"/>
      <c r="AV13" s="8" t="str">
        <f t="shared" ref="AV13:AX17" si="6">A13</f>
        <v>15地块</v>
      </c>
      <c r="AW13" s="8">
        <f t="shared" si="6"/>
        <v>0</v>
      </c>
      <c r="AX13" s="8">
        <f t="shared" si="6"/>
        <v>0</v>
      </c>
      <c r="AY13" s="1259">
        <f>ROUND($AY$6*AZ13/$AZ$5,2)</f>
        <v>17707.41</v>
      </c>
      <c r="AZ13" s="13">
        <f>BA13+BL13</f>
        <v>42993.910000000222</v>
      </c>
      <c r="BA13" s="13">
        <f>SUM(BB13:BK13)</f>
        <v>42657.230000000221</v>
      </c>
      <c r="BB13" s="13">
        <f>IF($D13="是",I13-J13,0)</f>
        <v>36485.100000000202</v>
      </c>
      <c r="BC13" s="13">
        <f>IF($D13="是",K13-L13,0)</f>
        <v>1236.5999999999999</v>
      </c>
      <c r="BD13" s="13">
        <f>IF($D13="是",M13-N13,0)</f>
        <v>4148.920000000021</v>
      </c>
      <c r="BE13" s="13">
        <f>IF($D13="是",O13-P13,0)</f>
        <v>786.60999999999979</v>
      </c>
      <c r="BF13" s="13">
        <f>IF($D13="是",Q13-R13,0)</f>
        <v>0</v>
      </c>
      <c r="BG13" s="13">
        <f>IF($D13="是",S13-T13,0)</f>
        <v>0</v>
      </c>
      <c r="BH13" s="13">
        <f>IF($D13="是",U13-V13,0)</f>
        <v>0</v>
      </c>
      <c r="BI13" s="13">
        <f>IF($D13="是",W13-X13,0)</f>
        <v>0</v>
      </c>
      <c r="BJ13" s="13">
        <f>IF($D13="是",Y13-Z13,0)</f>
        <v>0</v>
      </c>
      <c r="BK13" s="13">
        <f>IF($D13="是",AA13-AB13,0)</f>
        <v>0</v>
      </c>
      <c r="BL13" s="13">
        <f>SUM(BM13:BT13)</f>
        <v>336.68000000000029</v>
      </c>
      <c r="BM13" s="13">
        <f>IF($D13="是",AD13-AE13,0)</f>
        <v>0</v>
      </c>
      <c r="BN13" s="13">
        <f>IF($D13="是",AF13-AG13,0)</f>
        <v>336.68000000000029</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80" t="s">
        <v>1131</v>
      </c>
      <c r="B2" s="3280"/>
      <c r="C2" s="3280"/>
      <c r="D2" s="747" t="s">
        <v>1107</v>
      </c>
      <c r="E2" s="1522" t="s">
        <v>1108</v>
      </c>
      <c r="F2" s="2433"/>
      <c r="G2" s="2426"/>
      <c r="H2" s="2427"/>
      <c r="I2" s="2145" t="s">
        <v>1132</v>
      </c>
      <c r="J2" s="2433"/>
      <c r="K2" s="2433"/>
      <c r="L2" s="2433"/>
      <c r="M2" s="2433"/>
      <c r="N2" s="2434"/>
      <c r="O2" s="2433"/>
      <c r="P2" s="2433"/>
    </row>
    <row r="3" spans="1:16" ht="15" thickBot="1">
      <c r="A3" s="3281" t="s">
        <v>1105</v>
      </c>
      <c r="B3" s="3281"/>
      <c r="C3" s="3281"/>
      <c r="D3" s="41">
        <f>'数据-基础表'!AY6</f>
        <v>17707.41</v>
      </c>
      <c r="E3" s="41">
        <f>'数据-基础表'!AZ5</f>
        <v>42993.910000000222</v>
      </c>
      <c r="F3" s="2433"/>
      <c r="G3" s="42"/>
      <c r="H3" s="43" t="s">
        <v>1106</v>
      </c>
      <c r="I3" s="801">
        <f>ROUND('数据-基础表'!B3/'数据-基础表'!A3,2)</f>
        <v>2.4300000000000002</v>
      </c>
      <c r="J3" s="2433"/>
      <c r="K3" s="2433"/>
      <c r="L3" s="2433"/>
      <c r="M3" s="2433"/>
      <c r="N3" s="2434"/>
      <c r="O3" s="2433"/>
      <c r="P3" s="2433"/>
    </row>
    <row r="4" spans="1:16" ht="14.4">
      <c r="A4" s="3282"/>
      <c r="B4" s="3283"/>
      <c r="C4" s="3284"/>
      <c r="D4" s="1523" t="s">
        <v>1107</v>
      </c>
      <c r="E4" s="1524" t="s">
        <v>1108</v>
      </c>
      <c r="F4" s="2433"/>
      <c r="G4" s="2428" t="s">
        <v>1133</v>
      </c>
      <c r="H4" s="43" t="s">
        <v>1113</v>
      </c>
      <c r="I4" s="801">
        <f>ROUND(SUMIF('数据-基础表'!I9:AS9,"地上",'数据-基础表'!I5:AS5)/'数据-基础表'!A3,2)</f>
        <v>2.06</v>
      </c>
      <c r="J4" s="2433"/>
      <c r="K4" s="2433"/>
      <c r="L4" s="2433"/>
      <c r="M4" s="2433"/>
      <c r="N4" s="2434"/>
      <c r="O4" s="2433"/>
      <c r="P4" s="2433"/>
    </row>
    <row r="5" spans="1:16" ht="14.4">
      <c r="A5" s="42" t="s">
        <v>1109</v>
      </c>
      <c r="B5" s="3285" t="s">
        <v>1110</v>
      </c>
      <c r="C5" s="3285"/>
      <c r="D5" s="43">
        <f>ROUND($D$3*E5/$E$3,2)</f>
        <v>15026.7</v>
      </c>
      <c r="E5" s="44">
        <f>SUMIF('数据-基础表'!$11:$11,"住宅",'数据-基础表'!$5:$5)</f>
        <v>36485.100000000202</v>
      </c>
      <c r="F5" s="2433"/>
      <c r="G5" s="42"/>
      <c r="H5" s="43" t="s">
        <v>1106</v>
      </c>
      <c r="I5" s="801">
        <f>ROUND(E31/D31,2)</f>
        <v>2.4300000000000002</v>
      </c>
      <c r="J5" s="2433"/>
      <c r="K5" s="2433"/>
      <c r="L5" s="2433"/>
      <c r="M5" s="2433"/>
      <c r="N5" s="2433"/>
      <c r="O5" s="2433"/>
      <c r="P5" s="2433"/>
    </row>
    <row r="6" spans="1:16" ht="15" thickBot="1">
      <c r="A6" s="1526"/>
      <c r="B6" s="3285" t="s">
        <v>1111</v>
      </c>
      <c r="C6" s="3285"/>
      <c r="D6" s="43">
        <f>ROUND($D$3*E6/$E$3,2)</f>
        <v>2680.71</v>
      </c>
      <c r="E6" s="44">
        <f>E3-E5</f>
        <v>6508.8100000000195</v>
      </c>
      <c r="F6" s="2433"/>
      <c r="G6" s="1528" t="s">
        <v>1112</v>
      </c>
      <c r="H6" s="45" t="s">
        <v>1113</v>
      </c>
      <c r="I6" s="2429">
        <f>ROUND(F31/D31,2)</f>
        <v>2.06</v>
      </c>
      <c r="J6" s="2433"/>
      <c r="K6" s="2433"/>
      <c r="L6" s="2433"/>
      <c r="M6" s="2433"/>
      <c r="N6" s="2433"/>
      <c r="O6" s="2433"/>
      <c r="P6" s="2433"/>
    </row>
    <row r="7" spans="1:16" ht="15" thickBot="1">
      <c r="A7" s="3277"/>
      <c r="B7" s="3278"/>
      <c r="C7" s="3279"/>
      <c r="D7" s="1523" t="s">
        <v>1107</v>
      </c>
      <c r="E7" s="1527" t="s">
        <v>1114</v>
      </c>
      <c r="F7" s="2433"/>
      <c r="G7" s="2430" t="s">
        <v>1115</v>
      </c>
      <c r="H7" s="95"/>
      <c r="I7" s="2431"/>
      <c r="J7" s="2433"/>
      <c r="K7" s="2433"/>
      <c r="L7" s="2433"/>
      <c r="M7" s="2433"/>
      <c r="N7" s="2433"/>
      <c r="O7" s="2433"/>
      <c r="P7" s="2433"/>
    </row>
    <row r="8" spans="1:16" ht="14.4">
      <c r="A8" s="42" t="s">
        <v>1116</v>
      </c>
      <c r="B8" s="45" t="s">
        <v>1117</v>
      </c>
      <c r="C8" s="43" t="s">
        <v>1118</v>
      </c>
      <c r="D8" s="43">
        <f t="shared" ref="D8:D15" si="0">ROUND($D$3*E8/$E$3,2)</f>
        <v>15026.7</v>
      </c>
      <c r="E8" s="46">
        <f>SUMIF('数据-基础表'!BB10:BK10,"地上",'数据-基础表'!BB5:BK5)</f>
        <v>36485.100000000202</v>
      </c>
      <c r="F8" s="2433"/>
      <c r="G8" s="2433"/>
      <c r="H8" s="2433"/>
      <c r="I8" s="2433"/>
      <c r="J8" s="2433"/>
      <c r="K8" s="2433"/>
      <c r="L8" s="2433"/>
      <c r="M8" s="2433"/>
      <c r="N8" s="2433"/>
      <c r="O8" s="2433"/>
      <c r="P8" s="2433"/>
    </row>
    <row r="9" spans="1:16" ht="14.4">
      <c r="A9" s="1528"/>
      <c r="B9" s="1529"/>
      <c r="C9" s="43" t="s">
        <v>1119</v>
      </c>
      <c r="D9" s="43">
        <f t="shared" si="0"/>
        <v>0</v>
      </c>
      <c r="E9" s="47">
        <v>0</v>
      </c>
      <c r="F9" s="2433"/>
      <c r="G9" s="2433"/>
      <c r="H9" s="2433"/>
      <c r="I9" s="2433"/>
      <c r="J9" s="2433"/>
      <c r="K9" s="2433"/>
      <c r="L9" s="2433"/>
      <c r="M9" s="2433"/>
      <c r="N9" s="2433"/>
      <c r="O9" s="2433"/>
      <c r="P9" s="2433"/>
    </row>
    <row r="10" spans="1:16" ht="14.4">
      <c r="A10" s="1528"/>
      <c r="B10" s="1529"/>
      <c r="C10" s="43" t="s">
        <v>1128</v>
      </c>
      <c r="D10" s="43">
        <f t="shared" si="0"/>
        <v>509.3</v>
      </c>
      <c r="E10" s="46">
        <f>SUMPRODUCT(('数据-基础表'!BB10:BK10="地下")*('数据-基础表'!BB11:BK11="商业")*('数据-基础表'!BB5:BK5))</f>
        <v>1236.5999999999999</v>
      </c>
      <c r="F10" s="2433"/>
      <c r="G10" s="2433"/>
      <c r="H10" s="2433"/>
      <c r="I10" s="2433"/>
      <c r="J10" s="2433"/>
      <c r="K10" s="2433"/>
      <c r="L10" s="2433"/>
      <c r="M10" s="2433"/>
      <c r="N10" s="2433"/>
      <c r="O10" s="2433"/>
      <c r="P10" s="2433"/>
    </row>
    <row r="11" spans="1:16" ht="14.4">
      <c r="A11" s="1528"/>
      <c r="B11" s="1529"/>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ht="14.4">
      <c r="A12" s="1528"/>
      <c r="B12" s="1529"/>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ht="14.4">
      <c r="A13" s="1528"/>
      <c r="B13" s="1529"/>
      <c r="C13" s="43" t="s">
        <v>1122</v>
      </c>
      <c r="D13" s="43">
        <f t="shared" si="0"/>
        <v>2032.74</v>
      </c>
      <c r="E13" s="46">
        <f>SUMPRODUCT(('数据-基础表'!BB10:BK10="地下")*('数据-基础表'!BB11:BK11="车库")*('数据-基础表'!BB5:BK5))</f>
        <v>4935.5300000000207</v>
      </c>
      <c r="F13" s="2433"/>
      <c r="G13" s="2433"/>
      <c r="H13" s="2433"/>
      <c r="I13" s="2433"/>
      <c r="J13" s="2433"/>
      <c r="K13" s="2433"/>
      <c r="L13" s="2433"/>
      <c r="M13" s="2433"/>
      <c r="N13" s="2433"/>
      <c r="O13" s="2433"/>
      <c r="P13" s="2433"/>
    </row>
    <row r="14" spans="1:16" ht="14.4">
      <c r="A14" s="1528"/>
      <c r="B14" s="1529"/>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8"/>
      <c r="B15" s="1529"/>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 thickBot="1">
      <c r="A16" s="1526"/>
      <c r="B16" s="1529"/>
      <c r="C16" s="45" t="s">
        <v>1123</v>
      </c>
      <c r="D16" s="45">
        <f>SUM(D8:D15)</f>
        <v>17568.740000000002</v>
      </c>
      <c r="E16" s="48">
        <f>SUM(E8:E15)</f>
        <v>42657.230000000221</v>
      </c>
      <c r="F16" s="2433"/>
      <c r="G16" s="2433"/>
      <c r="H16" s="1530" t="s">
        <v>1135</v>
      </c>
      <c r="I16" s="1531"/>
      <c r="J16" s="1070"/>
      <c r="K16" s="3274" t="s">
        <v>1135</v>
      </c>
      <c r="L16" s="3275"/>
      <c r="M16" s="3275"/>
      <c r="N16" s="3275"/>
      <c r="O16" s="3275"/>
      <c r="P16" s="3276"/>
    </row>
    <row r="17" spans="1:19" ht="14.4">
      <c r="A17" s="1532" t="s">
        <v>1136</v>
      </c>
      <c r="B17" s="1533" t="s">
        <v>1137</v>
      </c>
      <c r="C17" s="1534" t="s">
        <v>1138</v>
      </c>
      <c r="D17" s="1535" t="s">
        <v>1126</v>
      </c>
      <c r="E17" s="1536" t="s">
        <v>1127</v>
      </c>
      <c r="F17" s="1537"/>
      <c r="G17" s="1538"/>
      <c r="H17" s="1539" t="s">
        <v>1139</v>
      </c>
      <c r="I17" s="1540" t="s">
        <v>1124</v>
      </c>
      <c r="J17" s="1070"/>
      <c r="K17" s="3271" t="s">
        <v>1140</v>
      </c>
      <c r="L17" s="3272"/>
      <c r="M17" s="3273"/>
      <c r="N17" s="3271" t="s">
        <v>1141</v>
      </c>
      <c r="O17" s="3272"/>
      <c r="P17" s="3273"/>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0" t="s">
        <v>3394</v>
      </c>
      <c r="D19" s="43">
        <f>ROUND($D$3*E19/$E$3,2)</f>
        <v>15026.7</v>
      </c>
      <c r="E19" s="51">
        <f t="shared" ref="E19:E26" si="1">SUM(F19:G19)</f>
        <v>36485.100000000202</v>
      </c>
      <c r="F19" s="2552">
        <f>'数据-基础表'!I13</f>
        <v>36485.100000000202</v>
      </c>
      <c r="G19" s="1242"/>
      <c r="H19" s="637">
        <f>ROUND($D$3*I19/$E$3,2)</f>
        <v>138.66</v>
      </c>
      <c r="I19" s="46">
        <f t="shared" ref="I19:I26" si="2">IF($I$17="自定义",P19,M19)</f>
        <v>336.68</v>
      </c>
      <c r="J19" s="1070"/>
      <c r="K19" s="637">
        <f t="shared" ref="K19:K26" si="3">ROUND(E$28*E19/E$27,2)</f>
        <v>0</v>
      </c>
      <c r="L19" s="43">
        <f t="shared" ref="L19:L26" si="4">ROUND(IF(COUNTIF(C19,"*住宅*")&gt;0,E$29*E19/E$32,0),2)</f>
        <v>336.68</v>
      </c>
      <c r="M19" s="46">
        <f>K19+L19</f>
        <v>336.68</v>
      </c>
      <c r="N19" s="1549"/>
      <c r="O19" s="1550"/>
      <c r="P19" s="46">
        <f>N19+O19</f>
        <v>0</v>
      </c>
      <c r="R19" s="43">
        <f t="shared" ref="R19:S26" si="5">D19+H19</f>
        <v>15165.36</v>
      </c>
      <c r="S19" s="51">
        <f t="shared" si="5"/>
        <v>36821.780000000203</v>
      </c>
    </row>
    <row r="20" spans="1:19" ht="14.4">
      <c r="A20" s="1548"/>
      <c r="B20" s="45" t="s">
        <v>1153</v>
      </c>
      <c r="C20" s="3110" t="s">
        <v>3322</v>
      </c>
      <c r="D20" s="43">
        <f t="shared" ref="D20:D26" si="6">ROUND($D$3*E20/$E$3,2)</f>
        <v>1708.77</v>
      </c>
      <c r="E20" s="51">
        <f t="shared" si="1"/>
        <v>4148.920000000021</v>
      </c>
      <c r="F20" s="2552"/>
      <c r="G20" s="1242">
        <f>'数据-基础表'!M13</f>
        <v>4148.920000000021</v>
      </c>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1708.77</v>
      </c>
      <c r="S20" s="51">
        <f t="shared" si="5"/>
        <v>4148.920000000021</v>
      </c>
    </row>
    <row r="21" spans="1:19" ht="14.4">
      <c r="A21" s="1548"/>
      <c r="B21" s="45" t="s">
        <v>1153</v>
      </c>
      <c r="C21" s="3110" t="s">
        <v>673</v>
      </c>
      <c r="D21" s="43">
        <f t="shared" si="6"/>
        <v>509.3</v>
      </c>
      <c r="E21" s="51">
        <f t="shared" si="1"/>
        <v>1236.5999999999999</v>
      </c>
      <c r="F21" s="2552"/>
      <c r="G21" s="1242">
        <f>'数据-基础表'!K13</f>
        <v>1236.5999999999999</v>
      </c>
      <c r="H21" s="637">
        <f t="shared" si="7"/>
        <v>0</v>
      </c>
      <c r="I21" s="46">
        <f t="shared" si="2"/>
        <v>0</v>
      </c>
      <c r="J21" s="1070"/>
      <c r="K21" s="637">
        <f t="shared" si="3"/>
        <v>0</v>
      </c>
      <c r="L21" s="43">
        <f t="shared" si="4"/>
        <v>0</v>
      </c>
      <c r="M21" s="46">
        <f t="shared" si="8"/>
        <v>0</v>
      </c>
      <c r="N21" s="1549"/>
      <c r="O21" s="1550"/>
      <c r="P21" s="46">
        <f t="shared" si="9"/>
        <v>0</v>
      </c>
      <c r="R21" s="43">
        <f t="shared" si="5"/>
        <v>509.3</v>
      </c>
      <c r="S21" s="51">
        <f t="shared" si="5"/>
        <v>1236.5999999999999</v>
      </c>
    </row>
    <row r="22" spans="1:19" ht="14.4">
      <c r="A22" s="1548"/>
      <c r="B22" s="45" t="s">
        <v>1153</v>
      </c>
      <c r="C22" s="3111" t="s">
        <v>3416</v>
      </c>
      <c r="D22" s="43">
        <f t="shared" si="6"/>
        <v>323.97000000000003</v>
      </c>
      <c r="E22" s="51">
        <f t="shared" si="1"/>
        <v>786.60999999999979</v>
      </c>
      <c r="F22" s="2553"/>
      <c r="G22" s="2554">
        <f>'数据-基础表'!O13</f>
        <v>786.60999999999979</v>
      </c>
      <c r="H22" s="637">
        <f t="shared" si="7"/>
        <v>0</v>
      </c>
      <c r="I22" s="46">
        <f t="shared" si="2"/>
        <v>0</v>
      </c>
      <c r="J22" s="1070"/>
      <c r="K22" s="637">
        <f t="shared" si="3"/>
        <v>0</v>
      </c>
      <c r="L22" s="43">
        <f t="shared" si="4"/>
        <v>0</v>
      </c>
      <c r="M22" s="46">
        <f t="shared" si="8"/>
        <v>0</v>
      </c>
      <c r="N22" s="1549"/>
      <c r="O22" s="1550"/>
      <c r="P22" s="46">
        <f t="shared" si="9"/>
        <v>0</v>
      </c>
      <c r="R22" s="43">
        <f t="shared" si="5"/>
        <v>323.97000000000003</v>
      </c>
      <c r="S22" s="51">
        <f t="shared" si="5"/>
        <v>786.60999999999979</v>
      </c>
    </row>
    <row r="23" spans="1:19" ht="14.4">
      <c r="A23" s="1548"/>
      <c r="B23" s="45" t="s">
        <v>1153</v>
      </c>
      <c r="C23" s="3111"/>
      <c r="D23" s="43">
        <f>ROUND($D$3*E23/$E$3,2)</f>
        <v>0</v>
      </c>
      <c r="E23" s="51">
        <f>SUM(F23:G23)</f>
        <v>0</v>
      </c>
      <c r="F23" s="2553"/>
      <c r="G23" s="2554"/>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1"/>
      <c r="D24" s="43">
        <f>ROUND($D$3*E24/$E$3,2)</f>
        <v>0</v>
      </c>
      <c r="E24" s="51">
        <f>SUM(F24:G24)</f>
        <v>0</v>
      </c>
      <c r="F24" s="2553"/>
      <c r="G24" s="2554"/>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1"/>
      <c r="D25" s="43">
        <f t="shared" si="6"/>
        <v>0</v>
      </c>
      <c r="E25" s="51">
        <f t="shared" si="1"/>
        <v>0</v>
      </c>
      <c r="F25" s="2553"/>
      <c r="G25" s="2554"/>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28.2" thickBot="1">
      <c r="A27" s="1548"/>
      <c r="B27" s="43"/>
      <c r="C27" s="1553" t="s">
        <v>1154</v>
      </c>
      <c r="D27" s="1071">
        <f>SUM(D19:D26)</f>
        <v>17568.740000000002</v>
      </c>
      <c r="E27" s="1072">
        <f>IF(SUM(E19:E26)='数据-基础表'!BA5,SUM(E19:E26),IF(F27="地上面积有误","面积有误","地下面积有误"))</f>
        <v>42657.230000000221</v>
      </c>
      <c r="F27" s="1071">
        <f>IF(SUM(F19:F26)=E8,SUM(F19:F26),"地上面积有误")</f>
        <v>36485.100000000202</v>
      </c>
      <c r="G27" s="1073">
        <f>SUM(G19:G26)</f>
        <v>6172.1300000000201</v>
      </c>
      <c r="H27" s="1074">
        <f>SUM(H19:H26)</f>
        <v>138.66</v>
      </c>
      <c r="I27" s="1075">
        <f>SUM(I19:I26)</f>
        <v>336.68</v>
      </c>
      <c r="J27" s="1070"/>
      <c r="K27" s="1076">
        <f>SUM(K19:K26)</f>
        <v>0</v>
      </c>
      <c r="L27" s="784">
        <f>SUM(L19:L26)</f>
        <v>336.68</v>
      </c>
      <c r="M27" s="1077">
        <f>SUM(M19:M26)</f>
        <v>336.68</v>
      </c>
      <c r="N27" s="1076">
        <f t="shared" ref="N27:O27" si="10">SUM(N19:N26)</f>
        <v>0</v>
      </c>
      <c r="O27" s="784">
        <f t="shared" si="10"/>
        <v>0</v>
      </c>
      <c r="P27" s="94">
        <f>SUM(P19:P26)</f>
        <v>0</v>
      </c>
      <c r="R27" s="967" t="str">
        <f>IF(SUM(R19:R26)=$D$3,SUM(R19:R26),SUM(R19:R26)&amp;"误差"&amp;ROUND(SUM(R19:R26)-$D$3,2))</f>
        <v>17707.4误差-0.01</v>
      </c>
      <c r="S27" s="43">
        <f>IF(SUM(S19:S26)=$E$3,SUM(S19:S26),SUM(S19:S26)&amp;"误差"&amp;ROUND(SUM(S19:S26)-E3,2))</f>
        <v>42993.910000000222</v>
      </c>
    </row>
    <row r="28" spans="1:19" ht="14.4">
      <c r="A28" s="1548"/>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ht="14.4">
      <c r="A29" s="1548"/>
      <c r="B29" s="45" t="s">
        <v>1155</v>
      </c>
      <c r="C29" s="1554" t="s">
        <v>1157</v>
      </c>
      <c r="D29" s="43">
        <f>ROUND($D$3*E29/$E$3,2)</f>
        <v>138.66</v>
      </c>
      <c r="E29" s="51">
        <f>SUM(F29:G29)</f>
        <v>336.68000000000029</v>
      </c>
      <c r="F29" s="56">
        <f>'数据-基础表'!BM5+'数据-基础表'!BO5</f>
        <v>0</v>
      </c>
      <c r="G29" s="48">
        <f>'数据-基础表'!BN5+'数据-基础表'!BP5</f>
        <v>336.68000000000029</v>
      </c>
      <c r="H29" s="2433"/>
      <c r="I29" s="2433"/>
      <c r="J29" s="2433"/>
      <c r="K29" s="2433"/>
      <c r="L29" s="2433"/>
      <c r="M29" s="2433"/>
      <c r="N29" s="2433"/>
      <c r="O29" s="2433"/>
      <c r="P29" s="2433"/>
    </row>
    <row r="30" spans="1:19" ht="14.4">
      <c r="A30" s="1548"/>
      <c r="B30" s="45"/>
      <c r="C30" s="1555" t="s">
        <v>1154</v>
      </c>
      <c r="D30" s="1071">
        <f>SUM(D28:D29)</f>
        <v>138.66</v>
      </c>
      <c r="E30" s="1071">
        <f>SUM(E28:E29)</f>
        <v>336.68000000000029</v>
      </c>
      <c r="F30" s="1071">
        <f>SUM(F28:F29)</f>
        <v>0</v>
      </c>
      <c r="G30" s="1073">
        <f>SUM(G28:G29)</f>
        <v>336.68000000000029</v>
      </c>
      <c r="H30" s="2433"/>
      <c r="I30" s="2433"/>
      <c r="J30" s="2433"/>
      <c r="K30" s="2433"/>
      <c r="L30" s="2433"/>
      <c r="M30" s="2433"/>
      <c r="N30" s="2433"/>
      <c r="O30" s="2433"/>
      <c r="P30" s="2433"/>
    </row>
    <row r="31" spans="1:19" ht="15" thickBot="1">
      <c r="A31" s="1556"/>
      <c r="B31" s="96"/>
      <c r="C31" s="784" t="s">
        <v>1158</v>
      </c>
      <c r="D31" s="643">
        <f>D27+D30</f>
        <v>17707.400000000001</v>
      </c>
      <c r="E31" s="643">
        <f>E27+E30</f>
        <v>42993.910000000222</v>
      </c>
      <c r="F31" s="644">
        <f>F27+F30</f>
        <v>36485.100000000202</v>
      </c>
      <c r="G31" s="645">
        <f>G27+G30</f>
        <v>6508.8100000000204</v>
      </c>
      <c r="H31" s="2433"/>
      <c r="I31" s="2433"/>
      <c r="J31" s="2433"/>
      <c r="K31" s="2433"/>
      <c r="L31" s="2433"/>
      <c r="M31" s="2433"/>
      <c r="N31" s="2433"/>
      <c r="O31" s="2433"/>
      <c r="P31" s="2433"/>
    </row>
    <row r="32" spans="1:19" ht="14.4">
      <c r="A32" s="1525"/>
      <c r="B32" s="1525" t="s">
        <v>1159</v>
      </c>
      <c r="C32" s="1525"/>
      <c r="D32" s="1525"/>
      <c r="E32" s="989">
        <f>SUMIF(C19:C26,"*住宅*",E19:E26)</f>
        <v>36485.100000000202</v>
      </c>
      <c r="F32" s="1525"/>
      <c r="G32" s="1525"/>
      <c r="H32" s="2433"/>
      <c r="I32" s="2433"/>
      <c r="J32" s="2433"/>
      <c r="K32" s="2433"/>
      <c r="L32" s="2433"/>
      <c r="M32" s="2433"/>
      <c r="N32" s="2433"/>
      <c r="O32" s="2433"/>
      <c r="P32" s="2433"/>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19" sqref="L19"/>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24" width="6.77734375" style="1560" customWidth="1"/>
    <col min="25" max="25" width="8.33203125" style="1560" customWidth="1"/>
    <col min="26"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 thickBot="1">
      <c r="A2" s="1561" t="s">
        <v>1161</v>
      </c>
      <c r="B2" s="983">
        <f>项目基本情况!D3</f>
        <v>45945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2"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3"/>
      <c r="AO4" s="2433"/>
      <c r="AP4" s="2433"/>
      <c r="AQ4" s="2433"/>
      <c r="AR4" s="2433"/>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3417</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住宅</v>
      </c>
      <c r="B6" s="1586" t="str">
        <f>IF(A6=0,"","经营性")</f>
        <v>经营性</v>
      </c>
      <c r="C6" s="1587" t="s">
        <v>3394</v>
      </c>
      <c r="D6" s="804">
        <f>SUMIF(项目基本情况!C$12:I$12,C6,项目基本情况!C$14:I$14)</f>
        <v>70</v>
      </c>
      <c r="E6" s="803">
        <f>IF(B6="","",SUMIF(项目基本情况!C$12:I$12,C6,项目基本情况!C$13:I$13))</f>
        <v>71036</v>
      </c>
      <c r="F6" s="61">
        <f>SUMIF(项目基本情况!C$12:I$12,C6,项目基本情况!C$15:I$15)</f>
        <v>68.739999999999995</v>
      </c>
      <c r="G6" s="62">
        <f>IF(ISERROR(ROUND(POWER(1+H6,D6-F6)*(POWER(1+H6,F6)-1)/(POWER(1+H6,D6)-1),3)),0,ROUND(POWER(1+H6,D6-F6)*(POWER(1+H6,F6)-1)/(POWER(1+H6,D6)-1),3))</f>
        <v>0.997</v>
      </c>
      <c r="H6" s="691">
        <v>0.04</v>
      </c>
      <c r="I6" s="691">
        <v>4.4999999999999998E-2</v>
      </c>
      <c r="J6" s="63">
        <v>7.0000000000000007E-2</v>
      </c>
      <c r="K6" s="969">
        <f>SUMIF('数据-汇总表'!C$19:C$33,A6,'数据-汇总表'!E$19:E$33)</f>
        <v>36485.100000000202</v>
      </c>
      <c r="L6" s="692">
        <v>6500</v>
      </c>
      <c r="M6" s="64">
        <f t="shared" ref="M6:M14" si="0">ROUND(K6*L6/10000,0)</f>
        <v>23715</v>
      </c>
      <c r="N6" s="690">
        <v>0.54</v>
      </c>
      <c r="O6" s="64">
        <f>IF($N$5="成新度","——",ROUND(M6*N6,0))</f>
        <v>12806</v>
      </c>
      <c r="P6" s="65">
        <f>IF($N$5="成新度","——",M6-O6)</f>
        <v>10909</v>
      </c>
      <c r="Q6" s="693">
        <v>0.2</v>
      </c>
      <c r="R6" s="66">
        <f ca="1">SUMIF('数据-汇总表'!C$19:C$33,A6,'数据-汇总表'!R$19:R$27)</f>
        <v>15165.36</v>
      </c>
      <c r="S6" s="49">
        <f>IF('数据-汇总表'!$I$17="按面积比例",SUMIF('数据-汇总表'!C$19:C$33,A6,'数据-汇总表'!K$19:K$33),SUMIF('数据-汇总表'!C$19:C$33,A6,'数据-汇总表'!N$19:N$33))</f>
        <v>0</v>
      </c>
      <c r="T6" s="1091">
        <f>ROUND($L$14*S6/10000,0)</f>
        <v>0</v>
      </c>
      <c r="U6" s="1549"/>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237153150.00000131</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车库</v>
      </c>
      <c r="B7" s="1586" t="str">
        <f t="shared" ref="B7:B13" si="1">IF(A7=0,"","经营性")</f>
        <v>经营性</v>
      </c>
      <c r="C7" s="1587" t="s">
        <v>3322</v>
      </c>
      <c r="D7" s="804">
        <f>SUMIF(项目基本情况!C$12:I$12,C7,项目基本情况!C$14:I$14)</f>
        <v>50</v>
      </c>
      <c r="E7" s="803">
        <f>IF(B7="","",SUMIF(项目基本情况!C$12:I$12,C7,项目基本情况!C$13:I$13))</f>
        <v>63731</v>
      </c>
      <c r="F7" s="61">
        <f>SUMIF(项目基本情况!C$12:I$12,C7,项目基本情况!C$15:I$15)</f>
        <v>48.72</v>
      </c>
      <c r="G7" s="62">
        <f t="shared" ref="G7:G11" si="2">IF(ISERROR(ROUND(POWER(1+H7,D7-F7)*(POWER(1+H7,F7)-1)/(POWER(1+H7,D7)-1),3)),0,ROUND(POWER(1+H7,D7-F7)*(POWER(1+H7,F7)-1)/(POWER(1+H7,D7)-1),3))</f>
        <v>0.99299999999999999</v>
      </c>
      <c r="H7" s="691">
        <v>4.4999999999999998E-2</v>
      </c>
      <c r="I7" s="691">
        <v>0.05</v>
      </c>
      <c r="J7" s="63">
        <v>7.0000000000000007E-2</v>
      </c>
      <c r="K7" s="969">
        <f>SUMIF('数据-汇总表'!C$19:C$33,A7,'数据-汇总表'!E$19:E$33)</f>
        <v>4148.920000000021</v>
      </c>
      <c r="L7" s="692">
        <v>4500</v>
      </c>
      <c r="M7" s="64">
        <f t="shared" si="0"/>
        <v>1867</v>
      </c>
      <c r="N7" s="690">
        <f>N6</f>
        <v>0.54</v>
      </c>
      <c r="O7" s="64">
        <f t="shared" ref="O7:O14" si="3">IF($N$5="成新度","——",ROUND(M7*N7,0))</f>
        <v>1008</v>
      </c>
      <c r="P7" s="65">
        <f t="shared" ref="P7:P14" si="4">IF($N$5="成新度","——",M7-O7)</f>
        <v>859</v>
      </c>
      <c r="Q7" s="693">
        <v>0.1</v>
      </c>
      <c r="R7" s="66">
        <f ca="1">SUMIF('数据-汇总表'!C$19:C$33,A7,'数据-汇总表'!R$19:R$27)</f>
        <v>1708.77</v>
      </c>
      <c r="S7" s="49">
        <f>IF('数据-汇总表'!$I$17="按面积比例",SUMIF('数据-汇总表'!C$19:C$33,A7,'数据-汇总表'!K$19:K$33),SUMIF('数据-汇总表'!C$19:C$33,A7,'数据-汇总表'!N$19:N$33))</f>
        <v>0</v>
      </c>
      <c r="T7" s="1091">
        <f t="shared" ref="T7:T13" si="5">ROUND($L$14*S7/10000,0)</f>
        <v>0</v>
      </c>
      <c r="U7" s="1549"/>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v>305</v>
      </c>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t="str">
        <f>'数据-汇总表'!C21</f>
        <v>商业</v>
      </c>
      <c r="B8" s="1586" t="str">
        <f t="shared" si="1"/>
        <v>经营性</v>
      </c>
      <c r="C8" s="1587" t="s">
        <v>673</v>
      </c>
      <c r="D8" s="804">
        <f>SUMIF(项目基本情况!C$12:I$12,C8,项目基本情况!C$14:I$14)</f>
        <v>40</v>
      </c>
      <c r="E8" s="803">
        <f>IF(B8="","",SUMIF(项目基本情况!C$12:I$12,C8,项目基本情况!C$13:I$13))</f>
        <v>60079</v>
      </c>
      <c r="F8" s="61">
        <f>SUMIF(项目基本情况!C$12:I$12,C8,项目基本情况!C$15:I$15)</f>
        <v>38.72</v>
      </c>
      <c r="G8" s="62">
        <f t="shared" si="2"/>
        <v>0.98899999999999999</v>
      </c>
      <c r="H8" s="691">
        <v>0.05</v>
      </c>
      <c r="I8" s="691">
        <v>5.5E-2</v>
      </c>
      <c r="J8" s="63">
        <v>7.0000000000000007E-2</v>
      </c>
      <c r="K8" s="969">
        <f>SUMIF('数据-汇总表'!C$19:C$33,A8,'数据-汇总表'!E$19:E$33)</f>
        <v>1236.5999999999999</v>
      </c>
      <c r="L8" s="692">
        <v>4500</v>
      </c>
      <c r="M8" s="64">
        <f>ROUND(K8*L8/10000,0)</f>
        <v>556</v>
      </c>
      <c r="N8" s="690">
        <v>0.98</v>
      </c>
      <c r="O8" s="64">
        <f t="shared" si="3"/>
        <v>545</v>
      </c>
      <c r="P8" s="65">
        <f t="shared" si="4"/>
        <v>11</v>
      </c>
      <c r="Q8" s="693">
        <v>0.12</v>
      </c>
      <c r="R8" s="66">
        <f ca="1">SUMIF('数据-汇总表'!C$19:C$33,A8,'数据-汇总表'!R$19:R$27)</f>
        <v>509.3</v>
      </c>
      <c r="S8" s="49">
        <f>IF('数据-汇总表'!$I$17="按面积比例",SUMIF('数据-汇总表'!C$19:C$33,A8,'数据-汇总表'!K$19:K$33),SUMIF('数据-汇总表'!C$19:C$33,A8,'数据-汇总表'!N$19:N$33))</f>
        <v>0</v>
      </c>
      <c r="T8" s="1091">
        <f t="shared" si="5"/>
        <v>0</v>
      </c>
      <c r="U8" s="1549">
        <v>2</v>
      </c>
      <c r="V8" s="67">
        <v>1.4999999999999999E-2</v>
      </c>
      <c r="W8" s="67">
        <v>0.1</v>
      </c>
      <c r="X8" s="978"/>
      <c r="Y8" s="68">
        <v>1</v>
      </c>
      <c r="Z8" s="69"/>
      <c r="AA8" s="63"/>
      <c r="AB8" s="63"/>
      <c r="AC8" s="978"/>
      <c r="AD8" s="70"/>
      <c r="AE8" s="979">
        <f t="shared" ca="1" si="6"/>
        <v>37.57</v>
      </c>
      <c r="AF8" s="74"/>
      <c r="AG8" s="130">
        <f t="shared" si="7"/>
        <v>0</v>
      </c>
      <c r="AH8" s="694"/>
      <c r="AI8" s="73">
        <v>365</v>
      </c>
      <c r="AJ8" s="74"/>
      <c r="AK8" s="695">
        <v>3.0000000000000001E-3</v>
      </c>
      <c r="AL8" s="696">
        <v>1E-3</v>
      </c>
      <c r="AM8" s="106">
        <v>5.0000000000000001E-3</v>
      </c>
      <c r="AN8" s="1588" t="s">
        <v>4040</v>
      </c>
      <c r="AO8" s="50">
        <f t="shared" ca="1" si="8"/>
        <v>1225</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t="str">
        <f>'数据-汇总表'!C22</f>
        <v>机械车位</v>
      </c>
      <c r="B9" s="1586" t="str">
        <f t="shared" si="1"/>
        <v>经营性</v>
      </c>
      <c r="C9" s="1587" t="s">
        <v>3322</v>
      </c>
      <c r="D9" s="804">
        <f>SUMIF(项目基本情况!C$12:I$12,C9,项目基本情况!C$14:I$14)</f>
        <v>50</v>
      </c>
      <c r="E9" s="803">
        <f>IF(B9="","",SUMIF(项目基本情况!C$12:I$12,C9,项目基本情况!C$13:I$13))</f>
        <v>63731</v>
      </c>
      <c r="F9" s="61">
        <f>SUMIF(项目基本情况!C$12:I$12,C9,项目基本情况!C$15:I$15)</f>
        <v>48.72</v>
      </c>
      <c r="G9" s="62">
        <f t="shared" si="2"/>
        <v>0.99299999999999999</v>
      </c>
      <c r="H9" s="691">
        <v>4.4999999999999998E-2</v>
      </c>
      <c r="I9" s="691">
        <v>0.05</v>
      </c>
      <c r="J9" s="63">
        <v>7.0000000000000007E-2</v>
      </c>
      <c r="K9" s="969">
        <f>SUMIF('数据-汇总表'!C$19:C$33,A9,'数据-汇总表'!E$19:E$33)</f>
        <v>786.60999999999979</v>
      </c>
      <c r="L9" s="692">
        <f>L7</f>
        <v>4500</v>
      </c>
      <c r="M9" s="64">
        <f t="shared" si="0"/>
        <v>354</v>
      </c>
      <c r="N9" s="690">
        <f>N6</f>
        <v>0.54</v>
      </c>
      <c r="O9" s="64">
        <f t="shared" si="3"/>
        <v>191</v>
      </c>
      <c r="P9" s="65">
        <f t="shared" si="4"/>
        <v>163</v>
      </c>
      <c r="Q9" s="78">
        <f>Q7</f>
        <v>0.1</v>
      </c>
      <c r="R9" s="66">
        <f ca="1">SUMIF('数据-汇总表'!C$19:C$33,A9,'数据-汇总表'!R$19:R$27)</f>
        <v>323.97000000000003</v>
      </c>
      <c r="S9" s="49">
        <f>IF('数据-汇总表'!$I$17="按面积比例",SUMIF('数据-汇总表'!C$19:C$33,A9,'数据-汇总表'!K$19:K$33),SUMIF('数据-汇总表'!C$19:C$33,A9,'数据-汇总表'!N$19:N$33))</f>
        <v>0</v>
      </c>
      <c r="T9" s="1091">
        <f t="shared" si="5"/>
        <v>0</v>
      </c>
      <c r="U9" s="1549">
        <v>300</v>
      </c>
      <c r="V9" s="67">
        <v>1.4999999999999999E-2</v>
      </c>
      <c r="W9" s="67">
        <v>0.1</v>
      </c>
      <c r="X9" s="978"/>
      <c r="Y9" s="68">
        <v>1</v>
      </c>
      <c r="Z9" s="69"/>
      <c r="AA9" s="63"/>
      <c r="AB9" s="63"/>
      <c r="AC9" s="978"/>
      <c r="AD9" s="70"/>
      <c r="AE9" s="979">
        <f t="shared" ca="1" si="6"/>
        <v>47.57</v>
      </c>
      <c r="AF9" s="74"/>
      <c r="AG9" s="130">
        <f t="shared" si="7"/>
        <v>0</v>
      </c>
      <c r="AH9" s="3196">
        <v>102</v>
      </c>
      <c r="AI9" s="73">
        <v>12</v>
      </c>
      <c r="AJ9" s="74"/>
      <c r="AK9" s="75">
        <v>3.0000000000000001E-3</v>
      </c>
      <c r="AL9" s="76">
        <v>1E-3</v>
      </c>
      <c r="AM9" s="77">
        <v>5.0000000000000001E-3</v>
      </c>
      <c r="AN9" s="1588" t="s">
        <v>3600</v>
      </c>
      <c r="AO9" s="50">
        <f t="shared" ca="1" si="8"/>
        <v>572</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f>L9</f>
        <v>4500</v>
      </c>
      <c r="M14" s="64">
        <f t="shared" si="0"/>
        <v>0</v>
      </c>
      <c r="N14" s="80">
        <f>N9</f>
        <v>0.54</v>
      </c>
      <c r="O14" s="64">
        <f t="shared" si="3"/>
        <v>0</v>
      </c>
      <c r="P14" s="65">
        <f t="shared" si="4"/>
        <v>0</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3"/>
      <c r="AO14" s="2433"/>
      <c r="AP14" s="2433"/>
      <c r="AQ14" s="2433"/>
      <c r="AR14" s="2433"/>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336.68000000000029</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3"/>
      <c r="AO15" s="2433"/>
      <c r="AP15" s="2433"/>
      <c r="AQ15" s="2433"/>
      <c r="AR15" s="2433"/>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0.996</v>
      </c>
      <c r="H16" s="84">
        <f>ROUND(SUMPRODUCT(H6:H13,K6:K13)/SUMPRODUCT((H6:H13&gt;0)*(K6:K13)),3)</f>
        <v>4.1000000000000002E-2</v>
      </c>
      <c r="I16" s="85"/>
      <c r="J16" s="85"/>
      <c r="K16" s="86">
        <f>SUM(K6:K15)</f>
        <v>42993.910000000222</v>
      </c>
      <c r="L16" s="87">
        <f>ROUND(M16*10000/SUM(K6:K14),0)</f>
        <v>6210</v>
      </c>
      <c r="M16" s="87">
        <f>SUM(M6:M14)</f>
        <v>26492</v>
      </c>
      <c r="N16" s="88">
        <f>ROUND(SUMPRODUCT(M6:M14,N6:N14)/M16,3)</f>
        <v>0.54900000000000004</v>
      </c>
      <c r="O16" s="87">
        <f>SUM(O6:O14)</f>
        <v>14550</v>
      </c>
      <c r="P16" s="87">
        <f>SUM(P6:P14)</f>
        <v>11942</v>
      </c>
      <c r="Q16" s="89">
        <f>ROUND(SUMPRODUCT(Q6:Q13,K6:K13)/SUMPRODUCT((Q6:Q13&gt;0)*(K6:K13)),2)</f>
        <v>0.19</v>
      </c>
      <c r="R16" s="973">
        <f ca="1">SUM(R6:R13)</f>
        <v>17707.400000000001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5" t="s">
        <v>1211</v>
      </c>
      <c r="B19" s="97">
        <v>0</v>
      </c>
      <c r="C19" s="2555" t="s">
        <v>2293</v>
      </c>
      <c r="D19" s="2446"/>
      <c r="E19" s="2433"/>
      <c r="F19" s="2433"/>
      <c r="G19" s="2433"/>
      <c r="H19" s="2433"/>
      <c r="I19" s="2433"/>
      <c r="J19" s="2433"/>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6" t="s">
        <v>1212</v>
      </c>
      <c r="B20" s="98">
        <v>2.5</v>
      </c>
      <c r="C20" s="2556" t="s">
        <v>2291</v>
      </c>
      <c r="D20" s="2446"/>
      <c r="E20" s="2433"/>
      <c r="F20" s="2433"/>
      <c r="G20" s="2433"/>
      <c r="H20" s="2433"/>
      <c r="I20" s="2433"/>
      <c r="J20" s="2433"/>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7" t="s">
        <v>1213</v>
      </c>
      <c r="B21" s="98">
        <v>1.35</v>
      </c>
      <c r="C21" s="2433"/>
      <c r="D21" s="2446"/>
      <c r="E21" s="2433"/>
      <c r="F21" s="2433"/>
      <c r="G21" s="2433"/>
      <c r="H21" s="2433"/>
      <c r="I21" s="2433"/>
      <c r="J21" s="2433"/>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6" t="s">
        <v>1214</v>
      </c>
      <c r="B22" s="99">
        <f>B19+B20</f>
        <v>2.5</v>
      </c>
      <c r="C22" s="2433"/>
      <c r="D22" s="2446"/>
      <c r="E22" s="2433"/>
      <c r="F22" s="2433"/>
      <c r="G22" s="2433"/>
      <c r="H22" s="2433"/>
      <c r="I22" s="2433"/>
      <c r="J22" s="2433"/>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7" t="s">
        <v>1215</v>
      </c>
      <c r="B23" s="99">
        <f>B19+B21</f>
        <v>1.35</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1216</v>
      </c>
      <c r="B24" s="100">
        <f>B20-B21</f>
        <v>1.1499999999999999</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8"/>
      <c r="B25" s="1541"/>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1217</v>
      </c>
      <c r="B26" s="1599"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600" t="s">
        <v>1220</v>
      </c>
      <c r="B27" s="101">
        <v>160</v>
      </c>
      <c r="C27" s="2557" t="s">
        <v>2295</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1" t="s">
        <v>1221</v>
      </c>
      <c r="B28" s="103">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2" t="s">
        <v>1222</v>
      </c>
      <c r="B29" s="105">
        <f ca="1">成本法!C9+成本法!C10</f>
        <v>714</v>
      </c>
      <c r="C29" s="2558" t="s">
        <v>2285</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3" t="s">
        <v>1223</v>
      </c>
      <c r="B30" s="638">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1" t="s">
        <v>1224</v>
      </c>
      <c r="B31" s="104">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4" t="s">
        <v>1225</v>
      </c>
      <c r="B32" s="639">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600" t="s">
        <v>1226</v>
      </c>
      <c r="B33" s="640">
        <v>7.0000000000000007E-2</v>
      </c>
      <c r="C33" s="2559" t="s">
        <v>3371</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1" t="s">
        <v>1227</v>
      </c>
      <c r="B34" s="106">
        <v>0.1</v>
      </c>
      <c r="C34" s="2559" t="s">
        <v>2286</v>
      </c>
      <c r="D34" s="2454" t="s">
        <v>2292</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1" t="s">
        <v>1228</v>
      </c>
      <c r="B35" s="103">
        <v>200</v>
      </c>
      <c r="C35" s="2559" t="s">
        <v>2287</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1229</v>
      </c>
      <c r="B36" s="107">
        <v>0.02</v>
      </c>
      <c r="C36" s="2559" t="s">
        <v>3389</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3" t="s">
        <v>1230</v>
      </c>
      <c r="B37" s="108">
        <v>0.02</v>
      </c>
      <c r="C37" s="2559" t="s">
        <v>3372</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1" t="s">
        <v>1231</v>
      </c>
      <c r="B38" s="106">
        <v>2.5000000000000001E-2</v>
      </c>
      <c r="C38" s="2559" t="s">
        <v>3373</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4" t="s">
        <v>1232</v>
      </c>
      <c r="B39" s="309">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2301</v>
      </c>
      <c r="B40" s="1014">
        <f ca="1">IF(A40="利息：取LPR",存贷款利率!G1,存贷款利率!G1+C40)</f>
        <v>3.1899999999999998E-2</v>
      </c>
      <c r="C40" s="2567"/>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600" t="s">
        <v>1233</v>
      </c>
      <c r="B41" s="109">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5" t="s">
        <v>1234</v>
      </c>
      <c r="B42" s="110">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5" t="s">
        <v>1235</v>
      </c>
      <c r="B43" s="111">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6" t="s">
        <v>1236</v>
      </c>
      <c r="B44" s="112">
        <v>0.05</v>
      </c>
      <c r="C44" s="2559" t="s">
        <v>3374</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6" t="s">
        <v>1237</v>
      </c>
      <c r="B45" s="110">
        <v>0.03</v>
      </c>
      <c r="C45" s="2558" t="s">
        <v>2288</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6" t="s">
        <v>1238</v>
      </c>
      <c r="B46" s="110">
        <v>0.02</v>
      </c>
      <c r="C46" s="2558" t="s">
        <v>2289</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1239</v>
      </c>
      <c r="B47" s="113">
        <v>0</v>
      </c>
      <c r="C47" s="2561" t="s">
        <v>2296</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8" t="s">
        <v>1240</v>
      </c>
      <c r="B48" s="114">
        <v>0.03</v>
      </c>
      <c r="C48" s="2558" t="s">
        <v>2288</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1241</v>
      </c>
      <c r="B49" s="110">
        <v>5.0000000000000001E-4</v>
      </c>
      <c r="C49" s="2558" t="s">
        <v>2290</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9" t="s">
        <v>1242</v>
      </c>
      <c r="B50" s="115">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1243</v>
      </c>
      <c r="B51" s="116">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9" t="s">
        <v>1244</v>
      </c>
      <c r="B52" s="117">
        <f>SUMIF(A54:A63,B53,B54:B63)</f>
        <v>1.5</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1" t="s">
        <v>1245</v>
      </c>
      <c r="B53" s="1610" t="s">
        <v>29</v>
      </c>
      <c r="C53" s="2434" t="s">
        <v>1246</v>
      </c>
      <c r="D53" s="2560" t="s">
        <v>2294</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1"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1"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1"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1"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1"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1" t="s">
        <v>1252</v>
      </c>
      <c r="B59" s="72">
        <v>1.5</v>
      </c>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1"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1"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1"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1256</v>
      </c>
      <c r="B63" s="118"/>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50" customWidth="1"/>
    <col min="19" max="29" width="9" style="750"/>
    <col min="30" max="16384" width="9" style="1521"/>
  </cols>
  <sheetData>
    <row r="1" spans="1:29" s="2256" customFormat="1" ht="18" thickBot="1">
      <c r="A1" s="3286" t="s">
        <v>2277</v>
      </c>
      <c r="B1" s="3287"/>
      <c r="C1" s="3287"/>
      <c r="D1" s="3287"/>
      <c r="E1" s="3287"/>
      <c r="F1" s="3287"/>
      <c r="G1" s="3287"/>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4"/>
      <c r="E2" s="2257"/>
      <c r="F2" s="2260"/>
      <c r="G2" s="2259" t="s">
        <v>2275</v>
      </c>
      <c r="H2" s="750"/>
      <c r="I2" s="750"/>
      <c r="J2" s="750"/>
      <c r="K2" s="750"/>
      <c r="L2" s="750"/>
      <c r="M2" s="750"/>
      <c r="N2" s="750"/>
      <c r="O2" s="750"/>
      <c r="P2" s="750"/>
      <c r="Q2" s="750"/>
    </row>
    <row r="3" spans="1:29" ht="24">
      <c r="A3" s="2244" t="s">
        <v>2276</v>
      </c>
      <c r="B3" s="2261" t="s">
        <v>2252</v>
      </c>
      <c r="C3" s="3172" t="s">
        <v>3418</v>
      </c>
      <c r="D3" s="2262"/>
      <c r="E3" s="2245" t="s">
        <v>2276</v>
      </c>
      <c r="F3" s="2263" t="s">
        <v>2253</v>
      </c>
      <c r="G3" s="2264"/>
      <c r="H3" s="750"/>
      <c r="I3" s="750"/>
      <c r="J3" s="750"/>
      <c r="K3" s="750"/>
      <c r="L3" s="750"/>
      <c r="M3" s="750"/>
      <c r="N3" s="750"/>
      <c r="O3" s="750"/>
      <c r="P3" s="750"/>
      <c r="Q3" s="750"/>
    </row>
    <row r="4" spans="1:29">
      <c r="A4" s="2245"/>
      <c r="B4" s="315" t="s">
        <v>2254</v>
      </c>
      <c r="C4" s="3173"/>
      <c r="D4" s="2262"/>
      <c r="E4" s="2265"/>
      <c r="F4" s="1280" t="s">
        <v>2255</v>
      </c>
      <c r="G4" s="2266"/>
      <c r="H4" s="750"/>
      <c r="I4" s="750"/>
      <c r="J4" s="750"/>
      <c r="K4" s="750"/>
      <c r="L4" s="750"/>
      <c r="M4" s="750"/>
      <c r="N4" s="750"/>
      <c r="O4" s="750"/>
      <c r="P4" s="750"/>
      <c r="Q4" s="750"/>
    </row>
    <row r="5" spans="1:29">
      <c r="A5" s="2245"/>
      <c r="B5" s="315" t="s">
        <v>2256</v>
      </c>
      <c r="C5" s="3173"/>
      <c r="D5" s="2262"/>
      <c r="E5" s="2265"/>
      <c r="F5" s="315" t="s">
        <v>2257</v>
      </c>
      <c r="G5" s="2266"/>
      <c r="H5" s="750"/>
      <c r="I5" s="750"/>
      <c r="J5" s="750"/>
      <c r="K5" s="750"/>
      <c r="L5" s="750"/>
      <c r="M5" s="750"/>
      <c r="N5" s="750"/>
      <c r="O5" s="750"/>
      <c r="P5" s="750"/>
      <c r="Q5" s="750"/>
    </row>
    <row r="6" spans="1:29" ht="14.4">
      <c r="A6" s="2245"/>
      <c r="B6" s="315" t="s">
        <v>2258</v>
      </c>
      <c r="C6" s="3172" t="s">
        <v>3418</v>
      </c>
      <c r="D6" s="2262"/>
      <c r="E6" s="2265"/>
      <c r="F6" s="315" t="s">
        <v>2259</v>
      </c>
      <c r="G6" s="2266"/>
      <c r="H6" s="750"/>
      <c r="I6" s="750"/>
      <c r="J6" s="750"/>
      <c r="K6" s="750"/>
      <c r="L6" s="750"/>
      <c r="M6" s="750"/>
      <c r="N6" s="750"/>
      <c r="O6" s="750"/>
      <c r="P6" s="750"/>
      <c r="Q6" s="750"/>
    </row>
    <row r="7" spans="1:29" ht="15" thickBot="1">
      <c r="A7" s="2245"/>
      <c r="B7" s="315" t="s">
        <v>2257</v>
      </c>
      <c r="C7" s="3172" t="s">
        <v>3418</v>
      </c>
      <c r="D7" s="2242"/>
      <c r="E7" s="2267"/>
      <c r="F7" s="2268" t="s">
        <v>2260</v>
      </c>
      <c r="G7" s="2269"/>
      <c r="H7" s="750"/>
      <c r="I7" s="750"/>
      <c r="J7" s="750"/>
      <c r="K7" s="750"/>
      <c r="L7" s="750"/>
      <c r="M7" s="750"/>
      <c r="N7" s="750"/>
      <c r="O7" s="750"/>
      <c r="P7" s="750"/>
      <c r="Q7" s="750"/>
    </row>
    <row r="8" spans="1:29" ht="14.4">
      <c r="A8" s="2245"/>
      <c r="B8" s="315" t="s">
        <v>2259</v>
      </c>
      <c r="C8" s="3172" t="s">
        <v>3419</v>
      </c>
      <c r="D8" s="2242"/>
      <c r="E8" s="2242"/>
      <c r="F8" s="121"/>
      <c r="G8" s="121"/>
      <c r="H8" s="750"/>
      <c r="I8" s="750"/>
      <c r="J8" s="750"/>
      <c r="K8" s="750"/>
      <c r="L8" s="750"/>
      <c r="M8" s="750"/>
      <c r="N8" s="750"/>
      <c r="O8" s="750"/>
      <c r="P8" s="750"/>
      <c r="Q8" s="750"/>
    </row>
    <row r="9" spans="1:29" ht="14.4">
      <c r="A9" s="2245"/>
      <c r="B9" s="315" t="s">
        <v>2261</v>
      </c>
      <c r="C9" s="3174" t="s">
        <v>3418</v>
      </c>
      <c r="D9" s="2262"/>
      <c r="E9" s="2242"/>
      <c r="F9" s="121"/>
      <c r="G9" s="121"/>
      <c r="H9" s="750"/>
      <c r="I9" s="750"/>
      <c r="J9" s="750"/>
      <c r="K9" s="750"/>
      <c r="L9" s="750"/>
      <c r="M9" s="750"/>
      <c r="N9" s="750"/>
      <c r="O9" s="750"/>
      <c r="P9" s="750"/>
      <c r="Q9" s="750"/>
    </row>
    <row r="10" spans="1:29" ht="15" thickBot="1">
      <c r="A10" s="2246"/>
      <c r="B10" s="2270" t="s">
        <v>2262</v>
      </c>
      <c r="C10" s="3175" t="s">
        <v>3420</v>
      </c>
      <c r="D10" s="2262"/>
      <c r="E10" s="2262"/>
      <c r="F10" s="121"/>
      <c r="G10" s="121"/>
      <c r="J10" s="2272"/>
      <c r="M10" s="2272"/>
      <c r="P10" s="2272"/>
      <c r="R10" s="2271"/>
    </row>
    <row r="11" spans="1:29">
      <c r="A11" s="2273"/>
      <c r="B11" s="2242"/>
      <c r="C11" s="2262"/>
      <c r="D11" s="2262"/>
      <c r="E11" s="2262"/>
      <c r="F11" s="2242"/>
      <c r="G11" s="2242"/>
      <c r="J11" s="2272"/>
      <c r="M11" s="2272"/>
      <c r="P11" s="2272"/>
      <c r="R11" s="2271"/>
    </row>
    <row r="12" spans="1:29" s="2256" customFormat="1" ht="17.399999999999999">
      <c r="A12" s="2273"/>
      <c r="B12" s="2242"/>
      <c r="C12" s="2262"/>
      <c r="D12" s="2274"/>
      <c r="E12" s="2262"/>
      <c r="F12" s="2242"/>
      <c r="G12" s="2242"/>
      <c r="H12" s="2275"/>
      <c r="I12" s="2275"/>
      <c r="J12" s="2275"/>
      <c r="K12" s="2275"/>
      <c r="L12" s="2276"/>
      <c r="M12" s="2275"/>
      <c r="N12" s="2277"/>
      <c r="O12" s="2277"/>
      <c r="P12" s="2277"/>
      <c r="Q12" s="2277"/>
      <c r="R12" s="2255"/>
      <c r="S12" s="2255"/>
      <c r="T12" s="2255"/>
      <c r="U12" s="2255"/>
      <c r="V12" s="2255"/>
      <c r="W12" s="2255"/>
      <c r="X12" s="2255"/>
      <c r="Y12" s="2255"/>
      <c r="Z12" s="2255"/>
      <c r="AA12" s="2255"/>
      <c r="AB12" s="2255"/>
      <c r="AC12" s="2255"/>
    </row>
    <row r="13" spans="1:29" ht="15" thickBot="1">
      <c r="A13" s="2278" t="s">
        <v>2278</v>
      </c>
      <c r="B13" s="2274"/>
      <c r="C13" s="2274"/>
      <c r="D13" s="2273"/>
      <c r="E13" s="2274"/>
      <c r="F13" s="2274"/>
      <c r="G13" s="2274"/>
    </row>
    <row r="14" spans="1:29" ht="14.4" thickBot="1">
      <c r="A14" s="2279"/>
      <c r="B14" s="2279"/>
      <c r="C14" s="2280" t="s">
        <v>2263</v>
      </c>
      <c r="D14" s="2262"/>
      <c r="E14" s="2281"/>
      <c r="F14" s="2281"/>
      <c r="G14" s="2259" t="s">
        <v>2264</v>
      </c>
    </row>
    <row r="15" spans="1:29" ht="24">
      <c r="A15" s="2247" t="s">
        <v>2265</v>
      </c>
      <c r="B15" s="2282" t="s">
        <v>2252</v>
      </c>
      <c r="C15" s="2283" t="str">
        <f>C3</f>
        <v>一般</v>
      </c>
      <c r="D15" s="2262"/>
      <c r="E15" s="2248" t="s">
        <v>2266</v>
      </c>
      <c r="F15" s="2282" t="s">
        <v>2267</v>
      </c>
      <c r="G15" s="2284">
        <f>G3</f>
        <v>0</v>
      </c>
    </row>
    <row r="16" spans="1:29">
      <c r="A16" s="2249"/>
      <c r="B16" s="2285" t="s">
        <v>2254</v>
      </c>
      <c r="C16" s="2286">
        <f>C4</f>
        <v>0</v>
      </c>
      <c r="D16" s="2262"/>
      <c r="E16" s="2250"/>
      <c r="F16" s="2287" t="s">
        <v>2255</v>
      </c>
      <c r="G16" s="2288">
        <f>G4</f>
        <v>0</v>
      </c>
    </row>
    <row r="17" spans="1:17">
      <c r="A17" s="2249"/>
      <c r="B17" s="2285" t="s">
        <v>2256</v>
      </c>
      <c r="C17" s="2286">
        <f>C5</f>
        <v>0</v>
      </c>
      <c r="D17" s="2242"/>
      <c r="E17" s="2250"/>
      <c r="F17" s="2287" t="s">
        <v>2268</v>
      </c>
      <c r="G17" s="2289"/>
    </row>
    <row r="18" spans="1:17">
      <c r="A18" s="2249"/>
      <c r="B18" s="2287" t="s">
        <v>2258</v>
      </c>
      <c r="C18" s="2288" t="str">
        <f>C6</f>
        <v>一般</v>
      </c>
      <c r="D18" s="2242"/>
      <c r="E18" s="2250"/>
      <c r="F18" s="2287" t="s">
        <v>2260</v>
      </c>
      <c r="G18" s="2288">
        <f>G7</f>
        <v>0</v>
      </c>
    </row>
    <row r="19" spans="1:17">
      <c r="A19" s="2249"/>
      <c r="B19" s="2287" t="s">
        <v>2269</v>
      </c>
      <c r="C19" s="2289"/>
      <c r="D19" s="2262"/>
      <c r="E19" s="2250"/>
      <c r="F19" s="315" t="s">
        <v>2257</v>
      </c>
      <c r="G19" s="2288">
        <f>G5</f>
        <v>0</v>
      </c>
    </row>
    <row r="20" spans="1:17">
      <c r="A20" s="2249"/>
      <c r="B20" s="2287" t="s">
        <v>2270</v>
      </c>
      <c r="C20" s="2286" t="str">
        <f>C9</f>
        <v>一般</v>
      </c>
      <c r="D20" s="2242"/>
      <c r="E20" s="2250"/>
      <c r="F20" s="315" t="s">
        <v>2259</v>
      </c>
      <c r="G20" s="2288">
        <f>G6</f>
        <v>0</v>
      </c>
    </row>
    <row r="21" spans="1:17">
      <c r="A21" s="2249"/>
      <c r="B21" s="315" t="s">
        <v>2257</v>
      </c>
      <c r="C21" s="2288" t="str">
        <f>C7</f>
        <v>一般</v>
      </c>
      <c r="D21" s="2262"/>
      <c r="E21" s="2250"/>
      <c r="F21" s="2287" t="s">
        <v>2271</v>
      </c>
      <c r="G21" s="2290"/>
    </row>
    <row r="22" spans="1:17" ht="13.5" customHeight="1">
      <c r="A22" s="2249"/>
      <c r="B22" s="315" t="s">
        <v>2259</v>
      </c>
      <c r="C22" s="2288" t="str">
        <f>C8</f>
        <v>七通</v>
      </c>
      <c r="D22" s="2262"/>
      <c r="E22" s="2250"/>
      <c r="F22" s="2287" t="s">
        <v>2262</v>
      </c>
      <c r="G22" s="2289"/>
    </row>
    <row r="23" spans="1:17" s="750" customFormat="1" ht="14.4" thickBot="1">
      <c r="A23" s="2249"/>
      <c r="B23" s="2287" t="s">
        <v>2271</v>
      </c>
      <c r="C23" s="2290"/>
      <c r="D23" s="1613"/>
      <c r="E23" s="2251"/>
      <c r="F23" s="2291" t="s">
        <v>2272</v>
      </c>
      <c r="G23" s="2292"/>
      <c r="H23" s="2271"/>
      <c r="I23" s="2271"/>
      <c r="J23" s="2271"/>
      <c r="K23" s="2271"/>
      <c r="L23" s="2271"/>
      <c r="M23" s="2271"/>
      <c r="N23" s="2271"/>
      <c r="O23" s="2271"/>
      <c r="P23" s="2271"/>
      <c r="Q23" s="2271"/>
    </row>
    <row r="24" spans="1:17" s="750" customFormat="1" ht="14.4" thickBot="1">
      <c r="A24" s="2252"/>
      <c r="B24" s="2291" t="s">
        <v>2273</v>
      </c>
      <c r="C24" s="2293" t="str">
        <f>C10</f>
        <v>次干道-林河南大街</v>
      </c>
      <c r="D24" s="1613"/>
      <c r="E24" s="2242"/>
      <c r="F24" s="2242"/>
      <c r="G24" s="2242"/>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3" sqref="F33"/>
    </sheetView>
  </sheetViews>
  <sheetFormatPr defaultColWidth="9" defaultRowHeight="14.4"/>
  <cols>
    <col min="1" max="1" width="25" style="2295" customWidth="1"/>
    <col min="2" max="9" width="15.77734375" style="2295" customWidth="1"/>
    <col min="10" max="16384" width="9" style="2295"/>
  </cols>
  <sheetData>
    <row r="1" spans="1:11" ht="16.2">
      <c r="A1" s="2294" t="s">
        <v>665</v>
      </c>
      <c r="B1" s="2294">
        <f>SUM(B14:B23)</f>
        <v>42993.910000000222</v>
      </c>
      <c r="C1" s="2456"/>
      <c r="D1" s="2456"/>
      <c r="E1" s="2456"/>
      <c r="F1" s="2456"/>
      <c r="G1" s="2457"/>
      <c r="H1" s="2457"/>
      <c r="I1" s="2457"/>
      <c r="J1" s="2457"/>
      <c r="K1" s="2457"/>
    </row>
    <row r="2" spans="1:11" ht="16.2">
      <c r="A2" s="2294" t="s">
        <v>653</v>
      </c>
      <c r="B2" s="2294">
        <f>SUM(C14:C23)</f>
        <v>17707.41</v>
      </c>
      <c r="C2" s="2456"/>
      <c r="D2" s="2456"/>
      <c r="E2" s="2456"/>
      <c r="F2" s="2456"/>
      <c r="G2" s="2457"/>
      <c r="H2" s="2457"/>
      <c r="I2" s="2457"/>
      <c r="J2" s="2457"/>
      <c r="K2" s="2457"/>
    </row>
    <row r="3" spans="1:11" ht="15.6">
      <c r="A3" s="2294" t="s">
        <v>662</v>
      </c>
      <c r="B3" s="2296">
        <f>项目基本情况!D3</f>
        <v>45945</v>
      </c>
      <c r="C3" s="2456"/>
      <c r="D3" s="2456"/>
      <c r="E3" s="2456"/>
      <c r="F3" s="2456"/>
      <c r="G3" s="2457"/>
      <c r="H3" s="2457"/>
      <c r="I3" s="2457"/>
      <c r="J3" s="2457"/>
      <c r="K3" s="2457"/>
    </row>
    <row r="4" spans="1:11" ht="31.2">
      <c r="A4" s="2294" t="s">
        <v>661</v>
      </c>
      <c r="B4" s="2294" t="s">
        <v>660</v>
      </c>
      <c r="C4" s="2294" t="s">
        <v>659</v>
      </c>
      <c r="D4" s="2294" t="s">
        <v>658</v>
      </c>
      <c r="E4" s="2456"/>
      <c r="F4" s="2457"/>
      <c r="G4" s="2457"/>
      <c r="H4" s="2457"/>
      <c r="I4" s="2457"/>
      <c r="J4" s="2457"/>
      <c r="K4" s="2457"/>
    </row>
    <row r="5" spans="1:11" ht="15.6">
      <c r="A5" s="2294" t="s">
        <v>657</v>
      </c>
      <c r="B5" s="2294">
        <f ca="1">SUM(D14:D23)</f>
        <v>93533</v>
      </c>
      <c r="C5" s="2294">
        <f ca="1">IF(B5=D14,结果表!H102,ROUND(B5*10000/$B$1,0))</f>
        <v>21755</v>
      </c>
      <c r="D5" s="2294">
        <f ca="1">ROUND(B5*10000/$B$2,0)</f>
        <v>52821</v>
      </c>
      <c r="E5" s="2456"/>
      <c r="F5" s="2457"/>
      <c r="G5" s="2457"/>
      <c r="H5" s="2457"/>
      <c r="I5" s="2457"/>
      <c r="J5" s="2457"/>
      <c r="K5" s="2457"/>
    </row>
    <row r="6" spans="1:11" ht="15.6">
      <c r="A6" s="2294" t="s">
        <v>656</v>
      </c>
      <c r="B6" s="2294">
        <f ca="1">SUM(G14:G23)</f>
        <v>93533</v>
      </c>
      <c r="C6" s="2294">
        <f ca="1">IF(B6=G14,结果表!H108,ROUND(B6*10000/$B$1,0))</f>
        <v>21755</v>
      </c>
      <c r="D6" s="2294">
        <f ca="1">ROUND(B6*10000/$B$2,0)</f>
        <v>52821</v>
      </c>
      <c r="E6" s="2456"/>
      <c r="F6" s="2457"/>
      <c r="G6" s="2457"/>
      <c r="H6" s="2457"/>
      <c r="I6" s="2457"/>
      <c r="J6" s="2457"/>
      <c r="K6" s="2457"/>
    </row>
    <row r="7" spans="1:11" ht="15.6">
      <c r="A7" s="2294" t="s">
        <v>664</v>
      </c>
      <c r="B7" s="2294">
        <f>SUM(H14:H23)</f>
        <v>0</v>
      </c>
      <c r="C7" s="2294" t="str">
        <f>IF(B7=H14,结果表!H110,ROUND(B7*10000/$B$1,0))</f>
        <v>——</v>
      </c>
      <c r="D7" s="2294">
        <f>ROUND(B7*10000/$B$2,0)</f>
        <v>0</v>
      </c>
      <c r="E7" s="2456"/>
      <c r="F7" s="2457"/>
      <c r="G7" s="2457"/>
      <c r="H7" s="2457"/>
      <c r="I7" s="2457"/>
      <c r="J7" s="2457"/>
      <c r="K7" s="2457"/>
    </row>
    <row r="8" spans="1:11" ht="15.6">
      <c r="A8" s="2294" t="s">
        <v>587</v>
      </c>
      <c r="B8" s="2294">
        <f>SUM(I14:I23)</f>
        <v>0</v>
      </c>
      <c r="C8" s="2294" t="str">
        <f>IF(B8=I14,结果表!H112,ROUND(B8*10000/$B$1,0))</f>
        <v>——</v>
      </c>
      <c r="D8" s="2294">
        <f>ROUND(B8*10000/$B$2,0)</f>
        <v>0</v>
      </c>
      <c r="E8" s="2456"/>
      <c r="F8" s="2457"/>
      <c r="G8" s="2457"/>
      <c r="H8" s="2457"/>
      <c r="I8" s="2457"/>
      <c r="J8" s="2457"/>
      <c r="K8" s="2457"/>
    </row>
    <row r="9" spans="1:11" ht="15.6">
      <c r="A9" s="2294" t="s">
        <v>655</v>
      </c>
      <c r="B9" s="1243"/>
      <c r="C9" s="2456"/>
      <c r="D9" s="2456"/>
      <c r="E9" s="2456"/>
      <c r="F9" s="2457"/>
      <c r="G9" s="2457"/>
      <c r="H9" s="2457"/>
      <c r="I9" s="2457"/>
      <c r="J9" s="2457"/>
      <c r="K9" s="2457"/>
    </row>
    <row r="10" spans="1:11" ht="15.6">
      <c r="A10" s="2294" t="s">
        <v>654</v>
      </c>
      <c r="B10" s="2294">
        <f>IF(E10="",0,ROUND(B1*(E10*365/G10)/10000,0))</f>
        <v>0</v>
      </c>
      <c r="C10" s="2294" t="s">
        <v>3344</v>
      </c>
      <c r="D10" s="2294" t="s">
        <v>3345</v>
      </c>
      <c r="E10" s="3130"/>
      <c r="F10" s="3134" t="s">
        <v>3346</v>
      </c>
      <c r="G10" s="3131"/>
      <c r="H10" s="2457"/>
      <c r="I10" s="2457"/>
      <c r="J10" s="2457"/>
      <c r="K10" s="2457"/>
    </row>
    <row r="11" spans="1:11" ht="15.6">
      <c r="A11" s="2294" t="s">
        <v>670</v>
      </c>
      <c r="B11" s="1243"/>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7" t="s">
        <v>669</v>
      </c>
      <c r="B13" s="2298" t="s">
        <v>666</v>
      </c>
      <c r="C13" s="2298" t="s">
        <v>668</v>
      </c>
      <c r="D13" s="2298" t="s">
        <v>667</v>
      </c>
      <c r="E13" s="2294" t="s">
        <v>659</v>
      </c>
      <c r="F13" s="2294" t="s">
        <v>658</v>
      </c>
      <c r="G13" s="2298" t="s">
        <v>652</v>
      </c>
      <c r="H13" s="2298" t="s">
        <v>663</v>
      </c>
      <c r="I13" s="2298" t="s">
        <v>651</v>
      </c>
      <c r="J13" s="2457"/>
      <c r="K13" s="2457"/>
    </row>
    <row r="14" spans="1:11" ht="15.6">
      <c r="A14" s="2299" t="s">
        <v>650</v>
      </c>
      <c r="B14" s="2300">
        <f>结果表!B118</f>
        <v>42993.910000000222</v>
      </c>
      <c r="C14" s="2300">
        <f>结果表!C118</f>
        <v>17707.41</v>
      </c>
      <c r="D14" s="2300">
        <f ca="1">结果表!H118</f>
        <v>93533</v>
      </c>
      <c r="E14" s="2300">
        <f ca="1">ROUND(D14*10000/B14,0)</f>
        <v>21755</v>
      </c>
      <c r="F14" s="2300">
        <f ca="1">ROUND(D14*10000/C14,0)</f>
        <v>52821</v>
      </c>
      <c r="G14" s="2300">
        <f ca="1">D14</f>
        <v>93533</v>
      </c>
      <c r="H14" s="2300"/>
      <c r="I14" s="2300"/>
      <c r="J14" s="2457"/>
      <c r="K14" s="2457"/>
    </row>
    <row r="15" spans="1:11" ht="15.6">
      <c r="A15" s="2299" t="s">
        <v>649</v>
      </c>
      <c r="B15" s="2301"/>
      <c r="C15" s="2301"/>
      <c r="D15" s="2301"/>
      <c r="E15" s="2300" t="e">
        <f t="shared" ref="E15:E23" si="0">ROUND(D15*10000/B15,0)</f>
        <v>#DIV/0!</v>
      </c>
      <c r="F15" s="2300" t="e">
        <f t="shared" ref="F15:F23" si="1">ROUND(D15*10000/C15,0)</f>
        <v>#DIV/0!</v>
      </c>
      <c r="G15" s="1243"/>
      <c r="H15" s="1243"/>
      <c r="I15" s="2301"/>
      <c r="J15" s="2457"/>
      <c r="K15" s="2457"/>
    </row>
    <row r="16" spans="1:11" ht="15.6">
      <c r="A16" s="2299" t="s">
        <v>648</v>
      </c>
      <c r="B16" s="2301"/>
      <c r="C16" s="2301"/>
      <c r="D16" s="2301"/>
      <c r="E16" s="2300" t="e">
        <f t="shared" si="0"/>
        <v>#DIV/0!</v>
      </c>
      <c r="F16" s="2300" t="e">
        <f t="shared" si="1"/>
        <v>#DIV/0!</v>
      </c>
      <c r="G16" s="1243"/>
      <c r="H16" s="1243"/>
      <c r="I16" s="2301"/>
      <c r="J16" s="2457"/>
      <c r="K16" s="2457"/>
    </row>
    <row r="17" spans="1:11" ht="15.6">
      <c r="A17" s="2299" t="s">
        <v>647</v>
      </c>
      <c r="B17" s="2301"/>
      <c r="C17" s="2301"/>
      <c r="D17" s="2301"/>
      <c r="E17" s="2300" t="e">
        <f t="shared" si="0"/>
        <v>#DIV/0!</v>
      </c>
      <c r="F17" s="2300" t="e">
        <f t="shared" si="1"/>
        <v>#DIV/0!</v>
      </c>
      <c r="G17" s="1243"/>
      <c r="H17" s="1243"/>
      <c r="I17" s="2301"/>
      <c r="J17" s="2457"/>
      <c r="K17" s="2457"/>
    </row>
    <row r="18" spans="1:11" ht="15.6">
      <c r="A18" s="2299" t="s">
        <v>646</v>
      </c>
      <c r="B18" s="2301"/>
      <c r="C18" s="2301"/>
      <c r="D18" s="2301"/>
      <c r="E18" s="2300" t="e">
        <f t="shared" si="0"/>
        <v>#DIV/0!</v>
      </c>
      <c r="F18" s="2300" t="e">
        <f t="shared" si="1"/>
        <v>#DIV/0!</v>
      </c>
      <c r="G18" s="2301"/>
      <c r="H18" s="2301"/>
      <c r="I18" s="2301"/>
      <c r="J18" s="2457"/>
      <c r="K18" s="2457"/>
    </row>
    <row r="19" spans="1:11" ht="15.6">
      <c r="A19" s="2299" t="s">
        <v>645</v>
      </c>
      <c r="B19" s="2301"/>
      <c r="C19" s="2301"/>
      <c r="D19" s="2301"/>
      <c r="E19" s="2300" t="e">
        <f t="shared" si="0"/>
        <v>#DIV/0!</v>
      </c>
      <c r="F19" s="2300" t="e">
        <f t="shared" si="1"/>
        <v>#DIV/0!</v>
      </c>
      <c r="G19" s="2301"/>
      <c r="H19" s="2301"/>
      <c r="I19" s="2301"/>
      <c r="J19" s="2457"/>
      <c r="K19" s="2457"/>
    </row>
    <row r="20" spans="1:11" ht="15.6">
      <c r="A20" s="2299" t="s">
        <v>644</v>
      </c>
      <c r="B20" s="2301"/>
      <c r="C20" s="2301"/>
      <c r="D20" s="2301"/>
      <c r="E20" s="2300" t="e">
        <f t="shared" si="0"/>
        <v>#DIV/0!</v>
      </c>
      <c r="F20" s="2300" t="e">
        <f t="shared" si="1"/>
        <v>#DIV/0!</v>
      </c>
      <c r="G20" s="2301"/>
      <c r="H20" s="2301"/>
      <c r="I20" s="2301"/>
      <c r="J20" s="2457"/>
      <c r="K20" s="2457"/>
    </row>
    <row r="21" spans="1:11" ht="15.6">
      <c r="A21" s="2299" t="s">
        <v>643</v>
      </c>
      <c r="B21" s="2301"/>
      <c r="C21" s="2301"/>
      <c r="D21" s="2301"/>
      <c r="E21" s="2300" t="e">
        <f t="shared" si="0"/>
        <v>#DIV/0!</v>
      </c>
      <c r="F21" s="2300" t="e">
        <f t="shared" si="1"/>
        <v>#DIV/0!</v>
      </c>
      <c r="G21" s="2301"/>
      <c r="H21" s="2301"/>
      <c r="I21" s="2301"/>
      <c r="J21" s="2457"/>
      <c r="K21" s="2457"/>
    </row>
    <row r="22" spans="1:11" ht="15.6">
      <c r="A22" s="2299" t="s">
        <v>642</v>
      </c>
      <c r="B22" s="2301"/>
      <c r="C22" s="2301"/>
      <c r="D22" s="2301"/>
      <c r="E22" s="2300" t="e">
        <f t="shared" si="0"/>
        <v>#DIV/0!</v>
      </c>
      <c r="F22" s="2300" t="e">
        <f t="shared" si="1"/>
        <v>#DIV/0!</v>
      </c>
      <c r="G22" s="2301"/>
      <c r="H22" s="2301"/>
      <c r="I22" s="2301"/>
      <c r="J22" s="2457"/>
      <c r="K22" s="2457"/>
    </row>
    <row r="23" spans="1:11" ht="15.6">
      <c r="A23" s="2299" t="s">
        <v>641</v>
      </c>
      <c r="B23" s="2301"/>
      <c r="C23" s="2301"/>
      <c r="D23" s="2301"/>
      <c r="E23" s="1243" t="e">
        <f t="shared" si="0"/>
        <v>#DIV/0!</v>
      </c>
      <c r="F23" s="1243"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3" zoomScaleNormal="100" zoomScaleSheetLayoutView="100" zoomScalePageLayoutView="80" workbookViewId="0">
      <selection activeCell="K22" sqref="K22"/>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c r="D1" s="646"/>
      <c r="E1" s="646"/>
      <c r="F1" s="1620" t="s">
        <v>1263</v>
      </c>
      <c r="G1" s="1452" t="s">
        <v>3634</v>
      </c>
      <c r="H1" s="1620" t="str">
        <f>IF(G1="现房","——","估价对象范围")</f>
        <v>估价对象范围</v>
      </c>
      <c r="I1" s="1621" t="s">
        <v>3635</v>
      </c>
    </row>
    <row r="2" spans="1:12" ht="21.75" customHeight="1" thickBot="1">
      <c r="A2" s="3322" t="str">
        <f>项目基本情况!S2</f>
        <v>北京市出让国有建设用地使用权及在建建筑物房地产</v>
      </c>
      <c r="B2" s="3323"/>
      <c r="C2" s="3323"/>
      <c r="D2" s="3323"/>
      <c r="E2" s="3323"/>
      <c r="F2" s="3323"/>
      <c r="G2" s="3323"/>
      <c r="H2" s="3323"/>
      <c r="I2" s="3324"/>
    </row>
    <row r="3" spans="1:12" ht="13.2">
      <c r="A3" s="3326" t="s">
        <v>1264</v>
      </c>
      <c r="B3" s="3327"/>
      <c r="C3" s="3327"/>
      <c r="D3" s="3327"/>
      <c r="E3" s="3327"/>
      <c r="F3" s="3327"/>
      <c r="G3" s="3327"/>
      <c r="H3" s="3327"/>
      <c r="I3" s="3327"/>
    </row>
    <row r="4" spans="1:12" ht="14.4">
      <c r="A4" s="1623" t="s">
        <v>1265</v>
      </c>
      <c r="B4" s="1624" t="s">
        <v>1266</v>
      </c>
      <c r="C4" s="1625" t="s">
        <v>3636</v>
      </c>
      <c r="D4" s="1625" t="s">
        <v>3637</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302" t="s">
        <v>1268</v>
      </c>
      <c r="B5" s="3289">
        <v>25</v>
      </c>
      <c r="C5" s="3305"/>
      <c r="D5" s="3325"/>
      <c r="E5" s="123" t="s">
        <v>1269</v>
      </c>
      <c r="F5" s="1626"/>
      <c r="G5" s="1626"/>
      <c r="H5" s="1626"/>
      <c r="I5" s="1280"/>
    </row>
    <row r="6" spans="1:12" ht="13.2">
      <c r="A6" s="3302"/>
      <c r="B6" s="3289"/>
      <c r="C6" s="3306"/>
      <c r="D6" s="3325"/>
      <c r="E6" s="123" t="s">
        <v>1270</v>
      </c>
      <c r="F6" s="1626"/>
      <c r="G6" s="1626"/>
      <c r="H6" s="1626"/>
      <c r="I6" s="1280"/>
    </row>
    <row r="7" spans="1:12" ht="13.2">
      <c r="A7" s="3302"/>
      <c r="B7" s="3289"/>
      <c r="C7" s="3307"/>
      <c r="D7" s="3325"/>
      <c r="E7" s="123" t="s">
        <v>1271</v>
      </c>
      <c r="F7" s="1626"/>
      <c r="G7" s="1626"/>
      <c r="H7" s="1626"/>
      <c r="I7" s="1280"/>
    </row>
    <row r="8" spans="1:12" ht="13.2">
      <c r="A8" s="3302" t="s">
        <v>1272</v>
      </c>
      <c r="B8" s="3289">
        <v>15</v>
      </c>
      <c r="C8" s="3305"/>
      <c r="D8" s="3325"/>
      <c r="E8" s="123" t="s">
        <v>1273</v>
      </c>
      <c r="F8" s="1626"/>
      <c r="G8" s="1626"/>
      <c r="H8" s="1626"/>
      <c r="I8" s="1280"/>
    </row>
    <row r="9" spans="1:12" ht="13.2">
      <c r="A9" s="3302"/>
      <c r="B9" s="3289"/>
      <c r="C9" s="3307"/>
      <c r="D9" s="3325"/>
      <c r="E9" s="123" t="s">
        <v>1274</v>
      </c>
      <c r="F9" s="1626"/>
      <c r="G9" s="1626"/>
      <c r="H9" s="1626"/>
      <c r="I9" s="1280"/>
    </row>
    <row r="10" spans="1:12" ht="13.2">
      <c r="A10" s="3302" t="s">
        <v>1275</v>
      </c>
      <c r="B10" s="3289">
        <v>15</v>
      </c>
      <c r="C10" s="3305"/>
      <c r="D10" s="3325"/>
      <c r="E10" s="123" t="s">
        <v>1276</v>
      </c>
      <c r="F10" s="1626"/>
      <c r="G10" s="1626"/>
      <c r="H10" s="1626"/>
      <c r="I10" s="1280"/>
    </row>
    <row r="11" spans="1:12" ht="13.2">
      <c r="A11" s="3302"/>
      <c r="B11" s="3289"/>
      <c r="C11" s="3307"/>
      <c r="D11" s="3325"/>
      <c r="E11" s="123" t="s">
        <v>1277</v>
      </c>
      <c r="F11" s="1626"/>
      <c r="G11" s="1626"/>
      <c r="H11" s="1626"/>
      <c r="I11" s="1280"/>
    </row>
    <row r="12" spans="1:12" ht="13.2">
      <c r="A12" s="3302" t="s">
        <v>1278</v>
      </c>
      <c r="B12" s="3289">
        <v>15</v>
      </c>
      <c r="C12" s="3305"/>
      <c r="D12" s="3325"/>
      <c r="E12" s="123" t="s">
        <v>1279</v>
      </c>
      <c r="F12" s="1626"/>
      <c r="G12" s="1626"/>
      <c r="H12" s="1626"/>
      <c r="I12" s="1280"/>
    </row>
    <row r="13" spans="1:12" ht="13.2">
      <c r="A13" s="3302"/>
      <c r="B13" s="3289"/>
      <c r="C13" s="3307"/>
      <c r="D13" s="3325"/>
      <c r="E13" s="123" t="s">
        <v>1280</v>
      </c>
      <c r="F13" s="1626"/>
      <c r="G13" s="1626"/>
      <c r="H13" s="1626"/>
      <c r="I13" s="1280"/>
    </row>
    <row r="14" spans="1:12" ht="13.2">
      <c r="A14" s="3302" t="s">
        <v>1281</v>
      </c>
      <c r="B14" s="3289">
        <v>30</v>
      </c>
      <c r="C14" s="3305">
        <v>5</v>
      </c>
      <c r="D14" s="3325">
        <v>5</v>
      </c>
      <c r="E14" s="123" t="s">
        <v>1282</v>
      </c>
      <c r="F14" s="1626"/>
      <c r="G14" s="1626"/>
      <c r="H14" s="1626"/>
      <c r="I14" s="1280"/>
    </row>
    <row r="15" spans="1:12" ht="13.2">
      <c r="A15" s="3302"/>
      <c r="B15" s="3289"/>
      <c r="C15" s="3306"/>
      <c r="D15" s="3325"/>
      <c r="E15" s="123" t="s">
        <v>1283</v>
      </c>
      <c r="F15" s="1626"/>
      <c r="G15" s="1626"/>
      <c r="H15" s="1626"/>
      <c r="I15" s="1280"/>
    </row>
    <row r="16" spans="1:12" ht="13.2">
      <c r="A16" s="3302"/>
      <c r="B16" s="3289"/>
      <c r="C16" s="3307"/>
      <c r="D16" s="3325"/>
      <c r="E16" s="123" t="s">
        <v>1284</v>
      </c>
      <c r="F16" s="1626"/>
      <c r="G16" s="1626"/>
      <c r="H16" s="1626"/>
      <c r="I16" s="1280"/>
    </row>
    <row r="17" spans="1:36" ht="14.4">
      <c r="A17" s="1627" t="s">
        <v>1285</v>
      </c>
      <c r="B17" s="54"/>
      <c r="C17" s="124">
        <f>SUM(C5:C16)</f>
        <v>5</v>
      </c>
      <c r="D17" s="124">
        <f>SUM(D5:D16)</f>
        <v>5</v>
      </c>
      <c r="E17" s="121"/>
      <c r="F17" s="121"/>
      <c r="G17" s="121"/>
      <c r="H17" s="121"/>
      <c r="I17" s="121"/>
      <c r="K17" s="294"/>
      <c r="L17" s="294" t="s">
        <v>1286</v>
      </c>
      <c r="M17" s="294" t="s">
        <v>1287</v>
      </c>
    </row>
    <row r="18" spans="1:36" ht="31.95" customHeight="1" thickBot="1">
      <c r="A18" s="1628" t="s">
        <v>1288</v>
      </c>
      <c r="B18" s="1541"/>
      <c r="C18" s="125">
        <f>ROUND(C17/SUM(C17:D17),2)</f>
        <v>0.5</v>
      </c>
      <c r="D18" s="125">
        <f>1-C18</f>
        <v>0.5</v>
      </c>
      <c r="E18" s="3312" t="s">
        <v>2131</v>
      </c>
      <c r="F18" s="3313"/>
      <c r="G18" s="3313"/>
      <c r="H18" s="3313"/>
      <c r="I18" s="3313"/>
      <c r="K18" s="294" t="s">
        <v>1289</v>
      </c>
      <c r="L18" s="294">
        <f>IF(C1="",'数据-汇总表'!E3,SUMIF(项目类型,C1,'数据-汇总表'!E17:E26)+SUMIF(项目类型,C1,'数据-汇总表'!I17:I26))</f>
        <v>42993.910000000222</v>
      </c>
      <c r="M18" s="294">
        <f>IF(C1="",'数据-汇总表'!E3,SUMIF(项目类型,C1,'数据-汇总表'!E17:E26))</f>
        <v>42993.910000000222</v>
      </c>
    </row>
    <row r="19" spans="1:36" ht="14.4">
      <c r="A19" s="1629" t="s">
        <v>1290</v>
      </c>
      <c r="B19" s="1630" t="s">
        <v>1291</v>
      </c>
      <c r="C19" s="126">
        <f ca="1">SUMIF(INDIRECT("'"&amp;C4&amp;"'"&amp;"!A:A"),结果表!B19,INDIRECT("'"&amp;C4&amp;"'"&amp;"!B:B"))</f>
        <v>102161</v>
      </c>
      <c r="D19" s="127">
        <f ca="1">SUMIF(INDIRECT("'"&amp;D4&amp;"'"&amp;"!A:A"),结果表!B19,INDIRECT("'"&amp;D4&amp;"'"&amp;"!B:B"))</f>
        <v>84905</v>
      </c>
      <c r="E19" s="1629" t="s">
        <v>1292</v>
      </c>
      <c r="F19" s="1630" t="s">
        <v>1291</v>
      </c>
      <c r="G19" s="128">
        <f ca="1">ROUND(C19*$C$18+D19*$D$18,0)</f>
        <v>93533</v>
      </c>
      <c r="H19" s="1631" t="s">
        <v>1293</v>
      </c>
      <c r="I19" s="121"/>
      <c r="K19" s="294" t="s">
        <v>1294</v>
      </c>
      <c r="L19" s="294">
        <f>IF(C1="",'数据-汇总表'!D3,SUMIF(项目类型,C1,'数据-汇总表'!D17:D26)+SUMIF(项目类型,C1,'数据-汇总表'!H17:H27))</f>
        <v>17707.41</v>
      </c>
      <c r="M19" s="294">
        <f>IF(C1="",'数据-汇总表'!D3,SUMIF(项目类型,C1,'数据-汇总表'!D17:D26))</f>
        <v>17707.41</v>
      </c>
    </row>
    <row r="20" spans="1:36" ht="14.4">
      <c r="A20" s="1632"/>
      <c r="B20" s="43" t="s">
        <v>1295</v>
      </c>
      <c r="C20" s="129">
        <f ca="1">SUMIF(INDIRECT("'"&amp;C4&amp;"'"&amp;"!A:A"),结果表!B20,INDIRECT("'"&amp;C4&amp;"'"&amp;"!B:B"))</f>
        <v>23762</v>
      </c>
      <c r="D20" s="130">
        <f ca="1">SUMIF(INDIRECT("'"&amp;D4&amp;"'"&amp;"!A:A"),结果表!B20,INDIRECT("'"&amp;D4&amp;"'"&amp;"!B:B"))</f>
        <v>19748</v>
      </c>
      <c r="E20" s="1632"/>
      <c r="F20" s="43" t="s">
        <v>1295</v>
      </c>
      <c r="G20" s="131">
        <f ca="1">ROUND(C20*$C$18+D20*$D$18,0)</f>
        <v>21755</v>
      </c>
      <c r="H20" s="759" t="s">
        <v>1296</v>
      </c>
      <c r="I20" s="121"/>
    </row>
    <row r="21" spans="1:36" ht="15" customHeight="1" thickBot="1">
      <c r="A21" s="449"/>
      <c r="B21" s="93" t="s">
        <v>1297</v>
      </c>
      <c r="C21" s="678">
        <f ca="1">ROUND(C19*10000/L19,0)</f>
        <v>57694</v>
      </c>
      <c r="D21" s="679">
        <f ca="1">ROUND(D19*10000/L19,0)</f>
        <v>47949</v>
      </c>
      <c r="E21" s="449"/>
      <c r="F21" s="93" t="s">
        <v>1297</v>
      </c>
      <c r="G21" s="132">
        <f ca="1">ROUND(G19*10000/L19,0)</f>
        <v>52821</v>
      </c>
      <c r="H21" s="1633" t="s">
        <v>1296</v>
      </c>
      <c r="I21" s="121"/>
    </row>
    <row r="22" spans="1:36" ht="15" thickBot="1">
      <c r="A22" s="1563" t="s">
        <v>1298</v>
      </c>
      <c r="B22" s="1634"/>
      <c r="C22" s="1635"/>
      <c r="D22" s="680">
        <f ca="1">IF(C19&lt;D19,D19/C19-1,C19/D19-1)</f>
        <v>0.20323891408044292</v>
      </c>
      <c r="E22" s="121"/>
      <c r="F22" s="121"/>
      <c r="G22" s="121"/>
      <c r="H22" s="121"/>
      <c r="I22" s="121"/>
    </row>
    <row r="23" spans="1:36" ht="13.8" thickBot="1">
      <c r="A23" s="646"/>
      <c r="B23" s="646"/>
      <c r="C23" s="646"/>
      <c r="D23" s="646"/>
      <c r="E23" s="121"/>
      <c r="F23" s="121"/>
      <c r="G23" s="121"/>
      <c r="H23" s="121"/>
      <c r="I23" s="121"/>
    </row>
    <row r="24" spans="1:36" ht="14.4">
      <c r="A24" s="3296" t="s">
        <v>1299</v>
      </c>
      <c r="B24" s="1630" t="s">
        <v>1291</v>
      </c>
      <c r="C24" s="128">
        <f>IF(B30=0,0,D30)</f>
        <v>0</v>
      </c>
      <c r="D24" s="1636"/>
      <c r="E24" s="121"/>
      <c r="F24" s="121"/>
      <c r="G24" s="121"/>
      <c r="H24" s="121"/>
      <c r="I24" s="121"/>
    </row>
    <row r="25" spans="1:36" ht="14.4">
      <c r="A25" s="329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58"/>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93533</v>
      </c>
      <c r="D32" s="1640" t="s">
        <v>4044</v>
      </c>
      <c r="E32" s="121"/>
      <c r="F32" s="121"/>
      <c r="G32" s="121"/>
      <c r="H32" s="121"/>
      <c r="I32" s="121"/>
    </row>
    <row r="33" spans="1:15" ht="14.4">
      <c r="A33" s="739" t="s">
        <v>1306</v>
      </c>
      <c r="B33" s="123"/>
      <c r="C33" s="1641" t="s">
        <v>4045</v>
      </c>
      <c r="D33" s="1642" t="s">
        <v>3636</v>
      </c>
      <c r="E33" s="1643" t="s">
        <v>1307</v>
      </c>
      <c r="F33" s="1644" t="str">
        <f>IF(D32="楼面单价","取值（单价）","取值（总价）")</f>
        <v>取值（总价）</v>
      </c>
      <c r="G33" s="121"/>
      <c r="H33" s="121"/>
      <c r="I33" s="121"/>
    </row>
    <row r="34" spans="1:15" ht="14.4">
      <c r="A34" s="1645"/>
      <c r="B34" s="1646" t="s">
        <v>1308</v>
      </c>
      <c r="C34" s="140">
        <f ca="1">IF(C33="自定义",F34,C32-C35)</f>
        <v>71833</v>
      </c>
      <c r="D34" s="807">
        <f ca="1">IF(C33="自定义",ROUND(C34/C32,3),IF(C33="收益比率",SUMIF(INDIRECT("'"&amp;D33&amp;"'"&amp;"!b:b"),"土地收益比率",INDIRECT("'"&amp;D33&amp;"'"&amp;"!c:c")),SUMIF(INDIRECT("'"&amp;D33&amp;"'"&amp;"!b:b"),"土地成本比率",INDIRECT("'"&amp;D33&amp;"'"&amp;"!c:c"))))</f>
        <v>0.76800000000000002</v>
      </c>
      <c r="E34" s="1647" t="s">
        <v>1309</v>
      </c>
      <c r="F34" s="1242"/>
      <c r="G34" s="121"/>
      <c r="H34" s="121"/>
      <c r="I34" s="121"/>
    </row>
    <row r="35" spans="1:15" ht="15" thickBot="1">
      <c r="A35" s="1648"/>
      <c r="B35" s="1649" t="s">
        <v>1310</v>
      </c>
      <c r="C35" s="1089">
        <f ca="1">IF(C33="自定义",F35,ROUND(C32*D35,0))</f>
        <v>21700</v>
      </c>
      <c r="D35" s="1090">
        <f ca="1">IF(C33="自定义",ROUND(C35/C32,3),IF(C33="收益比率",SUMIF(INDIRECT("'"&amp;D33&amp;"'"&amp;"!b:b"),"建筑物收益比率",INDIRECT("'"&amp;D33&amp;"'"&amp;"!c:c")),SUMIF(INDIRECT("'"&amp;D33&amp;"'"&amp;"!b:b"),"建筑物成本比率",INDIRECT("'"&amp;D33&amp;"'"&amp;"!c:c"))))</f>
        <v>0.23200000000000001</v>
      </c>
      <c r="E35" s="1650" t="s">
        <v>1311</v>
      </c>
      <c r="F35" s="146"/>
      <c r="G35" s="121"/>
      <c r="H35" s="121"/>
      <c r="I35" s="121"/>
    </row>
    <row r="36" spans="1:15" ht="15" thickBot="1">
      <c r="A36" s="3316" t="s">
        <v>1312</v>
      </c>
      <c r="B36" s="1651" t="s">
        <v>1313</v>
      </c>
      <c r="C36" s="137"/>
      <c r="D36" s="1652"/>
      <c r="E36" s="1566"/>
      <c r="F36" s="1653"/>
      <c r="G36" s="121"/>
      <c r="H36" s="121"/>
      <c r="I36" s="121"/>
    </row>
    <row r="37" spans="1:15" ht="15" thickBot="1">
      <c r="A37" s="3317"/>
      <c r="B37" s="1554" t="s">
        <v>1314</v>
      </c>
      <c r="C37" s="139"/>
      <c r="D37" s="1070"/>
      <c r="E37" s="1070"/>
      <c r="F37" s="1653"/>
      <c r="G37" s="121"/>
      <c r="H37" s="121"/>
      <c r="I37" s="121"/>
    </row>
    <row r="38" spans="1:15" ht="15" thickBot="1">
      <c r="A38" s="3318"/>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93" t="s">
        <v>1326</v>
      </c>
      <c r="B45" s="3294"/>
      <c r="C45" s="3295"/>
      <c r="D45" s="147">
        <f ca="1">ROUND(H101*F45,0)</f>
        <v>93533</v>
      </c>
      <c r="E45" s="148" t="s">
        <v>1327</v>
      </c>
      <c r="F45" s="149">
        <v>1</v>
      </c>
      <c r="G45" s="150" t="s">
        <v>1328</v>
      </c>
      <c r="H45" s="121"/>
      <c r="I45" s="121"/>
      <c r="J45" s="3371" t="s">
        <v>1329</v>
      </c>
      <c r="K45" s="3371"/>
      <c r="L45" s="3371"/>
      <c r="M45" s="3371"/>
      <c r="N45" s="3371"/>
      <c r="O45" s="3371"/>
    </row>
    <row r="46" spans="1:15" ht="14.25" customHeight="1">
      <c r="A46" s="3290" t="s">
        <v>1330</v>
      </c>
      <c r="B46" s="3291"/>
      <c r="C46" s="3291"/>
      <c r="D46" s="3291"/>
      <c r="E46" s="3291"/>
      <c r="F46" s="3291"/>
      <c r="G46" s="3292"/>
      <c r="H46" s="1667"/>
      <c r="I46" s="151"/>
      <c r="J46" s="2304">
        <v>1</v>
      </c>
      <c r="K46" s="3352" t="s">
        <v>1331</v>
      </c>
      <c r="L46" s="3352"/>
      <c r="M46" s="3372"/>
      <c r="N46" s="3372"/>
      <c r="O46" s="3372"/>
    </row>
    <row r="47" spans="1:15" ht="12" customHeight="1">
      <c r="A47" s="152" t="s">
        <v>1332</v>
      </c>
      <c r="B47" s="153"/>
      <c r="C47" s="154"/>
      <c r="D47" s="1023" t="s">
        <v>1333</v>
      </c>
      <c r="E47" s="294" t="s">
        <v>1334</v>
      </c>
      <c r="F47" s="155" t="s">
        <v>1335</v>
      </c>
      <c r="G47" s="2327" t="s">
        <v>1336</v>
      </c>
      <c r="H47" s="2328"/>
      <c r="I47" s="151"/>
      <c r="J47" s="2304">
        <v>2</v>
      </c>
      <c r="K47" s="3352" t="s">
        <v>1337</v>
      </c>
      <c r="L47" s="3352"/>
      <c r="M47" s="3373">
        <f>'数据-取费表'!B2</f>
        <v>45945</v>
      </c>
      <c r="N47" s="3373"/>
      <c r="O47" s="3373"/>
    </row>
    <row r="48" spans="1:15" ht="26.4">
      <c r="A48" s="3321" t="s">
        <v>1338</v>
      </c>
      <c r="B48" s="3304"/>
      <c r="C48" s="3304"/>
      <c r="D48" s="12" t="b">
        <f>IF(H48="情况1",0,IF(H48="情况2",D52,IF(H48="情况3",D53,IF(H48="情况4",D54))))</f>
        <v>0</v>
      </c>
      <c r="E48" s="1255" t="str">
        <f>IF(H48="情况4","(销售额-原购置价)×税（费）率","销售额×税（费）率")</f>
        <v>销售额×税（费）率</v>
      </c>
      <c r="F48" s="2329">
        <f>IF(H48="情况1","免征",'数据-取费表'!B41)</f>
        <v>5.5000000000000007E-2</v>
      </c>
      <c r="G48" s="2330" t="s">
        <v>1339</v>
      </c>
      <c r="H48" s="2331"/>
      <c r="I48" s="1667"/>
      <c r="J48" s="2304">
        <v>3</v>
      </c>
      <c r="K48" s="3352" t="s">
        <v>1340</v>
      </c>
      <c r="L48" s="3352"/>
      <c r="M48" s="3374">
        <f ca="1">H101</f>
        <v>93533</v>
      </c>
      <c r="N48" s="3374"/>
      <c r="O48" s="3374"/>
    </row>
    <row r="49" spans="1:35" ht="25.5" customHeight="1">
      <c r="A49" s="2151" t="s">
        <v>1341</v>
      </c>
      <c r="B49" s="3288" t="s">
        <v>1342</v>
      </c>
      <c r="C49" s="3288"/>
      <c r="D49" s="1477">
        <v>0</v>
      </c>
      <c r="E49" s="316" t="s">
        <v>1343</v>
      </c>
      <c r="F49" s="2232" t="s">
        <v>28</v>
      </c>
      <c r="G49" s="3358"/>
      <c r="H49" s="2133" t="s">
        <v>2134</v>
      </c>
      <c r="I49" s="2134"/>
      <c r="J49" s="2304">
        <v>4</v>
      </c>
      <c r="K49" s="3352" t="str">
        <f>IF(项目基本情况!E8="房地产抵押价值","房地产抵押价值","抵押担保权已注销时的房地产抵押价值")</f>
        <v>房地产抵押价值</v>
      </c>
      <c r="L49" s="3352"/>
      <c r="M49" s="3374">
        <f ca="1">IF(项目基本情况!E8="房地产抵押价值",H107,H109)</f>
        <v>93533</v>
      </c>
      <c r="N49" s="3374"/>
      <c r="O49" s="3374"/>
    </row>
    <row r="50" spans="1:35" ht="25.5" customHeight="1">
      <c r="A50" s="2332"/>
      <c r="B50" s="3288" t="s">
        <v>1344</v>
      </c>
      <c r="C50" s="3288"/>
      <c r="D50" s="2188"/>
      <c r="E50" s="323"/>
      <c r="F50" s="2232"/>
      <c r="G50" s="3359"/>
      <c r="H50" s="2135" t="s">
        <v>2135</v>
      </c>
      <c r="I50" s="2134"/>
      <c r="J50" s="3371" t="s">
        <v>1345</v>
      </c>
      <c r="K50" s="3371"/>
      <c r="L50" s="3371"/>
      <c r="M50" s="3371"/>
      <c r="N50" s="3371"/>
      <c r="O50" s="3371"/>
    </row>
    <row r="51" spans="1:35" ht="20.399999999999999" customHeight="1">
      <c r="A51" s="2333"/>
      <c r="B51" s="3288" t="s">
        <v>1346</v>
      </c>
      <c r="C51" s="3288"/>
      <c r="D51" s="1023"/>
      <c r="E51" s="319"/>
      <c r="F51" s="2232"/>
      <c r="G51" s="3360"/>
      <c r="H51" s="2135" t="s">
        <v>2136</v>
      </c>
      <c r="I51" s="2134"/>
      <c r="J51" s="2305" t="s">
        <v>1347</v>
      </c>
      <c r="K51" s="3352" t="s">
        <v>1348</v>
      </c>
      <c r="L51" s="3352"/>
      <c r="M51" s="2305" t="s">
        <v>1349</v>
      </c>
      <c r="N51" s="2305" t="s">
        <v>1350</v>
      </c>
      <c r="O51" s="2305" t="s">
        <v>1351</v>
      </c>
    </row>
    <row r="52" spans="1:35" ht="24" customHeight="1">
      <c r="A52" s="2152" t="s">
        <v>1352</v>
      </c>
      <c r="B52" s="3288" t="s">
        <v>1353</v>
      </c>
      <c r="C52" s="3288"/>
      <c r="D52" s="1023">
        <f ca="1">ROUND(D45*'数据-取费表'!B41/(1+'数据-取费表'!C42),0)</f>
        <v>4899</v>
      </c>
      <c r="E52" s="1255" t="s">
        <v>1354</v>
      </c>
      <c r="F52" s="2334">
        <f>'数据-取费表'!B41</f>
        <v>5.5000000000000007E-2</v>
      </c>
      <c r="G52" s="2335"/>
      <c r="H52" s="2325"/>
      <c r="I52" s="1668"/>
      <c r="J52" s="2304">
        <v>1</v>
      </c>
      <c r="K52" s="3353" t="s">
        <v>1355</v>
      </c>
      <c r="L52" s="3353"/>
      <c r="M52" s="2306" t="b">
        <f>D48</f>
        <v>0</v>
      </c>
      <c r="N52" s="2304" t="str">
        <f>E48</f>
        <v>销售额×税（费）率</v>
      </c>
      <c r="O52" s="2307">
        <f>F48</f>
        <v>5.5000000000000007E-2</v>
      </c>
    </row>
    <row r="53" spans="1:35" ht="12" customHeight="1">
      <c r="A53" s="2152" t="s">
        <v>1356</v>
      </c>
      <c r="B53" s="3314" t="s">
        <v>2282</v>
      </c>
      <c r="C53" s="3315"/>
      <c r="D53" s="1023">
        <f ca="1">ROUND(D45*'数据-取费表'!B41/(1+'数据-取费表'!C42),0)</f>
        <v>4899</v>
      </c>
      <c r="E53" s="1255" t="s">
        <v>1354</v>
      </c>
      <c r="F53" s="2334">
        <f>'数据-取费表'!B41</f>
        <v>5.5000000000000007E-2</v>
      </c>
      <c r="G53" s="2335"/>
      <c r="H53" s="2325"/>
      <c r="I53" s="1668"/>
      <c r="J53" s="2304">
        <v>2</v>
      </c>
      <c r="K53" s="3353" t="s">
        <v>1357</v>
      </c>
      <c r="L53" s="3353"/>
      <c r="M53" s="2306">
        <f t="shared" ref="M53:O54" ca="1" si="0">D55</f>
        <v>47</v>
      </c>
      <c r="N53" s="2304" t="str">
        <f t="shared" si="0"/>
        <v>销售额×税（费）率</v>
      </c>
      <c r="O53" s="2307" t="str">
        <f t="shared" si="0"/>
        <v>免征</v>
      </c>
    </row>
    <row r="54" spans="1:35" ht="12" customHeight="1">
      <c r="A54" s="2152" t="s">
        <v>1358</v>
      </c>
      <c r="B54" s="3314" t="s">
        <v>2283</v>
      </c>
      <c r="C54" s="3315"/>
      <c r="D54" s="1023">
        <f ca="1">C68</f>
        <v>4899</v>
      </c>
      <c r="E54" s="319" t="s">
        <v>1359</v>
      </c>
      <c r="F54" s="2334">
        <f>'数据-取费表'!B41</f>
        <v>5.5000000000000007E-2</v>
      </c>
      <c r="G54" s="2335"/>
      <c r="H54" s="2336"/>
      <c r="I54" s="1668"/>
      <c r="J54" s="2304">
        <v>3</v>
      </c>
      <c r="K54" s="3353" t="s">
        <v>1360</v>
      </c>
      <c r="L54" s="3353"/>
      <c r="M54" s="2306">
        <f t="shared" ca="1" si="0"/>
        <v>53025</v>
      </c>
      <c r="N54" s="2304" t="str">
        <f t="shared" si="0"/>
        <v>增值额×税（费）率</v>
      </c>
      <c r="O54" s="2308" t="str">
        <f t="shared" si="0"/>
        <v>免征</v>
      </c>
    </row>
    <row r="55" spans="1:35" ht="24" customHeight="1">
      <c r="A55" s="3303" t="s">
        <v>1361</v>
      </c>
      <c r="B55" s="3304"/>
      <c r="C55" s="3304"/>
      <c r="D55" s="12">
        <f ca="1">IF(H55="个人住宅",0,ROUND(D45*I55,0))</f>
        <v>47</v>
      </c>
      <c r="E55" s="1255" t="s">
        <v>1362</v>
      </c>
      <c r="F55" s="2334" t="str">
        <f>IF(H55="正常",I55,"免征")</f>
        <v>免征</v>
      </c>
      <c r="G55" s="2335"/>
      <c r="H55" s="2331"/>
      <c r="I55" s="157">
        <f>'数据-取费表'!B49</f>
        <v>5.0000000000000001E-4</v>
      </c>
      <c r="J55" s="2304">
        <f>IF(H59="非个人房产","",4)</f>
        <v>4</v>
      </c>
      <c r="K55" s="3353" t="str">
        <f>IF(H59="非个人房产","——","个人所得税")</f>
        <v>个人所得税</v>
      </c>
      <c r="L55" s="3353"/>
      <c r="M55" s="2309">
        <f ca="1">D59</f>
        <v>891</v>
      </c>
      <c r="N55" s="1882" t="str">
        <f>E59</f>
        <v>差额计税</v>
      </c>
      <c r="O55" s="2310">
        <f>F59</f>
        <v>0.01</v>
      </c>
    </row>
    <row r="56" spans="1:35" ht="25.2">
      <c r="A56" s="3303" t="s">
        <v>1363</v>
      </c>
      <c r="B56" s="3304"/>
      <c r="C56" s="3304"/>
      <c r="D56" s="12">
        <f ca="1">IF(H56="个人住宅",D57,D58)</f>
        <v>53025</v>
      </c>
      <c r="E56" s="1255" t="s">
        <v>1364</v>
      </c>
      <c r="F56" s="2334" t="str">
        <f>IF(H56="正常",F58,"免征")</f>
        <v>免征</v>
      </c>
      <c r="G56" s="2337" t="s">
        <v>1365</v>
      </c>
      <c r="H56" s="2338"/>
      <c r="I56" s="1669"/>
      <c r="J56" s="2304" t="str">
        <f>IF(项目基本情况!K6="上海银行",IF(J55="",4,J55+1),"")</f>
        <v/>
      </c>
      <c r="K56" s="3376" t="str">
        <f>IF(项目基本情况!K6="上海银行","其他处置费用","")</f>
        <v/>
      </c>
      <c r="L56" s="3377"/>
      <c r="M56" s="2306" t="str">
        <f>IF(项目基本情况!K6="上海银行",M69,"")</f>
        <v/>
      </c>
      <c r="N56" s="3376" t="str">
        <f>IF(项目基本情况!K6="上海银行","包含处置中涉及的律师、诉讼、拍卖、评估等费用","")</f>
        <v/>
      </c>
      <c r="O56" s="3379"/>
    </row>
    <row r="57" spans="1:35" ht="13.2">
      <c r="A57" s="2152" t="s">
        <v>1341</v>
      </c>
      <c r="B57" s="3314" t="s">
        <v>1366</v>
      </c>
      <c r="C57" s="3315"/>
      <c r="D57" s="1477">
        <v>0</v>
      </c>
      <c r="E57" s="316" t="s">
        <v>1343</v>
      </c>
      <c r="F57" s="294"/>
      <c r="G57" s="2335"/>
      <c r="H57" s="2339"/>
      <c r="I57" s="1669"/>
      <c r="J57" s="3353">
        <f>IF(AND(J55="",J56=""),4,IF(项目基本情况!K6="上海银行",结果表!J56+1,结果表!J55+1))</f>
        <v>5</v>
      </c>
      <c r="K57" s="3353" t="s">
        <v>1367</v>
      </c>
      <c r="L57" s="2311" t="s">
        <v>1368</v>
      </c>
      <c r="M57" s="2312"/>
      <c r="N57" s="2313">
        <f ca="1">SUMIF(M52:M56,"&lt;9e307")</f>
        <v>53963</v>
      </c>
      <c r="O57" s="2314"/>
      <c r="P57" s="2459">
        <f ca="1">N57/M49</f>
        <v>0.57694075887654628</v>
      </c>
    </row>
    <row r="58" spans="1:35" ht="25.2">
      <c r="A58" s="2152" t="s">
        <v>1352</v>
      </c>
      <c r="B58" s="3314" t="s">
        <v>1369</v>
      </c>
      <c r="C58" s="3288"/>
      <c r="D58" s="12">
        <f ca="1">IF(H58="转让取得",C81,C97)</f>
        <v>53025</v>
      </c>
      <c r="E58" s="1255" t="s">
        <v>1364</v>
      </c>
      <c r="F58" s="294" t="s">
        <v>28</v>
      </c>
      <c r="G58" s="2335"/>
      <c r="H58" s="2338"/>
      <c r="I58" s="1669"/>
      <c r="J58" s="3353"/>
      <c r="K58" s="3353"/>
      <c r="L58" s="2311" t="s">
        <v>1370</v>
      </c>
      <c r="M58" s="2315"/>
      <c r="N58" s="2316" t="str">
        <f ca="1">NUMBERSTRING(INT(N57*10000),2)&amp;"元整"</f>
        <v>伍亿叁仟玖佰陆拾叁万元整</v>
      </c>
      <c r="O58" s="2317"/>
    </row>
    <row r="59" spans="1:35" ht="24.6" thickBot="1">
      <c r="A59" s="3356" t="s">
        <v>1371</v>
      </c>
      <c r="B59" s="3357"/>
      <c r="C59" s="3357"/>
      <c r="D59" s="2340">
        <f ca="1">IF(H59="非个人房产","——",IF(H59="个人住宅（满五唯一有凭证）",0,IF(H59="个人其他（无凭证）",ROUND(D45/(1+'数据-取费表'!C42)*F59,0),ROUND(C67*F59,0))))</f>
        <v>891</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7"/>
      <c r="I59" s="2136" t="s">
        <v>2137</v>
      </c>
      <c r="J59" s="3354">
        <f>J57+1</f>
        <v>6</v>
      </c>
      <c r="K59" s="3353" t="s">
        <v>1372</v>
      </c>
      <c r="L59" s="2304" t="s">
        <v>1368</v>
      </c>
      <c r="M59" s="2318"/>
      <c r="N59" s="2319">
        <f ca="1">M49-N57</f>
        <v>39570</v>
      </c>
      <c r="O59" s="2320"/>
    </row>
    <row r="60" spans="1:35" ht="12" customHeight="1">
      <c r="A60" s="1670"/>
      <c r="B60" s="646"/>
      <c r="C60" s="646"/>
      <c r="D60" s="646"/>
      <c r="E60" s="1465"/>
      <c r="F60" s="1669"/>
      <c r="G60" s="1669"/>
      <c r="H60" s="151"/>
      <c r="I60" s="121"/>
      <c r="J60" s="3355"/>
      <c r="K60" s="3353"/>
      <c r="L60" s="2311" t="s">
        <v>1370</v>
      </c>
      <c r="M60" s="2315"/>
      <c r="N60" s="2316" t="str">
        <f ca="1">NUMBERSTRING(INT(N59*10000),2)&amp;"元整"</f>
        <v>叁亿玖仟伍佰柒拾万元整</v>
      </c>
      <c r="O60" s="2317"/>
    </row>
    <row r="61" spans="1:35" ht="13.8" thickBot="1">
      <c r="A61" s="3301" t="s">
        <v>1373</v>
      </c>
      <c r="B61" s="3301"/>
      <c r="C61" s="3301"/>
      <c r="D61" s="3301"/>
      <c r="E61" s="3301"/>
      <c r="F61" s="1669"/>
      <c r="G61" s="1669"/>
      <c r="H61" s="151"/>
      <c r="I61" s="121"/>
      <c r="J61" s="2304">
        <f>J59+1</f>
        <v>7</v>
      </c>
      <c r="K61" s="3353" t="s">
        <v>1374</v>
      </c>
      <c r="L61" s="3353"/>
      <c r="M61" s="2321"/>
      <c r="N61" s="2322">
        <f ca="1">ROUND(N59*10000/'数据-汇总表'!E3,0)</f>
        <v>9204</v>
      </c>
      <c r="O61" s="2323"/>
    </row>
    <row r="62" spans="1:35" ht="13.2">
      <c r="A62" s="3319" t="s">
        <v>1375</v>
      </c>
      <c r="B62" s="3320"/>
      <c r="C62" s="1864"/>
      <c r="D62" s="1864" t="s">
        <v>1376</v>
      </c>
      <c r="E62" s="158" t="s">
        <v>1377</v>
      </c>
      <c r="F62" s="1669"/>
      <c r="G62" s="1669"/>
      <c r="H62" s="151"/>
      <c r="I62" s="121"/>
    </row>
    <row r="63" spans="1:35" ht="13.2">
      <c r="A63" s="165" t="s">
        <v>330</v>
      </c>
      <c r="B63" s="159" t="s">
        <v>1378</v>
      </c>
      <c r="C63" s="2344">
        <f ca="1">ROUND((C64+C65)/(1+'数据-取费表'!C42),0)</f>
        <v>89079</v>
      </c>
      <c r="D63" s="159"/>
      <c r="E63" s="160"/>
      <c r="F63" s="1669"/>
      <c r="G63" s="1669"/>
      <c r="H63" s="151"/>
      <c r="I63" s="121"/>
      <c r="J63" s="3378" t="s">
        <v>1379</v>
      </c>
      <c r="K63" s="1244" t="s">
        <v>1380</v>
      </c>
      <c r="L63" s="1244">
        <f ca="1">IF(M49&gt;10000,M49*0.5%,IF(AND(M49&gt;1000,M49&lt;=10000),M49*1%,IF(AND(M49&gt;100,M49&lt;=1000),M49*3%,IF(AND(M49&gt;10,M49&lt;=100),M49*5%,M49*8%))))</f>
        <v>467.66500000000002</v>
      </c>
      <c r="M63" s="294">
        <f ca="1">ROUND(L63,1)</f>
        <v>467.7</v>
      </c>
      <c r="N63" s="2324"/>
      <c r="Z63" s="1622"/>
      <c r="AI63" s="1560"/>
    </row>
    <row r="64" spans="1:35" ht="14.25" customHeight="1">
      <c r="A64" s="161" t="s">
        <v>325</v>
      </c>
      <c r="B64" s="162" t="s">
        <v>1381</v>
      </c>
      <c r="C64" s="2345">
        <f ca="1">D45</f>
        <v>93533</v>
      </c>
      <c r="D64" s="162" t="s">
        <v>26</v>
      </c>
      <c r="E64" s="164"/>
      <c r="F64" s="1669"/>
      <c r="G64" s="1669"/>
      <c r="H64" s="151"/>
      <c r="I64" s="121"/>
      <c r="J64" s="3378"/>
      <c r="K64" s="1244" t="s">
        <v>1382</v>
      </c>
      <c r="L64" s="1244">
        <f ca="1">IF(M49&gt;2000,M49*0.5%,IF(AND(M49&gt;1000,M49&lt;=2000),M49*0.6%,IF(AND(M49&gt;500,M49&lt;=1000),M49*0.7%,IF(AND(M49&gt;200,M49&lt;=500),M49*0.8%,IF(AND(M49&gt;100,M49&lt;=200),M49*0.9%,IF(AND(M49&gt;50,M49&lt;=100),M49*1%,IF(AND(M49&gt;20,M49&lt;=50),M49*1.5%,IF(AND(M49&gt;10,M49&lt;=20),M49*2%,IF(AND(M49&gt;1,M49&lt;=10),M49*2.5%)))))))))</f>
        <v>467.66500000000002</v>
      </c>
      <c r="M64" s="294">
        <f t="shared" ref="M64:M65" ca="1" si="1">ROUND(L64,1)</f>
        <v>467.7</v>
      </c>
      <c r="N64" s="2325" t="s">
        <v>1383</v>
      </c>
      <c r="Z64" s="1622"/>
      <c r="AI64" s="1560"/>
    </row>
    <row r="65" spans="1:35" ht="14.25" customHeight="1">
      <c r="A65" s="161" t="s">
        <v>326</v>
      </c>
      <c r="B65" s="162" t="s">
        <v>1384</v>
      </c>
      <c r="C65" s="2346"/>
      <c r="D65" s="162"/>
      <c r="E65" s="164"/>
      <c r="F65" s="1669"/>
      <c r="G65" s="1669"/>
      <c r="H65" s="151"/>
      <c r="I65" s="121"/>
      <c r="J65" s="3378"/>
      <c r="K65" s="1244" t="s">
        <v>1385</v>
      </c>
      <c r="L65" s="1244">
        <f ca="1">IF(M49&gt;1000,M49*0.1%,IF(AND(M49&gt;500,M49&lt;=1000),M49*0.5%,IF(AND(M49&gt;50,M49&lt;=500),M49*1%,IF(AND(M49&gt;1,M49&lt;=50),M49*1.5%))))</f>
        <v>93.533000000000001</v>
      </c>
      <c r="M65" s="294">
        <f t="shared" ca="1" si="1"/>
        <v>93.5</v>
      </c>
      <c r="N65" s="2325" t="s">
        <v>1383</v>
      </c>
      <c r="Z65" s="1622"/>
      <c r="AI65" s="1560"/>
    </row>
    <row r="66" spans="1:35" ht="14.25" customHeight="1">
      <c r="A66" s="165" t="s">
        <v>327</v>
      </c>
      <c r="B66" s="166" t="s">
        <v>1386</v>
      </c>
      <c r="C66" s="2347"/>
      <c r="D66" s="166" t="s">
        <v>26</v>
      </c>
      <c r="E66" s="1250" t="s">
        <v>671</v>
      </c>
      <c r="F66" s="1669"/>
      <c r="G66" s="1669"/>
      <c r="H66" s="151"/>
      <c r="I66" s="121"/>
      <c r="J66" s="3378"/>
      <c r="K66" s="1244" t="s">
        <v>1387</v>
      </c>
      <c r="L66" s="1244">
        <f ca="1">M49*0.5%</f>
        <v>467.66500000000002</v>
      </c>
      <c r="M66" s="294">
        <f ca="1">IF(L66&gt;0.5,0.5,ROUND(L66,0))</f>
        <v>0.5</v>
      </c>
      <c r="N66" s="2325" t="s">
        <v>1388</v>
      </c>
      <c r="Z66" s="1622"/>
      <c r="AI66" s="1560"/>
    </row>
    <row r="67" spans="1:35" ht="14.25" customHeight="1">
      <c r="A67" s="165" t="s">
        <v>328</v>
      </c>
      <c r="B67" s="166" t="s">
        <v>1389</v>
      </c>
      <c r="C67" s="2348">
        <f ca="1">C63-C66</f>
        <v>89079</v>
      </c>
      <c r="D67" s="162" t="s">
        <v>26</v>
      </c>
      <c r="E67" s="164"/>
      <c r="F67" s="1669"/>
      <c r="G67" s="1669"/>
      <c r="H67" s="151"/>
      <c r="I67" s="121"/>
      <c r="J67" s="3378"/>
      <c r="K67" s="1244" t="s">
        <v>1390</v>
      </c>
      <c r="L67" s="1244">
        <f ca="1">IF(M49&gt;=10000,(8.25+(M49-10000)*0.01%),IF(AND(M49&gt;=8000,M49&lt;10000),(7.85+(M49-8000)*0.02%),IF(AND(M49&gt;=5000,M49&lt;8000),(6.65+(M49-5000)*0.04%),IF(AND(M49&gt;=2000,M49&lt;5000),(4.25+(PM49-2000)*0.08%),IF(AND(M49&gt;=1000,M49&lt;2000),(2.75+(M49-1000)*0.15%),IF(AND(M49&gt;=100,M49&lt;1000),(0.5+(M49-100)*0.25%),IF(AND(M49&gt;0,M49&lt;100),M49*0.5%)))))))</f>
        <v>16.603300000000001</v>
      </c>
      <c r="M67" s="294">
        <f ca="1">ROUND(L67*0.9,1)</f>
        <v>14.9</v>
      </c>
      <c r="N67" s="2324"/>
      <c r="Z67" s="1622"/>
      <c r="AI67" s="1560"/>
    </row>
    <row r="68" spans="1:35" ht="14.25" customHeight="1" thickBot="1">
      <c r="A68" s="168" t="s">
        <v>329</v>
      </c>
      <c r="B68" s="169" t="s">
        <v>1391</v>
      </c>
      <c r="C68" s="2349">
        <f ca="1">IF(C67&lt;=0,0,ROUND(C67*D68,0))</f>
        <v>4899</v>
      </c>
      <c r="D68" s="2350">
        <f>'数据-取费表'!B41</f>
        <v>5.5000000000000007E-2</v>
      </c>
      <c r="E68" s="170"/>
      <c r="F68" s="1669"/>
      <c r="G68" s="1669"/>
      <c r="H68" s="151"/>
      <c r="I68" s="121"/>
      <c r="J68" s="3378"/>
      <c r="K68" s="1244" t="s">
        <v>1392</v>
      </c>
      <c r="L68" s="1244">
        <f ca="1">IF(M49&gt;10000,M49*0.5%,IF(AND(M49&gt;5000,M49&lt;=10000),M49*1%,IF(AND(M49&gt;1000,M49&lt;=5000),M49*2%,IF(AND(M49&gt;200,M49&lt;=1000),M49*3%,M49*5%))))</f>
        <v>467.66500000000002</v>
      </c>
      <c r="M68" s="294">
        <f ca="1">ROUND(L68,1)</f>
        <v>467.7</v>
      </c>
      <c r="N68" s="2324"/>
      <c r="Z68" s="1622"/>
      <c r="AI68" s="1560"/>
    </row>
    <row r="69" spans="1:35" ht="16.5" customHeight="1">
      <c r="A69" s="1671"/>
      <c r="B69" s="1672"/>
      <c r="C69" s="1673"/>
      <c r="D69" s="1674"/>
      <c r="E69" s="1675"/>
      <c r="F69" s="1465"/>
      <c r="G69" s="1465"/>
      <c r="H69" s="1466"/>
      <c r="I69" s="646"/>
      <c r="J69" s="3378"/>
      <c r="K69" s="1244" t="s">
        <v>1393</v>
      </c>
      <c r="L69" s="1244"/>
      <c r="M69" s="294">
        <f ca="1">ROUND(SUM(M63:M68),0)</f>
        <v>1512</v>
      </c>
      <c r="N69" s="2326">
        <f ca="1">M69/M49</f>
        <v>1.6165417553163055E-2</v>
      </c>
      <c r="Z69" s="1622"/>
      <c r="AI69" s="1560"/>
    </row>
    <row r="70" spans="1:35" s="642" customFormat="1" ht="14.4" thickBot="1">
      <c r="A70" s="3340" t="s">
        <v>1394</v>
      </c>
      <c r="B70" s="3341"/>
      <c r="C70" s="3341"/>
      <c r="D70" s="3341"/>
      <c r="E70" s="3341"/>
      <c r="F70" s="3341"/>
      <c r="G70" s="3341"/>
      <c r="H70" s="334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19" t="s">
        <v>1375</v>
      </c>
      <c r="B71" s="332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48">
        <f ca="1">ROUND(D45/(1+'数据-取费表'!C42),0)</f>
        <v>89079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48">
        <f ca="1">C74+C78</f>
        <v>445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1"/>
      <c r="D75" s="162" t="s">
        <v>26</v>
      </c>
      <c r="E75" s="176" t="s">
        <v>1399</v>
      </c>
      <c r="F75" s="2352"/>
      <c r="G75" s="176" t="s">
        <v>1400</v>
      </c>
      <c r="H75" s="2353"/>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4">
        <v>0.05</v>
      </c>
      <c r="E76" s="3314" t="s">
        <v>1402</v>
      </c>
      <c r="F76" s="3288"/>
      <c r="G76" s="3288"/>
      <c r="H76" s="333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5">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6">
        <f ca="1">ROUND(D45*D78/(1+'数据-取费表'!C42),0)</f>
        <v>445</v>
      </c>
      <c r="D78" s="2357">
        <f>'数据-取费表'!B43</f>
        <v>5.000000000000001E-3</v>
      </c>
      <c r="E78" s="3298" t="s">
        <v>1406</v>
      </c>
      <c r="F78" s="3299"/>
      <c r="G78" s="3299"/>
      <c r="H78" s="330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48">
        <f ca="1">C72-C73</f>
        <v>88634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8">
        <f ca="1">IF(C79&lt;=0,0,C79/C73)</f>
        <v>199.17752808988763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59">
        <f ca="1">ROUND(IF(C79&lt;=0,0,IF(C80&gt;=200%,C79*60%-C73*35%,IF(C80&gt;=100%,C79*50%-C73*15%,IF(C80&gt;=50%,C79*40%-C73*5%,IF(C80&lt;50%,C79*30%,0))))),0)</f>
        <v>53025</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40" t="s">
        <v>1410</v>
      </c>
      <c r="B83" s="3341"/>
      <c r="C83" s="3341"/>
      <c r="D83" s="3341"/>
      <c r="E83" s="3341"/>
      <c r="F83" s="3341"/>
      <c r="G83" s="3341"/>
      <c r="H83" s="334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19" t="s">
        <v>1375</v>
      </c>
      <c r="B84" s="332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48">
        <f ca="1">ROUND(D45/(1+'数据-取费表'!C42),0)</f>
        <v>89079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48">
        <f ca="1">IF(H88="仅含出让金",C87+C90+C91+C92+C93+C94,C87+C91+C92+C93+C94)</f>
        <v>445</v>
      </c>
      <c r="D86" s="2361"/>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6">
        <f>C88+C89</f>
        <v>0</v>
      </c>
      <c r="D87" s="2357"/>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2"/>
      <c r="D88" s="2357"/>
      <c r="E88" s="185" t="s">
        <v>1413</v>
      </c>
      <c r="F88" s="2147"/>
      <c r="G88" s="186" t="s">
        <v>1414</v>
      </c>
      <c r="H88" s="1683"/>
      <c r="I88" s="1680"/>
      <c r="J88" s="2302"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6">
        <f>ROUND(C88*D89,0)</f>
        <v>0</v>
      </c>
      <c r="D89" s="2357">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2"/>
      <c r="D90" s="2357"/>
      <c r="E90" s="185" t="str">
        <f>IF(H88="-","土地取得成本中已包含该笔费用"," ")</f>
        <v xml:space="preserve"> </v>
      </c>
      <c r="F90" s="2147"/>
      <c r="G90" s="3380" t="s">
        <v>2129</v>
      </c>
      <c r="H90" s="3381"/>
      <c r="I90" s="1680"/>
      <c r="J90" s="2302"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6">
        <f>IF(H91="——",成本法!C33,I91)</f>
        <v>0</v>
      </c>
      <c r="D91" s="2357"/>
      <c r="E91" s="3298" t="s">
        <v>1419</v>
      </c>
      <c r="F91" s="3299"/>
      <c r="G91" s="329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6">
        <f>ROUND((C87+C90+C91)*D92,0)</f>
        <v>0</v>
      </c>
      <c r="D92" s="2363"/>
      <c r="E92" s="3298" t="s">
        <v>1422</v>
      </c>
      <c r="F92" s="3299"/>
      <c r="G92" s="3299"/>
      <c r="H92" s="3308"/>
      <c r="I92" s="1680"/>
      <c r="J92" s="2303"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6">
        <f ca="1">ROUND(D45*D93/(1+'数据-取费表'!C42),0)</f>
        <v>445</v>
      </c>
      <c r="D93" s="2357">
        <f>'数据-取费表'!B43</f>
        <v>5.000000000000001E-3</v>
      </c>
      <c r="E93" s="3298" t="s">
        <v>1406</v>
      </c>
      <c r="F93" s="3299"/>
      <c r="G93" s="3299"/>
      <c r="H93" s="330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2">
        <f>ROUND((C87+C90+C91)*D94,0)</f>
        <v>0</v>
      </c>
      <c r="D94" s="2357">
        <v>0.2</v>
      </c>
      <c r="E94" s="3309" t="s">
        <v>1426</v>
      </c>
      <c r="F94" s="3310"/>
      <c r="G94" s="3310"/>
      <c r="H94" s="331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48">
        <f ca="1">ROUND(C85-C86,0)</f>
        <v>88634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8">
        <f ca="1">IF(C95&lt;=0,0,C95/C86)</f>
        <v>199.17752808988763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59">
        <f ca="1">ROUND(IF(C95&lt;=0,0,IF(C96&gt;=200%,C95*60%-C86*35%,IF(C96&gt;=100%,C95*50%-C86*15%,IF(C96&gt;=50%,C95*40%-C86*5%,IF(C96&lt;50%,C95*30%,0))))),0)</f>
        <v>53025</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2" t="s">
        <v>1428</v>
      </c>
      <c r="B100" s="3283"/>
      <c r="C100" s="3283"/>
      <c r="D100" s="3300"/>
      <c r="E100" s="3283" t="s">
        <v>1429</v>
      </c>
      <c r="F100" s="3283"/>
      <c r="G100" s="3283"/>
      <c r="H100" s="3300"/>
      <c r="I100" s="121"/>
    </row>
    <row r="101" spans="1:35" ht="18.75" customHeight="1">
      <c r="A101" s="3361" t="s">
        <v>1430</v>
      </c>
      <c r="B101" s="3362"/>
      <c r="C101" s="2365" t="str">
        <f>C4</f>
        <v>成本法</v>
      </c>
      <c r="D101" s="2366" t="str">
        <f>D4</f>
        <v>假设开发法</v>
      </c>
      <c r="E101" s="3375" t="s">
        <v>1431</v>
      </c>
      <c r="F101" s="3332"/>
      <c r="G101" s="1686" t="s">
        <v>1432</v>
      </c>
      <c r="H101" s="2375">
        <f ca="1">H118</f>
        <v>93533</v>
      </c>
      <c r="I101" s="121"/>
    </row>
    <row r="102" spans="1:35" ht="18.75" customHeight="1">
      <c r="A102" s="3334" t="s">
        <v>1433</v>
      </c>
      <c r="B102" s="2364" t="s">
        <v>1432</v>
      </c>
      <c r="C102" s="2365">
        <f ca="1">IF(D32="楼面单价",ROUND(C19,0),C19)</f>
        <v>102161</v>
      </c>
      <c r="D102" s="2366">
        <f ca="1">IF(D32="楼面单价",ROUND(D19,0),D19)</f>
        <v>84905</v>
      </c>
      <c r="E102" s="3375"/>
      <c r="F102" s="3332"/>
      <c r="G102" s="1686" t="s">
        <v>1434</v>
      </c>
      <c r="H102" s="2335">
        <f ca="1">I118</f>
        <v>21755</v>
      </c>
      <c r="I102" s="121"/>
    </row>
    <row r="103" spans="1:35" ht="42.75" customHeight="1">
      <c r="A103" s="3334"/>
      <c r="B103" s="2364" t="s">
        <v>1434</v>
      </c>
      <c r="C103" s="2367">
        <f ca="1">C20</f>
        <v>23762</v>
      </c>
      <c r="D103" s="2368">
        <f ca="1">D20</f>
        <v>19748</v>
      </c>
      <c r="E103" s="3369" t="s">
        <v>1435</v>
      </c>
      <c r="F103" s="3370"/>
      <c r="G103" s="1687" t="s">
        <v>1436</v>
      </c>
      <c r="H103" s="2375">
        <f>IF(D36="正常操作",H104+H105+H106,H105+H106)</f>
        <v>0</v>
      </c>
      <c r="I103" s="121"/>
    </row>
    <row r="104" spans="1:35" ht="18.75" customHeight="1">
      <c r="A104" s="3334" t="s">
        <v>1437</v>
      </c>
      <c r="B104" s="2369" t="s">
        <v>1432</v>
      </c>
      <c r="C104" s="2370">
        <f ca="1">H118</f>
        <v>93533</v>
      </c>
      <c r="D104" s="2371"/>
      <c r="E104" s="1554" t="s">
        <v>1438</v>
      </c>
      <c r="F104" s="1547"/>
      <c r="G104" s="1687" t="s">
        <v>1436</v>
      </c>
      <c r="H104" s="2376">
        <f>IF(D36="同一抵押权人同一抵押物续贷",C36&amp;"（续贷，未扣减，详见特别提示）",C36)</f>
        <v>0</v>
      </c>
      <c r="I104" s="121"/>
    </row>
    <row r="105" spans="1:35" ht="18.75" customHeight="1" thickBot="1">
      <c r="A105" s="3335"/>
      <c r="B105" s="2372" t="s">
        <v>1434</v>
      </c>
      <c r="C105" s="2373">
        <f ca="1">I118</f>
        <v>21755</v>
      </c>
      <c r="D105" s="2374"/>
      <c r="E105" s="1554" t="s">
        <v>1439</v>
      </c>
      <c r="F105" s="1547"/>
      <c r="G105" s="1687" t="s">
        <v>1436</v>
      </c>
      <c r="H105" s="2377">
        <f>C37</f>
        <v>0</v>
      </c>
      <c r="I105" s="121"/>
    </row>
    <row r="106" spans="1:35" ht="18.75" customHeight="1">
      <c r="A106" s="646" t="s">
        <v>1440</v>
      </c>
      <c r="B106" s="646"/>
      <c r="C106" s="646"/>
      <c r="D106" s="646"/>
      <c r="E106" s="1688" t="s">
        <v>1441</v>
      </c>
      <c r="F106" s="1547"/>
      <c r="G106" s="1687" t="s">
        <v>1436</v>
      </c>
      <c r="H106" s="2377">
        <f>C38</f>
        <v>0</v>
      </c>
      <c r="I106" s="121"/>
    </row>
    <row r="107" spans="1:35" ht="18.75" customHeight="1">
      <c r="A107" s="121"/>
      <c r="B107" s="121"/>
      <c r="C107" s="121"/>
      <c r="D107" s="121"/>
      <c r="E107" s="3331" t="str">
        <f>IF(项目基本情况!E8="已注销","——","3.房地产抵押价值")</f>
        <v>3.房地产抵押价值</v>
      </c>
      <c r="F107" s="3332"/>
      <c r="G107" s="1686" t="s">
        <v>1432</v>
      </c>
      <c r="H107" s="2375">
        <f ca="1">IF(E107="——","——",H101-H103)</f>
        <v>93533</v>
      </c>
      <c r="I107" s="121"/>
    </row>
    <row r="108" spans="1:35" ht="18.75" customHeight="1">
      <c r="A108" s="121"/>
      <c r="B108" s="121"/>
      <c r="C108" s="121"/>
      <c r="D108" s="121"/>
      <c r="E108" s="3331"/>
      <c r="F108" s="3332"/>
      <c r="G108" s="1686" t="s">
        <v>1434</v>
      </c>
      <c r="H108" s="2335">
        <f ca="1">IF(H107=H101,H102,ROUND(H107*10000/'数据-汇总表'!E3,0))</f>
        <v>21755</v>
      </c>
      <c r="I108" s="121"/>
    </row>
    <row r="109" spans="1:35" ht="18.75" customHeight="1">
      <c r="A109" s="121"/>
      <c r="B109" s="121"/>
      <c r="C109" s="121"/>
      <c r="D109" s="121"/>
      <c r="E109" s="3331" t="str">
        <f>IF(项目基本情况!E8="已注销及未注销","4.抵押担保权已注销时的房地产抵押价值",IF(项目基本情况!E8="已注销","3.抵押担保权已注销时的房地产抵押价值","——"))</f>
        <v>——</v>
      </c>
      <c r="F109" s="3332"/>
      <c r="G109" s="1686" t="s">
        <v>1432</v>
      </c>
      <c r="H109" s="2378" t="str">
        <f>IF(E109="——","——",H101-H105-H106)</f>
        <v>——</v>
      </c>
      <c r="I109" s="121"/>
    </row>
    <row r="110" spans="1:35" ht="18.75" customHeight="1">
      <c r="A110" s="121"/>
      <c r="B110" s="121"/>
      <c r="C110" s="121"/>
      <c r="D110" s="121"/>
      <c r="E110" s="3331"/>
      <c r="F110" s="3332"/>
      <c r="G110" s="1686" t="s">
        <v>1434</v>
      </c>
      <c r="H110" s="2335" t="str">
        <f>IF(H109="——","——",ROUND(H109*10000/'数据-汇总表'!E3,0))</f>
        <v>——</v>
      </c>
      <c r="I110" s="121"/>
    </row>
    <row r="111" spans="1:35" ht="18.75" customHeight="1">
      <c r="A111" s="121"/>
      <c r="B111" s="121"/>
      <c r="C111" s="121"/>
      <c r="D111" s="121"/>
      <c r="E111" s="3363" t="str">
        <f>IF(项目基本情况!E9="抵押净值",IF(OR(项目基本情况!E8="已注销",项目基本情况!E8="房地产抵押价值"),"4.抵押净值","5.抵押净值"),"——")</f>
        <v>——</v>
      </c>
      <c r="F111" s="3333"/>
      <c r="G111" s="1686" t="s">
        <v>1432</v>
      </c>
      <c r="H111" s="2375" t="str">
        <f>IF(E111="——","——",N59)</f>
        <v>——</v>
      </c>
      <c r="I111" s="121"/>
    </row>
    <row r="112" spans="1:35" ht="18.75" customHeight="1" thickBot="1">
      <c r="A112" s="121"/>
      <c r="B112" s="121"/>
      <c r="C112" s="121"/>
      <c r="D112" s="121"/>
      <c r="E112" s="3364"/>
      <c r="F112" s="3365"/>
      <c r="G112" s="1689" t="s">
        <v>1434</v>
      </c>
      <c r="H112" s="2379" t="str">
        <f>IF(E111="——","——",N61)</f>
        <v>——</v>
      </c>
      <c r="I112" s="121"/>
    </row>
    <row r="113" spans="1:27" ht="18.75" customHeight="1">
      <c r="A113" s="121"/>
      <c r="B113" s="121"/>
      <c r="C113" s="121"/>
      <c r="D113" s="121"/>
      <c r="E113" s="3336" t="s">
        <v>1440</v>
      </c>
      <c r="F113" s="3336"/>
      <c r="G113" s="3336"/>
      <c r="H113" s="3336"/>
      <c r="I113" s="121"/>
    </row>
    <row r="114" spans="1:27" ht="3.75" customHeight="1">
      <c r="A114" s="646"/>
      <c r="B114" s="646"/>
      <c r="C114" s="646"/>
      <c r="D114" s="646"/>
      <c r="E114" s="1670"/>
      <c r="F114" s="1670"/>
      <c r="G114" s="1670"/>
      <c r="H114" s="1670"/>
      <c r="I114" s="646"/>
    </row>
    <row r="115" spans="1:27" ht="18.75" customHeight="1">
      <c r="A115" s="3346" t="s">
        <v>1442</v>
      </c>
      <c r="B115" s="3347"/>
      <c r="C115" s="3347"/>
      <c r="D115" s="3347"/>
      <c r="E115" s="3347"/>
      <c r="F115" s="3347"/>
      <c r="G115" s="3347"/>
      <c r="H115" s="3347"/>
      <c r="I115" s="3348"/>
    </row>
    <row r="116" spans="1:27" ht="27" customHeight="1">
      <c r="A116" s="3302" t="s">
        <v>1443</v>
      </c>
      <c r="B116" s="3337" t="s">
        <v>1444</v>
      </c>
      <c r="C116" s="3337" t="s">
        <v>1445</v>
      </c>
      <c r="D116" s="3350" t="s">
        <v>1446</v>
      </c>
      <c r="E116" s="3351"/>
      <c r="F116" s="3345" t="s">
        <v>1447</v>
      </c>
      <c r="G116" s="3345"/>
      <c r="H116" s="3302" t="s">
        <v>1448</v>
      </c>
      <c r="I116" s="3302"/>
    </row>
    <row r="117" spans="1:27" ht="18.75" customHeight="1">
      <c r="A117" s="3302"/>
      <c r="B117" s="3338"/>
      <c r="C117" s="3338"/>
      <c r="D117" s="2149" t="s">
        <v>1449</v>
      </c>
      <c r="E117" s="2149" t="s">
        <v>1450</v>
      </c>
      <c r="F117" s="2149" t="s">
        <v>1449</v>
      </c>
      <c r="G117" s="2149" t="s">
        <v>1451</v>
      </c>
      <c r="H117" s="2149" t="s">
        <v>1449</v>
      </c>
      <c r="I117" s="2149" t="s">
        <v>1451</v>
      </c>
    </row>
    <row r="118" spans="1:27" ht="24.75" customHeight="1">
      <c r="A118" s="2380" t="str">
        <f>项目基本情况!S2</f>
        <v>北京市出让国有建设用地使用权及在建建筑物房地产</v>
      </c>
      <c r="B118" s="2149">
        <f>M18</f>
        <v>42993.910000000222</v>
      </c>
      <c r="C118" s="2149">
        <f>M19</f>
        <v>17707.41</v>
      </c>
      <c r="D118" s="2149">
        <f ca="1">ROUND(IF(D32="总价",C34,E118*B118/10000),0)</f>
        <v>71833</v>
      </c>
      <c r="E118" s="2149">
        <f ca="1">ROUND(IF(C33="自定义",IF(D32="楼面单价",C34,D118*10000/B118),I118-G118),0)</f>
        <v>16708</v>
      </c>
      <c r="F118" s="2149">
        <f ca="1">ROUND(IF(D32="总价",C35,G118*B118/10000),0)</f>
        <v>21700</v>
      </c>
      <c r="G118" s="2149">
        <f ca="1">ROUND(IF(D32="楼面单价",C35,F118*10000/B118),0)</f>
        <v>5047</v>
      </c>
      <c r="H118" s="2149">
        <f ca="1">ROUND(IF(D32="总价",C32,I118*B118/10000),0)</f>
        <v>93533</v>
      </c>
      <c r="I118" s="2149">
        <f ca="1">ROUND(IF(D32="楼面单价",C32,H118*10000/B118),0)</f>
        <v>21755</v>
      </c>
    </row>
    <row r="119" spans="1:27" ht="18.75" customHeight="1">
      <c r="A119" s="3302" t="s">
        <v>1452</v>
      </c>
      <c r="B119" s="3302"/>
      <c r="C119" s="3302"/>
      <c r="D119" s="3342" t="str">
        <f ca="1">NUMBERSTRING(INT(D118*10000),2)&amp;"元整"</f>
        <v>柒亿壹仟捌佰叁拾叁万元整</v>
      </c>
      <c r="E119" s="3344"/>
      <c r="F119" s="3342" t="str">
        <f ca="1">NUMBERSTRING(INT(F118*10000),2)&amp;"元整"</f>
        <v>贰亿壹仟柒佰万元整</v>
      </c>
      <c r="G119" s="3344"/>
      <c r="H119" s="3342" t="str">
        <f ca="1">NUMBERSTRING(INT(H118*10000),2)&amp;"元整"</f>
        <v>玖亿叁仟伍佰叁拾叁万元整</v>
      </c>
      <c r="I119" s="3344"/>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42" t="s">
        <v>1452</v>
      </c>
      <c r="B121" s="3343"/>
      <c r="C121" s="3344"/>
      <c r="D121" s="3342" t="str">
        <f>IF(D120=0,"零元整",NUMBERSTRING(INT(D120*10000),2)&amp;"元整")</f>
        <v>零元整</v>
      </c>
      <c r="E121" s="3343"/>
      <c r="F121" s="3343"/>
      <c r="G121" s="3343"/>
      <c r="H121" s="3343"/>
      <c r="I121" s="3344"/>
      <c r="AA121" s="684"/>
    </row>
    <row r="122" spans="1:27" ht="18.75" customHeight="1">
      <c r="A122" s="3333" t="str">
        <f>IF(项目基本情况!B9="房地产市场价值","",MID(E107,3,LEN(E107)-2))</f>
        <v>房地产抵押价值</v>
      </c>
      <c r="B122" s="3333"/>
      <c r="C122" s="3333"/>
      <c r="D122" s="3366">
        <f ca="1">H107</f>
        <v>93533</v>
      </c>
      <c r="E122" s="3367"/>
      <c r="F122" s="3367"/>
      <c r="G122" s="3367"/>
      <c r="H122" s="3367"/>
      <c r="I122" s="3368"/>
      <c r="AA122" s="684"/>
    </row>
    <row r="123" spans="1:27" ht="18.75" customHeight="1">
      <c r="A123" s="3302" t="s">
        <v>1452</v>
      </c>
      <c r="B123" s="3302"/>
      <c r="C123" s="3302"/>
      <c r="D123" s="3342" t="str">
        <f ca="1">NUMBERSTRING(INT(D122*10000),2)&amp;"元整"</f>
        <v>玖亿叁仟伍佰叁拾叁万元整</v>
      </c>
      <c r="E123" s="3343"/>
      <c r="F123" s="3343"/>
      <c r="G123" s="3343"/>
      <c r="H123" s="3343"/>
      <c r="I123" s="3344"/>
      <c r="AA123" s="684"/>
    </row>
    <row r="124" spans="1:27" ht="18.75" customHeight="1">
      <c r="A124" s="3333" t="str">
        <f>IF(项目基本情况!B9="房地产市场价值","",MID(E109,3,LEN(E109)-2))</f>
        <v/>
      </c>
      <c r="B124" s="3333"/>
      <c r="C124" s="3333"/>
      <c r="D124" s="3366" t="str">
        <f>H109</f>
        <v>——</v>
      </c>
      <c r="E124" s="3367"/>
      <c r="F124" s="3367"/>
      <c r="G124" s="3367"/>
      <c r="H124" s="3367"/>
      <c r="I124" s="3368"/>
      <c r="AA124" s="684"/>
    </row>
    <row r="125" spans="1:27" ht="18.75" customHeight="1">
      <c r="A125" s="3302" t="s">
        <v>1452</v>
      </c>
      <c r="B125" s="3302"/>
      <c r="C125" s="3302"/>
      <c r="D125" s="3342" t="e">
        <f>NUMBERSTRING(INT(D124*10000),2)&amp;"元整"</f>
        <v>#VALUE!</v>
      </c>
      <c r="E125" s="3343"/>
      <c r="F125" s="3343"/>
      <c r="G125" s="3343"/>
      <c r="H125" s="3343"/>
      <c r="I125" s="3344"/>
      <c r="AA125" s="684"/>
    </row>
    <row r="126" spans="1:27" ht="18.75" customHeight="1">
      <c r="A126" s="3333" t="str">
        <f>IF(项目基本情况!B9="房地产市场价值","",MID(E111,3,LEN(E111)-2))</f>
        <v/>
      </c>
      <c r="B126" s="3333"/>
      <c r="C126" s="3333"/>
      <c r="D126" s="3366" t="str">
        <f>H111</f>
        <v>——</v>
      </c>
      <c r="E126" s="3367"/>
      <c r="F126" s="3367"/>
      <c r="G126" s="3367"/>
      <c r="H126" s="3367"/>
      <c r="I126" s="3368"/>
      <c r="AA126" s="684"/>
    </row>
    <row r="127" spans="1:27" ht="18.75" customHeight="1">
      <c r="A127" s="3302" t="s">
        <v>1452</v>
      </c>
      <c r="B127" s="3302"/>
      <c r="C127" s="3302"/>
      <c r="D127" s="3342" t="e">
        <f>NUMBERSTRING(INT(D126*10000),2)&amp;"元整"</f>
        <v>#VALUE!</v>
      </c>
      <c r="E127" s="3343"/>
      <c r="F127" s="3343"/>
      <c r="G127" s="3343"/>
      <c r="H127" s="3343"/>
      <c r="I127" s="3344"/>
      <c r="AA127" s="684"/>
    </row>
    <row r="128" spans="1:27" ht="21.75" customHeight="1">
      <c r="A128" s="3349" t="s">
        <v>1453</v>
      </c>
      <c r="B128" s="3349"/>
      <c r="C128" s="3349"/>
      <c r="D128" s="3349"/>
      <c r="E128" s="3349"/>
      <c r="F128" s="3349"/>
      <c r="G128" s="3349"/>
      <c r="H128" s="3349"/>
      <c r="I128" s="334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97" t="str">
        <f>项目基本情况!B1</f>
        <v>北京市出让国有建设用地使用权及在建建筑物房地产抵押价值预评估</v>
      </c>
      <c r="C37" s="3197"/>
      <c r="D37" s="3197"/>
      <c r="E37" s="3197"/>
      <c r="F37" s="3197"/>
      <c r="G37" s="3197"/>
      <c r="H37" s="3197"/>
      <c r="I37" s="319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43" zoomScaleNormal="60" zoomScaleSheetLayoutView="100" workbookViewId="0">
      <selection activeCell="E62" sqref="E62"/>
    </sheetView>
  </sheetViews>
  <sheetFormatPr defaultColWidth="9" defaultRowHeight="13.8"/>
  <cols>
    <col min="1" max="1" width="14.33203125" style="347" customWidth="1"/>
    <col min="2" max="2" width="15.77734375" style="347" customWidth="1"/>
    <col min="3" max="3" width="18"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59208</v>
      </c>
      <c r="C2" s="853"/>
      <c r="D2" s="853"/>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13771</v>
      </c>
      <c r="C3" s="195" t="s">
        <v>1869</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1769</v>
      </c>
      <c r="B4" s="346"/>
      <c r="C4" s="3386" t="s">
        <v>1770</v>
      </c>
      <c r="D4" s="3398"/>
      <c r="E4" s="3399" t="s">
        <v>1771</v>
      </c>
      <c r="F4" s="3400"/>
      <c r="G4" s="3386" t="s">
        <v>1772</v>
      </c>
      <c r="H4" s="3398"/>
      <c r="I4" s="3386" t="s">
        <v>1773</v>
      </c>
      <c r="J4" s="3398"/>
      <c r="K4" s="537" t="s">
        <v>1774</v>
      </c>
      <c r="L4" s="2481"/>
      <c r="M4" s="2482"/>
      <c r="N4" s="2482"/>
      <c r="O4" s="2482"/>
      <c r="P4" s="3401" t="s">
        <v>1775</v>
      </c>
      <c r="Q4" s="3402"/>
      <c r="R4" s="3407" t="s">
        <v>1771</v>
      </c>
      <c r="S4" s="3408"/>
      <c r="T4" s="3407" t="s">
        <v>1772</v>
      </c>
      <c r="U4" s="3408"/>
      <c r="V4" s="3394" t="s">
        <v>1773</v>
      </c>
      <c r="W4" s="3394"/>
      <c r="X4" s="1264"/>
      <c r="Y4" s="3407" t="s">
        <v>1775</v>
      </c>
      <c r="Z4" s="3408"/>
      <c r="AA4" s="3395" t="s">
        <v>1771</v>
      </c>
      <c r="AB4" s="3396" t="s">
        <v>1772</v>
      </c>
      <c r="AC4" s="3395" t="s">
        <v>1773</v>
      </c>
    </row>
    <row r="5" spans="1:29" ht="70.2" customHeight="1">
      <c r="A5" s="348"/>
      <c r="B5" s="349"/>
      <c r="C5" s="3415" t="s">
        <v>1673</v>
      </c>
      <c r="D5" s="3416"/>
      <c r="E5" s="3422" t="str">
        <f>案例!A6</f>
        <v>北京市顺义区顺义新城第31街区SY00-3101- 0808、SY00-3101-0809地块R2二类居住用地、A334托幼用地</v>
      </c>
      <c r="F5" s="3423"/>
      <c r="G5" s="3415" t="str">
        <f>案例!A9</f>
        <v>北京市顺义区顺义新城土地一级开发项目SY00-1101-0601、0603地块R2二类居住用地、SY00-1101-6002地块A334托幼用地</v>
      </c>
      <c r="H5" s="3416"/>
      <c r="I5" s="3415" t="str">
        <f>案例!A3</f>
        <v>北京市顺义区顺义新城0201街区东风商场片区项目SY00-0201-093、096地块R2二类居住用地、SY00-0201-086地块A334托幼用地</v>
      </c>
      <c r="J5" s="3416"/>
      <c r="K5" s="537"/>
      <c r="L5" s="2481"/>
      <c r="M5" s="2482"/>
      <c r="N5" s="2482"/>
      <c r="O5" s="2482"/>
      <c r="P5" s="3403"/>
      <c r="Q5" s="3404"/>
      <c r="R5" s="3409"/>
      <c r="S5" s="3410"/>
      <c r="T5" s="3409"/>
      <c r="U5" s="3410"/>
      <c r="V5" s="3394"/>
      <c r="W5" s="3394"/>
      <c r="X5" s="1264"/>
      <c r="Y5" s="3409"/>
      <c r="Z5" s="3410"/>
      <c r="AA5" s="3396"/>
      <c r="AB5" s="3396"/>
      <c r="AC5" s="3396"/>
    </row>
    <row r="6" spans="1:29" ht="15" thickBot="1">
      <c r="A6" s="350"/>
      <c r="B6" s="351"/>
      <c r="C6" s="3413" t="s">
        <v>1677</v>
      </c>
      <c r="D6" s="3414"/>
      <c r="E6" s="3420" t="s">
        <v>1677</v>
      </c>
      <c r="F6" s="3421"/>
      <c r="G6" s="3413" t="s">
        <v>1677</v>
      </c>
      <c r="H6" s="3414"/>
      <c r="I6" s="3413" t="s">
        <v>1677</v>
      </c>
      <c r="J6" s="3414"/>
      <c r="K6" s="537" t="s">
        <v>1678</v>
      </c>
      <c r="L6" s="2481"/>
      <c r="M6" s="2482"/>
      <c r="N6" s="2482"/>
      <c r="O6" s="2482"/>
      <c r="P6" s="3405"/>
      <c r="Q6" s="3406"/>
      <c r="R6" s="3409"/>
      <c r="S6" s="3410"/>
      <c r="T6" s="3411"/>
      <c r="U6" s="3412"/>
      <c r="V6" s="3394"/>
      <c r="W6" s="3394"/>
      <c r="X6" s="1264"/>
      <c r="Y6" s="3411"/>
      <c r="Z6" s="3412"/>
      <c r="AA6" s="3397"/>
      <c r="AB6" s="3397"/>
      <c r="AC6" s="3397"/>
    </row>
    <row r="7" spans="1:29" s="102" customFormat="1" ht="15" thickBot="1">
      <c r="A7" s="352" t="s">
        <v>1679</v>
      </c>
      <c r="B7" s="353"/>
      <c r="C7" s="354">
        <f>'数据-取费表'!B2</f>
        <v>45945</v>
      </c>
      <c r="D7" s="355">
        <v>100</v>
      </c>
      <c r="E7" s="356" t="str">
        <f>案例!K6</f>
        <v>2024-03-15</v>
      </c>
      <c r="F7" s="357">
        <f>SUMIF(69:69,YEAR(E7)&amp;"-"&amp;INT((MONTH(E7)+2)/3),70:70)</f>
        <v>102</v>
      </c>
      <c r="G7" s="1821" t="str">
        <f>案例!K9</f>
        <v>2023-12-28</v>
      </c>
      <c r="H7" s="355">
        <f>SUMIF(69:69,YEAR(G7)&amp;"-"&amp;INT((MONTH(G7)+2)/3),70:70)</f>
        <v>102</v>
      </c>
      <c r="I7" s="1821" t="str">
        <f>案例!K3</f>
        <v>2025-02-26</v>
      </c>
      <c r="J7" s="355">
        <f>SUMIF(69:69,YEAR(I7)&amp;"-"&amp;INT((MONTH(I7)+2)/3),70:70)</f>
        <v>100</v>
      </c>
      <c r="K7" s="38"/>
      <c r="L7" s="2483"/>
      <c r="M7" s="2434"/>
      <c r="N7" s="2434"/>
      <c r="O7" s="2434"/>
      <c r="P7" s="3417" t="s">
        <v>1680</v>
      </c>
      <c r="Q7" s="3419"/>
      <c r="R7" s="664" t="s">
        <v>14</v>
      </c>
      <c r="S7" s="665">
        <f t="shared" ref="S7:S15" si="0">F7</f>
        <v>102</v>
      </c>
      <c r="T7" s="664" t="s">
        <v>14</v>
      </c>
      <c r="U7" s="665">
        <f t="shared" ref="U7:U15" si="1">H7</f>
        <v>102</v>
      </c>
      <c r="V7" s="664" t="s">
        <v>14</v>
      </c>
      <c r="W7" s="665">
        <f t="shared" ref="W7:W15" si="2">J7</f>
        <v>100</v>
      </c>
      <c r="X7" s="666"/>
      <c r="Y7" s="3417" t="s">
        <v>1680</v>
      </c>
      <c r="Z7" s="3418"/>
      <c r="AA7" s="50">
        <f>D7/F7</f>
        <v>0.98039215686274506</v>
      </c>
      <c r="AB7" s="50">
        <f>D7/H7</f>
        <v>0.98039215686274506</v>
      </c>
      <c r="AC7" s="50">
        <f>D7/J7</f>
        <v>1</v>
      </c>
    </row>
    <row r="8" spans="1:29" s="102" customFormat="1" ht="15" thickBot="1">
      <c r="A8" s="352" t="s">
        <v>1681</v>
      </c>
      <c r="B8" s="353"/>
      <c r="C8" s="358" t="s">
        <v>1682</v>
      </c>
      <c r="D8" s="355">
        <v>100</v>
      </c>
      <c r="E8" s="358" t="s">
        <v>3538</v>
      </c>
      <c r="F8" s="357">
        <f>SUMIF(72:72,E8,73:73)-SUMIF(72:72,C8,73:73)+100</f>
        <v>100</v>
      </c>
      <c r="G8" s="358" t="s">
        <v>3538</v>
      </c>
      <c r="H8" s="355">
        <f>SUMIF(72:72,G8,73:73)-SUMIF(72:72,C8,73:73)+100</f>
        <v>100</v>
      </c>
      <c r="I8" s="358" t="s">
        <v>3538</v>
      </c>
      <c r="J8" s="355">
        <f>SUMIF(72:72,I8,73:73)-SUMIF(72:72,C8,73:73)+100</f>
        <v>100</v>
      </c>
      <c r="K8" s="38"/>
      <c r="L8" s="2483"/>
      <c r="M8" s="2434"/>
      <c r="N8" s="2434"/>
      <c r="O8" s="2434"/>
      <c r="P8" s="3417" t="s">
        <v>1683</v>
      </c>
      <c r="Q8" s="3418"/>
      <c r="R8" s="664" t="s">
        <v>14</v>
      </c>
      <c r="S8" s="665">
        <f t="shared" si="0"/>
        <v>100</v>
      </c>
      <c r="T8" s="664" t="s">
        <v>14</v>
      </c>
      <c r="U8" s="665">
        <f t="shared" si="1"/>
        <v>100</v>
      </c>
      <c r="V8" s="664" t="s">
        <v>14</v>
      </c>
      <c r="W8" s="665">
        <f t="shared" si="2"/>
        <v>100</v>
      </c>
      <c r="X8" s="666"/>
      <c r="Y8" s="3417" t="s">
        <v>1683</v>
      </c>
      <c r="Z8" s="3418"/>
      <c r="AA8" s="50">
        <f t="shared" ref="AA8:AA45" si="3">D8/F8</f>
        <v>1</v>
      </c>
      <c r="AB8" s="50">
        <f t="shared" ref="AB8:AB45" si="4">D8/H8</f>
        <v>1</v>
      </c>
      <c r="AC8" s="50">
        <f t="shared" ref="AC8:AC45" si="5">D8/J8</f>
        <v>1</v>
      </c>
    </row>
    <row r="9" spans="1:29" s="102" customFormat="1" ht="14.4">
      <c r="A9" s="359" t="s">
        <v>1684</v>
      </c>
      <c r="B9" s="60" t="s">
        <v>1685</v>
      </c>
      <c r="C9" s="1824" t="s">
        <v>3394</v>
      </c>
      <c r="D9" s="59">
        <v>100</v>
      </c>
      <c r="E9" s="1824" t="s">
        <v>3394</v>
      </c>
      <c r="F9" s="59">
        <f>SUMIF(74:74,E9,75:75)-SUMIF(74:74,C9,75:75)+100</f>
        <v>100</v>
      </c>
      <c r="G9" s="1824" t="s">
        <v>3394</v>
      </c>
      <c r="H9" s="59">
        <f>SUMIF(74:74,G9,75:75)-SUMIF(74:74,C9,75:75)+100</f>
        <v>100</v>
      </c>
      <c r="I9" s="1824" t="s">
        <v>3394</v>
      </c>
      <c r="J9" s="59">
        <f>SUMIF(74:74,I9,75:75)-SUMIF(74:74,C9,75:75)+100</f>
        <v>100</v>
      </c>
      <c r="K9" s="38"/>
      <c r="L9" s="2483"/>
      <c r="M9" s="2434"/>
      <c r="N9" s="2434"/>
      <c r="O9" s="2535"/>
      <c r="P9" s="3389" t="s">
        <v>1686</v>
      </c>
      <c r="Q9" s="530" t="str">
        <f t="shared" ref="Q9:Q15" si="6">B9</f>
        <v>用途</v>
      </c>
      <c r="R9" s="664" t="s">
        <v>14</v>
      </c>
      <c r="S9" s="665">
        <f t="shared" si="0"/>
        <v>100</v>
      </c>
      <c r="T9" s="664" t="s">
        <v>14</v>
      </c>
      <c r="U9" s="665">
        <f t="shared" si="1"/>
        <v>100</v>
      </c>
      <c r="V9" s="664" t="s">
        <v>14</v>
      </c>
      <c r="W9" s="665">
        <f t="shared" si="2"/>
        <v>100</v>
      </c>
      <c r="X9" s="666"/>
      <c r="Y9" s="328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100</v>
      </c>
      <c r="G10" s="402"/>
      <c r="H10" s="119">
        <f>ROUND(100/'数据-取费表'!G16,0)</f>
        <v>100</v>
      </c>
      <c r="I10" s="402"/>
      <c r="J10" s="119">
        <f>ROUND(100/'数据-取费表'!G16,0)</f>
        <v>100</v>
      </c>
      <c r="K10" s="592"/>
      <c r="L10" s="2484"/>
      <c r="M10" s="2485"/>
      <c r="N10" s="2485"/>
      <c r="O10" s="2536"/>
      <c r="P10" s="3389"/>
      <c r="Q10" s="530" t="str">
        <f t="shared" si="6"/>
        <v>土地使用年限（年）</v>
      </c>
      <c r="R10" s="664" t="s">
        <v>14</v>
      </c>
      <c r="S10" s="665">
        <f t="shared" si="0"/>
        <v>100</v>
      </c>
      <c r="T10" s="664" t="s">
        <v>14</v>
      </c>
      <c r="U10" s="665">
        <f t="shared" si="1"/>
        <v>100</v>
      </c>
      <c r="V10" s="664" t="s">
        <v>14</v>
      </c>
      <c r="W10" s="665">
        <f t="shared" si="2"/>
        <v>100</v>
      </c>
      <c r="X10" s="666"/>
      <c r="Y10" s="3289"/>
      <c r="Z10" s="50" t="str">
        <f t="shared" si="7"/>
        <v>土地使用年限（年）</v>
      </c>
      <c r="AA10" s="50">
        <f t="shared" si="3"/>
        <v>1</v>
      </c>
      <c r="AB10" s="50">
        <f t="shared" si="4"/>
        <v>1</v>
      </c>
      <c r="AC10" s="50">
        <f t="shared" si="5"/>
        <v>1</v>
      </c>
    </row>
    <row r="11" spans="1:29" ht="15">
      <c r="A11" s="367"/>
      <c r="B11" s="364" t="s">
        <v>1689</v>
      </c>
      <c r="C11" s="368">
        <v>1.6</v>
      </c>
      <c r="D11" s="119">
        <v>100</v>
      </c>
      <c r="E11" s="368">
        <v>1.5</v>
      </c>
      <c r="F11" s="119">
        <f>LOOKUP(E11,79:79,80:80)-LOOKUP(C11,79:79,80:80)+100</f>
        <v>100</v>
      </c>
      <c r="G11" s="369">
        <v>1.7</v>
      </c>
      <c r="H11" s="119">
        <f>LOOKUP(G11,79:79,80:80)-LOOKUP(C11,79:79,80:80)+100</f>
        <v>100</v>
      </c>
      <c r="I11" s="368">
        <v>1.8</v>
      </c>
      <c r="J11" s="119">
        <f>LOOKUP(I11,79:79,80:80)-LOOKUP(C11,79:79,80:80)+100</f>
        <v>100</v>
      </c>
      <c r="K11" s="593">
        <v>1</v>
      </c>
      <c r="L11" s="2486"/>
      <c r="M11" s="2482"/>
      <c r="N11" s="2482"/>
      <c r="O11" s="2537"/>
      <c r="P11" s="3389"/>
      <c r="Q11" s="530" t="str">
        <f t="shared" si="6"/>
        <v>容积率</v>
      </c>
      <c r="R11" s="664" t="s">
        <v>14</v>
      </c>
      <c r="S11" s="665">
        <f t="shared" si="0"/>
        <v>100</v>
      </c>
      <c r="T11" s="664" t="s">
        <v>14</v>
      </c>
      <c r="U11" s="665">
        <f t="shared" si="1"/>
        <v>100</v>
      </c>
      <c r="V11" s="664" t="s">
        <v>14</v>
      </c>
      <c r="W11" s="665">
        <f t="shared" si="2"/>
        <v>100</v>
      </c>
      <c r="X11" s="666"/>
      <c r="Y11" s="3289"/>
      <c r="Z11" s="50" t="str">
        <f t="shared" si="7"/>
        <v>容积率</v>
      </c>
      <c r="AA11" s="50">
        <f t="shared" si="3"/>
        <v>1</v>
      </c>
      <c r="AB11" s="50">
        <f t="shared" si="4"/>
        <v>1</v>
      </c>
      <c r="AC11" s="50">
        <f t="shared" si="5"/>
        <v>1</v>
      </c>
    </row>
    <row r="12" spans="1:29" s="102" customFormat="1" ht="15">
      <c r="A12" s="370"/>
      <c r="B12" s="447" t="s">
        <v>1870</v>
      </c>
      <c r="C12" s="371" t="s">
        <v>3539</v>
      </c>
      <c r="D12" s="372">
        <v>100</v>
      </c>
      <c r="E12" s="403" t="s">
        <v>3539</v>
      </c>
      <c r="F12" s="119">
        <f>SUMIF(81:81,E12,82:82)-SUMIF(81:81,C12,82:82)+100</f>
        <v>100</v>
      </c>
      <c r="G12" s="402" t="s">
        <v>3539</v>
      </c>
      <c r="H12" s="119">
        <f>SUMIF(81:81,G12,82:82)-SUMIF(81:81,C12,82:82)+100</f>
        <v>100</v>
      </c>
      <c r="I12" s="403" t="s">
        <v>3539</v>
      </c>
      <c r="J12" s="119">
        <f>SUMIF(81:81,I12,82:82)-SUMIF(81:81,C12,82:82)+100</f>
        <v>100</v>
      </c>
      <c r="K12" s="592"/>
      <c r="L12" s="2483"/>
      <c r="M12" s="2434"/>
      <c r="N12" s="2434"/>
      <c r="O12" s="2535"/>
      <c r="P12" s="3389"/>
      <c r="Q12" s="530" t="str">
        <f t="shared" si="6"/>
        <v>配建</v>
      </c>
      <c r="R12" s="664" t="s">
        <v>14</v>
      </c>
      <c r="S12" s="665">
        <f t="shared" si="0"/>
        <v>100</v>
      </c>
      <c r="T12" s="664" t="s">
        <v>14</v>
      </c>
      <c r="U12" s="665">
        <f t="shared" si="1"/>
        <v>100</v>
      </c>
      <c r="V12" s="664" t="s">
        <v>14</v>
      </c>
      <c r="W12" s="665">
        <f t="shared" si="2"/>
        <v>100</v>
      </c>
      <c r="X12" s="666"/>
      <c r="Y12" s="328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389"/>
      <c r="Q13" s="530">
        <f t="shared" si="6"/>
        <v>111</v>
      </c>
      <c r="R13" s="664" t="s">
        <v>14</v>
      </c>
      <c r="S13" s="665">
        <f t="shared" si="0"/>
        <v>100</v>
      </c>
      <c r="T13" s="664" t="s">
        <v>14</v>
      </c>
      <c r="U13" s="665">
        <f t="shared" si="1"/>
        <v>100</v>
      </c>
      <c r="V13" s="664" t="s">
        <v>14</v>
      </c>
      <c r="W13" s="665">
        <f t="shared" si="2"/>
        <v>100</v>
      </c>
      <c r="X13" s="666"/>
      <c r="Y13" s="3289"/>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389"/>
      <c r="Q14" s="530">
        <f t="shared" si="6"/>
        <v>111</v>
      </c>
      <c r="R14" s="664" t="s">
        <v>14</v>
      </c>
      <c r="S14" s="665">
        <f t="shared" si="0"/>
        <v>100</v>
      </c>
      <c r="T14" s="664" t="s">
        <v>14</v>
      </c>
      <c r="U14" s="665">
        <f t="shared" si="1"/>
        <v>100</v>
      </c>
      <c r="V14" s="664" t="s">
        <v>14</v>
      </c>
      <c r="W14" s="665">
        <f t="shared" si="2"/>
        <v>100</v>
      </c>
      <c r="X14" s="666"/>
      <c r="Y14" s="3289"/>
      <c r="Z14" s="50">
        <f t="shared" si="7"/>
        <v>111</v>
      </c>
      <c r="AA14" s="50">
        <f>D14/F14</f>
        <v>1</v>
      </c>
      <c r="AB14" s="50">
        <f>D14/H14</f>
        <v>1</v>
      </c>
      <c r="AC14" s="50">
        <f>D14/J14</f>
        <v>1</v>
      </c>
    </row>
    <row r="15" spans="1:29" ht="15">
      <c r="A15" s="379" t="s">
        <v>1690</v>
      </c>
      <c r="B15" s="58" t="s">
        <v>1257</v>
      </c>
      <c r="C15" s="1749" t="str">
        <f>估价对象房地状况!C15</f>
        <v>一般</v>
      </c>
      <c r="D15" s="380">
        <v>100</v>
      </c>
      <c r="E15" s="381"/>
      <c r="F15" s="380">
        <f>SUMIF(87:87,E16,88:88)-SUMIF(87:87,C16,88:88)+100</f>
        <v>100</v>
      </c>
      <c r="G15" s="381"/>
      <c r="H15" s="380">
        <f>SUMIF(87:87,G16,88:88)-SUMIF(87:87,C16,88:88)+100</f>
        <v>103</v>
      </c>
      <c r="I15" s="383"/>
      <c r="J15" s="380">
        <f>SUMIF(87:87,I16,88:88)-SUMIF(87:87,C16,88:88)+100</f>
        <v>106</v>
      </c>
      <c r="K15" s="593">
        <v>3</v>
      </c>
      <c r="L15" s="2487"/>
      <c r="M15" s="2482"/>
      <c r="N15" s="2482"/>
      <c r="O15" s="2537"/>
      <c r="P15" s="3390" t="s">
        <v>1691</v>
      </c>
      <c r="Q15" s="1262" t="str">
        <f t="shared" si="6"/>
        <v>居住社区成熟度</v>
      </c>
      <c r="R15" s="667" t="s">
        <v>14</v>
      </c>
      <c r="S15" s="668">
        <f t="shared" si="0"/>
        <v>100</v>
      </c>
      <c r="T15" s="667" t="s">
        <v>14</v>
      </c>
      <c r="U15" s="668">
        <f t="shared" si="1"/>
        <v>103</v>
      </c>
      <c r="V15" s="667" t="s">
        <v>14</v>
      </c>
      <c r="W15" s="668">
        <f t="shared" si="2"/>
        <v>106</v>
      </c>
      <c r="X15" s="1264"/>
      <c r="Y15" s="3390" t="s">
        <v>1691</v>
      </c>
      <c r="Z15" s="1263" t="str">
        <f t="shared" si="7"/>
        <v>居住社区成熟度</v>
      </c>
      <c r="AA15" s="1263">
        <f t="shared" si="3"/>
        <v>1</v>
      </c>
      <c r="AB15" s="1263">
        <f t="shared" si="4"/>
        <v>0.970873786407767</v>
      </c>
      <c r="AC15" s="1263">
        <f t="shared" si="5"/>
        <v>0.94339622641509435</v>
      </c>
    </row>
    <row r="16" spans="1:29" ht="15">
      <c r="A16" s="367"/>
      <c r="B16" s="385"/>
      <c r="C16" s="386" t="s">
        <v>3532</v>
      </c>
      <c r="D16" s="387"/>
      <c r="E16" s="1751" t="s">
        <v>3532</v>
      </c>
      <c r="F16" s="387"/>
      <c r="G16" s="1751" t="s">
        <v>3535</v>
      </c>
      <c r="H16" s="389"/>
      <c r="I16" s="1750" t="s">
        <v>3541</v>
      </c>
      <c r="J16" s="387"/>
      <c r="K16" s="592"/>
      <c r="L16" s="2487"/>
      <c r="M16" s="2482"/>
      <c r="N16" s="2482"/>
      <c r="O16" s="2537"/>
      <c r="P16" s="3391"/>
      <c r="Q16" s="1262"/>
      <c r="R16" s="667"/>
      <c r="S16" s="668"/>
      <c r="T16" s="667"/>
      <c r="U16" s="668"/>
      <c r="V16" s="667"/>
      <c r="W16" s="668"/>
      <c r="X16" s="1264"/>
      <c r="Y16" s="3391"/>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391"/>
      <c r="Q17" s="1262" t="str">
        <f>B17</f>
        <v>商业繁华度</v>
      </c>
      <c r="R17" s="667" t="s">
        <v>14</v>
      </c>
      <c r="S17" s="668">
        <f>F17</f>
        <v>100</v>
      </c>
      <c r="T17" s="667" t="s">
        <v>14</v>
      </c>
      <c r="U17" s="668">
        <f>H17</f>
        <v>100</v>
      </c>
      <c r="V17" s="667" t="s">
        <v>14</v>
      </c>
      <c r="W17" s="668">
        <f>J17</f>
        <v>100</v>
      </c>
      <c r="X17" s="1264"/>
      <c r="Y17" s="339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7"/>
      <c r="M18" s="2482"/>
      <c r="N18" s="2482"/>
      <c r="O18" s="2537"/>
      <c r="P18" s="3391"/>
      <c r="Q18" s="1262"/>
      <c r="R18" s="667"/>
      <c r="S18" s="668"/>
      <c r="T18" s="667"/>
      <c r="U18" s="668"/>
      <c r="V18" s="667"/>
      <c r="W18" s="668"/>
      <c r="X18" s="1264"/>
      <c r="Y18" s="3391"/>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391"/>
      <c r="Q19" s="1262" t="str">
        <f>B19</f>
        <v>办公集聚程度</v>
      </c>
      <c r="R19" s="667" t="s">
        <v>14</v>
      </c>
      <c r="S19" s="668">
        <f>F19</f>
        <v>100</v>
      </c>
      <c r="T19" s="667" t="s">
        <v>14</v>
      </c>
      <c r="U19" s="668">
        <f>H19</f>
        <v>100</v>
      </c>
      <c r="V19" s="667" t="s">
        <v>14</v>
      </c>
      <c r="W19" s="668">
        <f>J19</f>
        <v>100</v>
      </c>
      <c r="X19" s="1264"/>
      <c r="Y19" s="339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7"/>
      <c r="M20" s="2482"/>
      <c r="N20" s="2482"/>
      <c r="O20" s="2537"/>
      <c r="P20" s="3391"/>
      <c r="Q20" s="1262"/>
      <c r="R20" s="667"/>
      <c r="S20" s="668"/>
      <c r="T20" s="667"/>
      <c r="U20" s="668"/>
      <c r="V20" s="667"/>
      <c r="W20" s="668"/>
      <c r="X20" s="1264"/>
      <c r="Y20" s="3391"/>
      <c r="Z20" s="1263"/>
      <c r="AA20" s="1263">
        <v>1</v>
      </c>
      <c r="AB20" s="1263">
        <v>1</v>
      </c>
      <c r="AC20" s="1263">
        <v>1</v>
      </c>
    </row>
    <row r="21" spans="1:29" ht="15">
      <c r="A21" s="367"/>
      <c r="B21" s="390" t="s">
        <v>1833</v>
      </c>
      <c r="C21" s="1753" t="str">
        <f>估价对象房地状况!C18</f>
        <v>一般</v>
      </c>
      <c r="D21" s="389">
        <v>100</v>
      </c>
      <c r="E21" s="391" t="s">
        <v>3540</v>
      </c>
      <c r="F21" s="394">
        <f>SUMIF(93:93,E22,94:94)-SUMIF(93:93,C22,94:94)+100</f>
        <v>102</v>
      </c>
      <c r="G21" s="391"/>
      <c r="H21" s="389">
        <f>SUMIF(93:93,G22,94:94)-SUMIF(93:93,C22,94:94)+100</f>
        <v>100</v>
      </c>
      <c r="I21" s="393"/>
      <c r="J21" s="389">
        <f>SUMIF(93:93,I22,94:94)-SUMIF(93:93,C22,94:94)+100</f>
        <v>102</v>
      </c>
      <c r="K21" s="593">
        <v>2</v>
      </c>
      <c r="L21" s="2487"/>
      <c r="M21" s="2482"/>
      <c r="N21" s="2482"/>
      <c r="O21" s="2537"/>
      <c r="P21" s="3391"/>
      <c r="Q21" s="1262" t="str">
        <f>B21</f>
        <v>交通便捷度</v>
      </c>
      <c r="R21" s="667" t="s">
        <v>14</v>
      </c>
      <c r="S21" s="668">
        <f>F21</f>
        <v>102</v>
      </c>
      <c r="T21" s="667" t="s">
        <v>14</v>
      </c>
      <c r="U21" s="668">
        <f>H21</f>
        <v>100</v>
      </c>
      <c r="V21" s="667" t="s">
        <v>14</v>
      </c>
      <c r="W21" s="668">
        <f>J21</f>
        <v>102</v>
      </c>
      <c r="X21" s="1264"/>
      <c r="Y21" s="3391"/>
      <c r="Z21" s="1263" t="str">
        <f>Q21</f>
        <v>交通便捷度</v>
      </c>
      <c r="AA21" s="1263">
        <f t="shared" si="3"/>
        <v>0.98039215686274506</v>
      </c>
      <c r="AB21" s="1263">
        <f t="shared" si="4"/>
        <v>1</v>
      </c>
      <c r="AC21" s="1263">
        <f t="shared" si="5"/>
        <v>0.98039215686274506</v>
      </c>
    </row>
    <row r="22" spans="1:29" ht="15">
      <c r="A22" s="367"/>
      <c r="B22" s="586"/>
      <c r="C22" s="386" t="s">
        <v>3532</v>
      </c>
      <c r="D22" s="389"/>
      <c r="E22" s="1751" t="s">
        <v>3535</v>
      </c>
      <c r="F22" s="387"/>
      <c r="G22" s="1751" t="s">
        <v>3532</v>
      </c>
      <c r="H22" s="387"/>
      <c r="I22" s="1750" t="s">
        <v>3535</v>
      </c>
      <c r="J22" s="387"/>
      <c r="K22" s="592"/>
      <c r="L22" s="2487"/>
      <c r="M22" s="2482"/>
      <c r="N22" s="2482"/>
      <c r="O22" s="2537"/>
      <c r="P22" s="3391"/>
      <c r="Q22" s="1262"/>
      <c r="R22" s="667"/>
      <c r="S22" s="668"/>
      <c r="T22" s="667"/>
      <c r="U22" s="668"/>
      <c r="V22" s="667"/>
      <c r="W22" s="668"/>
      <c r="X22" s="1264"/>
      <c r="Y22" s="3391"/>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102</v>
      </c>
      <c r="I23" s="393"/>
      <c r="J23" s="394">
        <f>SUMIF(95:95,I24,96:96)-SUMIF(95:95,C24,96:96)+100</f>
        <v>104</v>
      </c>
      <c r="K23" s="593">
        <v>2</v>
      </c>
      <c r="L23" s="2487"/>
      <c r="M23" s="2482"/>
      <c r="N23" s="2482"/>
      <c r="O23" s="2537"/>
      <c r="P23" s="3391"/>
      <c r="Q23" s="1262" t="str">
        <f t="shared" ref="Q23:Q37" si="8">B23</f>
        <v>区域土地利用方向</v>
      </c>
      <c r="R23" s="667" t="s">
        <v>14</v>
      </c>
      <c r="S23" s="668">
        <f>F23</f>
        <v>100</v>
      </c>
      <c r="T23" s="667" t="s">
        <v>14</v>
      </c>
      <c r="U23" s="668">
        <f>H23</f>
        <v>102</v>
      </c>
      <c r="V23" s="667" t="s">
        <v>14</v>
      </c>
      <c r="W23" s="668">
        <f>J23</f>
        <v>104</v>
      </c>
      <c r="X23" s="1264"/>
      <c r="Y23" s="3391"/>
      <c r="Z23" s="1263" t="str">
        <f>Q23</f>
        <v>区域土地利用方向</v>
      </c>
      <c r="AA23" s="1263">
        <f t="shared" si="3"/>
        <v>1</v>
      </c>
      <c r="AB23" s="1263">
        <f t="shared" si="4"/>
        <v>0.98039215686274506</v>
      </c>
      <c r="AC23" s="1263">
        <f t="shared" si="5"/>
        <v>0.96153846153846156</v>
      </c>
    </row>
    <row r="24" spans="1:29" ht="15">
      <c r="A24" s="348"/>
      <c r="B24" s="395"/>
      <c r="C24" s="542" t="s">
        <v>3532</v>
      </c>
      <c r="D24" s="387"/>
      <c r="E24" s="1751" t="s">
        <v>3532</v>
      </c>
      <c r="F24" s="387"/>
      <c r="G24" s="1750" t="s">
        <v>3535</v>
      </c>
      <c r="H24" s="387"/>
      <c r="I24" s="1750" t="s">
        <v>3541</v>
      </c>
      <c r="J24" s="387"/>
      <c r="K24" s="697"/>
      <c r="L24" s="2487"/>
      <c r="M24" s="2482"/>
      <c r="N24" s="2482"/>
      <c r="O24" s="2537"/>
      <c r="P24" s="3391"/>
      <c r="Q24" s="1262"/>
      <c r="R24" s="667"/>
      <c r="S24" s="668"/>
      <c r="T24" s="667"/>
      <c r="U24" s="668"/>
      <c r="V24" s="667"/>
      <c r="W24" s="668"/>
      <c r="X24" s="1264"/>
      <c r="Y24" s="3391"/>
      <c r="Z24" s="1263"/>
      <c r="AA24" s="1263"/>
      <c r="AB24" s="1263"/>
      <c r="AC24" s="1263"/>
    </row>
    <row r="25" spans="1:29" ht="28.8">
      <c r="A25" s="348"/>
      <c r="B25" s="586" t="s">
        <v>1872</v>
      </c>
      <c r="C25" s="1805" t="str">
        <f>估价对象房地状况!C20</f>
        <v>一般</v>
      </c>
      <c r="D25" s="389">
        <v>100</v>
      </c>
      <c r="E25" s="391"/>
      <c r="F25" s="389">
        <f>SUMIF(97:97,E26,98:98)-SUMIF(97:97,C26,98:98)+100</f>
        <v>100</v>
      </c>
      <c r="G25" s="391"/>
      <c r="H25" s="389">
        <f>SUMIF(97:97,G26,98:98)-SUMIF(97:97,C26,98:98)+100</f>
        <v>100</v>
      </c>
      <c r="I25" s="393"/>
      <c r="J25" s="389">
        <f>SUMIF(97:97,I26,98:98)-SUMIF(97:97,C26,98:98)+100</f>
        <v>102</v>
      </c>
      <c r="K25" s="593">
        <v>2</v>
      </c>
      <c r="L25" s="2487"/>
      <c r="M25" s="2482"/>
      <c r="N25" s="2482"/>
      <c r="O25" s="2537"/>
      <c r="P25" s="3391"/>
      <c r="Q25" s="1262" t="str">
        <f t="shared" si="8"/>
        <v>自然及人文环境状况</v>
      </c>
      <c r="R25" s="667" t="s">
        <v>14</v>
      </c>
      <c r="S25" s="668">
        <f>F25</f>
        <v>100</v>
      </c>
      <c r="T25" s="667" t="s">
        <v>14</v>
      </c>
      <c r="U25" s="668">
        <f>H25</f>
        <v>100</v>
      </c>
      <c r="V25" s="667" t="s">
        <v>14</v>
      </c>
      <c r="W25" s="668">
        <f>J25</f>
        <v>102</v>
      </c>
      <c r="X25" s="1264"/>
      <c r="Y25" s="3391"/>
      <c r="Z25" s="1263" t="str">
        <f>Q25</f>
        <v>自然及人文环境状况</v>
      </c>
      <c r="AA25" s="1263">
        <f t="shared" si="3"/>
        <v>1</v>
      </c>
      <c r="AB25" s="1263">
        <f t="shared" si="4"/>
        <v>1</v>
      </c>
      <c r="AC25" s="1263">
        <f t="shared" si="5"/>
        <v>0.98039215686274506</v>
      </c>
    </row>
    <row r="26" spans="1:29" ht="15">
      <c r="A26" s="348"/>
      <c r="B26" s="395"/>
      <c r="C26" s="386" t="s">
        <v>3532</v>
      </c>
      <c r="D26" s="387"/>
      <c r="E26" s="1757" t="s">
        <v>3532</v>
      </c>
      <c r="F26" s="387"/>
      <c r="G26" s="1757" t="s">
        <v>3532</v>
      </c>
      <c r="H26" s="387"/>
      <c r="I26" s="386" t="s">
        <v>3535</v>
      </c>
      <c r="J26" s="387"/>
      <c r="K26" s="592"/>
      <c r="L26" s="2487"/>
      <c r="M26" s="2482"/>
      <c r="N26" s="2482"/>
      <c r="O26" s="2537"/>
      <c r="P26" s="3391"/>
      <c r="Q26" s="1262"/>
      <c r="R26" s="667"/>
      <c r="S26" s="668"/>
      <c r="T26" s="667"/>
      <c r="U26" s="668"/>
      <c r="V26" s="667"/>
      <c r="W26" s="668"/>
      <c r="X26" s="1264"/>
      <c r="Y26" s="3391"/>
      <c r="Z26" s="1263"/>
      <c r="AA26" s="1263">
        <v>1</v>
      </c>
      <c r="AB26" s="1263">
        <v>1</v>
      </c>
      <c r="AC26" s="1263">
        <v>1</v>
      </c>
    </row>
    <row r="27" spans="1:29" s="102" customFormat="1" ht="15">
      <c r="A27" s="443"/>
      <c r="B27" s="586" t="s">
        <v>1778</v>
      </c>
      <c r="C27" s="1753" t="str">
        <f>估价对象房地状况!C21</f>
        <v>一般</v>
      </c>
      <c r="D27" s="389">
        <v>100</v>
      </c>
      <c r="E27" s="391"/>
      <c r="F27" s="389">
        <f>SUMIF(99:99,E28,100:100)-SUMIF(99:99,C28,100:100)+100</f>
        <v>100</v>
      </c>
      <c r="G27" s="391"/>
      <c r="H27" s="389">
        <f>SUMIF(99:99,G28,100:100)-SUMIF(99:99,C28,100:100)+100</f>
        <v>100</v>
      </c>
      <c r="I27" s="393"/>
      <c r="J27" s="389">
        <f>SUMIF(99:99,I28,100:100)-SUMIF(99:99,C28,100:100)+100</f>
        <v>102</v>
      </c>
      <c r="K27" s="593">
        <v>2</v>
      </c>
      <c r="L27" s="2483"/>
      <c r="M27" s="2434"/>
      <c r="N27" s="2434"/>
      <c r="O27" s="2535"/>
      <c r="P27" s="3391"/>
      <c r="Q27" s="530" t="str">
        <f t="shared" si="8"/>
        <v>公共配套设施</v>
      </c>
      <c r="R27" s="664" t="s">
        <v>14</v>
      </c>
      <c r="S27" s="665">
        <f>F27</f>
        <v>100</v>
      </c>
      <c r="T27" s="664" t="s">
        <v>14</v>
      </c>
      <c r="U27" s="665">
        <f>H27</f>
        <v>100</v>
      </c>
      <c r="V27" s="664" t="s">
        <v>14</v>
      </c>
      <c r="W27" s="665">
        <f>J27</f>
        <v>102</v>
      </c>
      <c r="X27" s="666"/>
      <c r="Y27" s="3391"/>
      <c r="Z27" s="50" t="str">
        <f>Q27</f>
        <v>公共配套设施</v>
      </c>
      <c r="AA27" s="1263">
        <f>D27/F27</f>
        <v>1</v>
      </c>
      <c r="AB27" s="1263">
        <f>D27/H27</f>
        <v>1</v>
      </c>
      <c r="AC27" s="1263">
        <f>D27/J27</f>
        <v>0.98039215686274506</v>
      </c>
    </row>
    <row r="28" spans="1:29" s="102" customFormat="1" ht="15">
      <c r="A28" s="443"/>
      <c r="B28" s="395"/>
      <c r="C28" s="1825" t="s">
        <v>3532</v>
      </c>
      <c r="D28" s="387"/>
      <c r="E28" s="1757" t="s">
        <v>3532</v>
      </c>
      <c r="F28" s="387"/>
      <c r="G28" s="1757" t="s">
        <v>3532</v>
      </c>
      <c r="H28" s="387"/>
      <c r="I28" s="386" t="s">
        <v>3535</v>
      </c>
      <c r="J28" s="387"/>
      <c r="K28" s="592"/>
      <c r="L28" s="2483"/>
      <c r="M28" s="2434"/>
      <c r="N28" s="2434"/>
      <c r="O28" s="2535"/>
      <c r="P28" s="3391"/>
      <c r="Q28" s="530"/>
      <c r="R28" s="664"/>
      <c r="S28" s="665"/>
      <c r="T28" s="664"/>
      <c r="U28" s="665"/>
      <c r="V28" s="664"/>
      <c r="W28" s="665"/>
      <c r="X28" s="666"/>
      <c r="Y28" s="3391"/>
      <c r="Z28" s="50"/>
      <c r="AA28" s="1263">
        <v>1</v>
      </c>
      <c r="AB28" s="1263">
        <v>1</v>
      </c>
      <c r="AC28" s="1263">
        <v>1</v>
      </c>
    </row>
    <row r="29" spans="1:29" s="102" customFormat="1" ht="15">
      <c r="A29" s="443"/>
      <c r="B29" s="586" t="s">
        <v>1779</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4"/>
      <c r="N29" s="2434"/>
      <c r="O29" s="2535"/>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3">
        <f>D29/F29</f>
        <v>1</v>
      </c>
      <c r="AB29" s="1263">
        <f>D29/H29</f>
        <v>1</v>
      </c>
      <c r="AC29" s="1263">
        <f>D29/J29</f>
        <v>1</v>
      </c>
    </row>
    <row r="30" spans="1:29" s="102" customFormat="1" ht="15">
      <c r="A30" s="443"/>
      <c r="B30" s="395"/>
      <c r="C30" s="1825" t="s">
        <v>3534</v>
      </c>
      <c r="D30" s="387"/>
      <c r="E30" s="1826" t="s">
        <v>3534</v>
      </c>
      <c r="F30" s="387"/>
      <c r="G30" s="1826" t="s">
        <v>3534</v>
      </c>
      <c r="H30" s="387"/>
      <c r="I30" s="1826" t="s">
        <v>3534</v>
      </c>
      <c r="J30" s="387"/>
      <c r="K30" s="592"/>
      <c r="L30" s="2483"/>
      <c r="M30" s="2434"/>
      <c r="N30" s="2434"/>
      <c r="O30" s="2535"/>
      <c r="P30" s="3391"/>
      <c r="Q30" s="530"/>
      <c r="R30" s="664"/>
      <c r="S30" s="665"/>
      <c r="T30" s="664"/>
      <c r="U30" s="665"/>
      <c r="V30" s="664"/>
      <c r="W30" s="665"/>
      <c r="X30" s="666"/>
      <c r="Y30" s="3391"/>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39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1"/>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391"/>
      <c r="Q32" s="1262" t="str">
        <f t="shared" si="8"/>
        <v>毗邻道路的类型与等级</v>
      </c>
      <c r="R32" s="667" t="s">
        <v>14</v>
      </c>
      <c r="S32" s="668">
        <f t="shared" si="10"/>
        <v>100</v>
      </c>
      <c r="T32" s="667" t="s">
        <v>14</v>
      </c>
      <c r="U32" s="668">
        <f t="shared" si="11"/>
        <v>100</v>
      </c>
      <c r="V32" s="667" t="s">
        <v>14</v>
      </c>
      <c r="W32" s="668">
        <f t="shared" si="12"/>
        <v>100</v>
      </c>
      <c r="X32" s="1264"/>
      <c r="Y32" s="339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7"/>
      <c r="M33" s="2482"/>
      <c r="N33" s="2482"/>
      <c r="O33" s="2537"/>
      <c r="P33" s="3391"/>
      <c r="Q33" s="1262"/>
      <c r="R33" s="667"/>
      <c r="S33" s="668"/>
      <c r="T33" s="667"/>
      <c r="U33" s="668"/>
      <c r="V33" s="667"/>
      <c r="W33" s="668"/>
      <c r="X33" s="1264"/>
      <c r="Y33" s="3391"/>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391"/>
      <c r="Q34" s="1262" t="str">
        <f t="shared" si="8"/>
        <v>土地级别</v>
      </c>
      <c r="R34" s="667" t="s">
        <v>14</v>
      </c>
      <c r="S34" s="668">
        <f t="shared" si="10"/>
        <v>100</v>
      </c>
      <c r="T34" s="667" t="s">
        <v>14</v>
      </c>
      <c r="U34" s="668">
        <f t="shared" si="11"/>
        <v>100</v>
      </c>
      <c r="V34" s="667" t="s">
        <v>14</v>
      </c>
      <c r="W34" s="668">
        <f t="shared" si="12"/>
        <v>100</v>
      </c>
      <c r="X34" s="1264"/>
      <c r="Y34" s="3391"/>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391"/>
      <c r="Q35" s="1262">
        <f t="shared" si="8"/>
        <v>111</v>
      </c>
      <c r="R35" s="667" t="s">
        <v>14</v>
      </c>
      <c r="S35" s="668">
        <f t="shared" si="10"/>
        <v>100</v>
      </c>
      <c r="T35" s="667" t="s">
        <v>14</v>
      </c>
      <c r="U35" s="668">
        <f t="shared" si="11"/>
        <v>100</v>
      </c>
      <c r="V35" s="667" t="s">
        <v>14</v>
      </c>
      <c r="W35" s="668">
        <f t="shared" si="12"/>
        <v>100</v>
      </c>
      <c r="X35" s="1264"/>
      <c r="Y35" s="3391"/>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392" t="s">
        <v>1696</v>
      </c>
      <c r="Q36" s="1262">
        <f t="shared" si="8"/>
        <v>111</v>
      </c>
      <c r="R36" s="667" t="s">
        <v>14</v>
      </c>
      <c r="S36" s="668">
        <f t="shared" si="10"/>
        <v>100</v>
      </c>
      <c r="T36" s="667" t="s">
        <v>14</v>
      </c>
      <c r="U36" s="668">
        <f t="shared" si="11"/>
        <v>100</v>
      </c>
      <c r="V36" s="667" t="s">
        <v>14</v>
      </c>
      <c r="W36" s="668">
        <f t="shared" si="12"/>
        <v>100</v>
      </c>
      <c r="X36" s="1264"/>
      <c r="Y36" s="3393"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393"/>
      <c r="Q37" s="1262">
        <f t="shared" si="8"/>
        <v>111</v>
      </c>
      <c r="R37" s="669" t="s">
        <v>14</v>
      </c>
      <c r="S37" s="670">
        <f t="shared" si="10"/>
        <v>100</v>
      </c>
      <c r="T37" s="669" t="s">
        <v>14</v>
      </c>
      <c r="U37" s="670">
        <f t="shared" si="11"/>
        <v>100</v>
      </c>
      <c r="V37" s="669" t="s">
        <v>14</v>
      </c>
      <c r="W37" s="670">
        <f t="shared" si="12"/>
        <v>100</v>
      </c>
      <c r="X37" s="671"/>
      <c r="Y37" s="3393"/>
      <c r="Z37" s="672">
        <f t="shared" si="13"/>
        <v>111</v>
      </c>
      <c r="AA37" s="1263">
        <f t="shared" si="3"/>
        <v>1</v>
      </c>
      <c r="AB37" s="1263">
        <f t="shared" si="4"/>
        <v>1</v>
      </c>
      <c r="AC37" s="1263">
        <f t="shared" si="5"/>
        <v>1</v>
      </c>
    </row>
    <row r="38" spans="1:29" ht="15.6">
      <c r="A38" s="409" t="s">
        <v>1694</v>
      </c>
      <c r="B38" s="395" t="s">
        <v>1874</v>
      </c>
      <c r="C38" s="599">
        <v>20362.47</v>
      </c>
      <c r="D38" s="405">
        <v>100</v>
      </c>
      <c r="E38" s="599">
        <f>案例!D6</f>
        <v>30551.17</v>
      </c>
      <c r="F38" s="405">
        <f>LOOKUP(E38,116:116,117:117)-LOOKUP(C38,116:116,117:117)+100</f>
        <v>100</v>
      </c>
      <c r="G38" s="599">
        <f>案例!D9</f>
        <v>69893.14</v>
      </c>
      <c r="H38" s="405">
        <f>LOOKUP(G38,116:116,117:117)-LOOKUP(C38,116:116,117:117)+100</f>
        <v>102</v>
      </c>
      <c r="I38" s="462">
        <f>案例!D3</f>
        <v>77269.84</v>
      </c>
      <c r="J38" s="405">
        <f>LOOKUP(I38,116:116,117:117)-LOOKUP(C38,116:116,117:117)+100</f>
        <v>102</v>
      </c>
      <c r="K38" s="539"/>
      <c r="L38" s="2487"/>
      <c r="M38" s="2482"/>
      <c r="N38" s="2482"/>
      <c r="O38" s="2537"/>
      <c r="P38" s="3393"/>
      <c r="Q38" s="1262" t="str">
        <f>B38</f>
        <v>宗地面积</v>
      </c>
      <c r="R38" s="667" t="s">
        <v>14</v>
      </c>
      <c r="S38" s="668">
        <f t="shared" si="10"/>
        <v>100</v>
      </c>
      <c r="T38" s="667" t="s">
        <v>14</v>
      </c>
      <c r="U38" s="668">
        <f t="shared" si="11"/>
        <v>102</v>
      </c>
      <c r="V38" s="667" t="s">
        <v>14</v>
      </c>
      <c r="W38" s="668">
        <f t="shared" si="12"/>
        <v>102</v>
      </c>
      <c r="X38" s="1264"/>
      <c r="Y38" s="3393"/>
      <c r="Z38" s="1263" t="str">
        <f t="shared" si="13"/>
        <v>宗地面积</v>
      </c>
      <c r="AA38" s="1263">
        <f t="shared" si="3"/>
        <v>1</v>
      </c>
      <c r="AB38" s="1263">
        <f t="shared" si="4"/>
        <v>0.98039215686274506</v>
      </c>
      <c r="AC38" s="1263">
        <f t="shared" si="5"/>
        <v>0.98039215686274506</v>
      </c>
    </row>
    <row r="39" spans="1:29" ht="15">
      <c r="A39" s="409"/>
      <c r="B39" s="364" t="s">
        <v>1875</v>
      </c>
      <c r="C39" s="1759" t="s">
        <v>3533</v>
      </c>
      <c r="D39" s="374">
        <v>100</v>
      </c>
      <c r="E39" s="1759" t="s">
        <v>3536</v>
      </c>
      <c r="F39" s="374">
        <f>SUMIF(118:118,E39,119:119)-SUMIF(118:118,C39,119:119)+100</f>
        <v>96</v>
      </c>
      <c r="G39" s="1759" t="s">
        <v>3533</v>
      </c>
      <c r="H39" s="374">
        <f>SUMIF(118:118,G39,119:119)-SUMIF(118:118,C39,119:119)+100</f>
        <v>100</v>
      </c>
      <c r="I39" s="1759" t="s">
        <v>3533</v>
      </c>
      <c r="J39" s="374">
        <f>SUMIF(118:118,I39,119:119)-SUMIF(118:118,C39,119:119)+100</f>
        <v>100</v>
      </c>
      <c r="K39" s="538">
        <v>4</v>
      </c>
      <c r="L39" s="2487"/>
      <c r="M39" s="2482"/>
      <c r="N39" s="2482"/>
      <c r="O39" s="2537"/>
      <c r="P39" s="3393"/>
      <c r="Q39" s="1262" t="str">
        <f t="shared" ref="Q39:Q45" si="14">B39</f>
        <v>宗地形状</v>
      </c>
      <c r="R39" s="667" t="s">
        <v>14</v>
      </c>
      <c r="S39" s="668">
        <f t="shared" si="10"/>
        <v>96</v>
      </c>
      <c r="T39" s="667" t="s">
        <v>14</v>
      </c>
      <c r="U39" s="668">
        <f t="shared" si="11"/>
        <v>100</v>
      </c>
      <c r="V39" s="667" t="s">
        <v>14</v>
      </c>
      <c r="W39" s="668">
        <f t="shared" si="12"/>
        <v>100</v>
      </c>
      <c r="X39" s="1264"/>
      <c r="Y39" s="3393"/>
      <c r="Z39" s="1263" t="str">
        <f t="shared" si="13"/>
        <v>宗地形状</v>
      </c>
      <c r="AA39" s="1263">
        <f t="shared" si="3"/>
        <v>1.0416666666666667</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7"/>
      <c r="M40" s="2482"/>
      <c r="N40" s="2482"/>
      <c r="O40" s="2537"/>
      <c r="P40" s="3393"/>
      <c r="Q40" s="1262" t="str">
        <f t="shared" si="14"/>
        <v>临街宽度及深度</v>
      </c>
      <c r="R40" s="667" t="s">
        <v>14</v>
      </c>
      <c r="S40" s="668">
        <f t="shared" si="10"/>
        <v>100</v>
      </c>
      <c r="T40" s="667" t="s">
        <v>14</v>
      </c>
      <c r="U40" s="668">
        <f t="shared" si="11"/>
        <v>100</v>
      </c>
      <c r="V40" s="667" t="s">
        <v>14</v>
      </c>
      <c r="W40" s="668">
        <f t="shared" si="12"/>
        <v>100</v>
      </c>
      <c r="X40" s="1264"/>
      <c r="Y40" s="3393"/>
      <c r="Z40" s="1263" t="str">
        <f t="shared" si="13"/>
        <v>临街宽度及深度</v>
      </c>
      <c r="AA40" s="1263">
        <f t="shared" si="3"/>
        <v>1</v>
      </c>
      <c r="AB40" s="1263">
        <f t="shared" si="4"/>
        <v>1</v>
      </c>
      <c r="AC40" s="1263">
        <f t="shared" si="5"/>
        <v>1</v>
      </c>
    </row>
    <row r="41" spans="1:29" s="102" customFormat="1" ht="15">
      <c r="A41" s="410"/>
      <c r="B41" s="364" t="s">
        <v>1877</v>
      </c>
      <c r="C41" s="1827" t="s">
        <v>3534</v>
      </c>
      <c r="D41" s="119">
        <v>100</v>
      </c>
      <c r="E41" s="1827" t="s">
        <v>3537</v>
      </c>
      <c r="F41" s="374">
        <f>SUMIF(122:122,E41,123:123)-SUMIF(122:122,C41,123:123)+100</f>
        <v>99</v>
      </c>
      <c r="G41" s="1827" t="s">
        <v>3537</v>
      </c>
      <c r="H41" s="374">
        <f>SUMIF(122:122,G41,123:123)-SUMIF(122:122,C41,123:123)+100</f>
        <v>99</v>
      </c>
      <c r="I41" s="1827" t="s">
        <v>3537</v>
      </c>
      <c r="J41" s="374">
        <f>SUMIF(122:122,I41,123:123)-SUMIF(122:122,C41,123:123)+100</f>
        <v>99</v>
      </c>
      <c r="K41" s="538">
        <v>1</v>
      </c>
      <c r="L41" s="2483"/>
      <c r="M41" s="2434"/>
      <c r="N41" s="2434"/>
      <c r="O41" s="2535"/>
      <c r="P41" s="3393"/>
      <c r="Q41" s="1262" t="str">
        <f t="shared" si="14"/>
        <v>宗地开发程度</v>
      </c>
      <c r="R41" s="664" t="s">
        <v>14</v>
      </c>
      <c r="S41" s="665">
        <f t="shared" si="10"/>
        <v>99</v>
      </c>
      <c r="T41" s="664" t="s">
        <v>14</v>
      </c>
      <c r="U41" s="665">
        <f t="shared" si="11"/>
        <v>99</v>
      </c>
      <c r="V41" s="664" t="s">
        <v>14</v>
      </c>
      <c r="W41" s="665">
        <f t="shared" si="12"/>
        <v>99</v>
      </c>
      <c r="X41" s="666"/>
      <c r="Y41" s="3393"/>
      <c r="Z41" s="50" t="str">
        <f t="shared" si="13"/>
        <v>宗地开发程度</v>
      </c>
      <c r="AA41" s="50">
        <f t="shared" si="3"/>
        <v>1.0101010101010102</v>
      </c>
      <c r="AB41" s="50">
        <f t="shared" si="4"/>
        <v>1.0101010101010102</v>
      </c>
      <c r="AC41" s="50">
        <f t="shared" si="5"/>
        <v>1.0101010101010102</v>
      </c>
    </row>
    <row r="42" spans="1:29" ht="15">
      <c r="A42" s="409"/>
      <c r="B42" s="364" t="s">
        <v>1878</v>
      </c>
      <c r="C42" s="1759" t="s">
        <v>3535</v>
      </c>
      <c r="D42" s="374">
        <v>100</v>
      </c>
      <c r="E42" s="1759" t="s">
        <v>3535</v>
      </c>
      <c r="F42" s="374">
        <f>SUMIF(124:124,E42,125:125)-SUMIF(124:124,C42,125:125)+100</f>
        <v>100</v>
      </c>
      <c r="G42" s="1759" t="s">
        <v>3535</v>
      </c>
      <c r="H42" s="374">
        <f>SUMIF(124:124,G42,125:125)-SUMIF(124:124,C42,125:125)+100</f>
        <v>100</v>
      </c>
      <c r="I42" s="1759" t="s">
        <v>3535</v>
      </c>
      <c r="J42" s="374">
        <f>SUMIF(124:124,I42,125:125)-SUMIF(124:124,C42,125:125)+100</f>
        <v>100</v>
      </c>
      <c r="K42" s="538">
        <v>2</v>
      </c>
      <c r="L42" s="2487"/>
      <c r="M42" s="2482"/>
      <c r="N42" s="2482"/>
      <c r="O42" s="2537"/>
      <c r="P42" s="3393" t="s">
        <v>1696</v>
      </c>
      <c r="Q42" s="1262" t="str">
        <f t="shared" si="14"/>
        <v>工程地质条件</v>
      </c>
      <c r="R42" s="667" t="s">
        <v>14</v>
      </c>
      <c r="S42" s="668">
        <f t="shared" si="10"/>
        <v>100</v>
      </c>
      <c r="T42" s="667" t="s">
        <v>14</v>
      </c>
      <c r="U42" s="668">
        <f t="shared" si="11"/>
        <v>100</v>
      </c>
      <c r="V42" s="667" t="s">
        <v>14</v>
      </c>
      <c r="W42" s="668">
        <f t="shared" si="12"/>
        <v>100</v>
      </c>
      <c r="X42" s="1264"/>
      <c r="Y42" s="3393"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393"/>
      <c r="Q43" s="1262">
        <f t="shared" si="14"/>
        <v>111</v>
      </c>
      <c r="R43" s="667" t="s">
        <v>14</v>
      </c>
      <c r="S43" s="668">
        <f t="shared" si="10"/>
        <v>100</v>
      </c>
      <c r="T43" s="667" t="s">
        <v>14</v>
      </c>
      <c r="U43" s="668">
        <f t="shared" si="11"/>
        <v>100</v>
      </c>
      <c r="V43" s="667" t="s">
        <v>14</v>
      </c>
      <c r="W43" s="668">
        <f t="shared" si="12"/>
        <v>100</v>
      </c>
      <c r="X43" s="1264"/>
      <c r="Y43" s="3393"/>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393"/>
      <c r="Q44" s="1262">
        <f t="shared" si="14"/>
        <v>111</v>
      </c>
      <c r="R44" s="667" t="s">
        <v>14</v>
      </c>
      <c r="S44" s="668">
        <f t="shared" si="10"/>
        <v>100</v>
      </c>
      <c r="T44" s="667" t="s">
        <v>14</v>
      </c>
      <c r="U44" s="668">
        <f t="shared" si="11"/>
        <v>100</v>
      </c>
      <c r="V44" s="667" t="s">
        <v>14</v>
      </c>
      <c r="W44" s="668">
        <f t="shared" si="12"/>
        <v>100</v>
      </c>
      <c r="X44" s="1264"/>
      <c r="Y44" s="3393"/>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393"/>
      <c r="Q45" s="1262">
        <f t="shared" si="14"/>
        <v>111</v>
      </c>
      <c r="R45" s="669" t="s">
        <v>14</v>
      </c>
      <c r="S45" s="670">
        <f t="shared" si="10"/>
        <v>100</v>
      </c>
      <c r="T45" s="669" t="s">
        <v>14</v>
      </c>
      <c r="U45" s="670">
        <f t="shared" si="11"/>
        <v>100</v>
      </c>
      <c r="V45" s="669" t="s">
        <v>14</v>
      </c>
      <c r="W45" s="670">
        <f t="shared" si="12"/>
        <v>100</v>
      </c>
      <c r="X45" s="671"/>
      <c r="Y45" s="3393"/>
      <c r="Z45" s="672">
        <f t="shared" si="13"/>
        <v>111</v>
      </c>
      <c r="AA45" s="1263">
        <f t="shared" si="3"/>
        <v>1</v>
      </c>
      <c r="AB45" s="1263">
        <f t="shared" si="4"/>
        <v>1</v>
      </c>
      <c r="AC45" s="1263">
        <f t="shared" si="5"/>
        <v>1</v>
      </c>
    </row>
    <row r="46" spans="1:29" ht="14.4">
      <c r="A46" s="416" t="s">
        <v>1844</v>
      </c>
      <c r="B46" s="1829" t="s">
        <v>1879</v>
      </c>
      <c r="C46" s="602" t="s">
        <v>0</v>
      </c>
      <c r="D46" s="418"/>
      <c r="E46" s="419">
        <f>案例!Q6</f>
        <v>14486</v>
      </c>
      <c r="F46" s="420"/>
      <c r="G46" s="421">
        <f>案例!Q9</f>
        <v>18524</v>
      </c>
      <c r="H46" s="422"/>
      <c r="I46" s="419">
        <f>案例!Q3</f>
        <v>19406</v>
      </c>
      <c r="J46" s="422"/>
      <c r="K46" s="674"/>
      <c r="L46" s="2489"/>
      <c r="M46" s="2482"/>
      <c r="N46" s="2482"/>
      <c r="O46" s="2482"/>
      <c r="P46" s="3389" t="str">
        <f>A46</f>
        <v>成交单价</v>
      </c>
      <c r="Q46" s="3389"/>
      <c r="R46" s="3394">
        <f>E46</f>
        <v>14486</v>
      </c>
      <c r="S46" s="3394"/>
      <c r="T46" s="3394">
        <f>G46</f>
        <v>18524</v>
      </c>
      <c r="U46" s="3394"/>
      <c r="V46" s="3394">
        <f>I46</f>
        <v>19406</v>
      </c>
      <c r="W46" s="3394"/>
      <c r="X46" s="385"/>
      <c r="Y46" s="673"/>
      <c r="Z46" s="385"/>
      <c r="AA46" s="385"/>
      <c r="AB46" s="385"/>
      <c r="AC46" s="385"/>
    </row>
    <row r="47" spans="1:29" ht="15" thickBot="1">
      <c r="A47" s="423" t="s">
        <v>1793</v>
      </c>
      <c r="B47" s="603"/>
      <c r="C47" s="426">
        <f>R48</f>
        <v>16065</v>
      </c>
      <c r="D47" s="2140" t="s">
        <v>2138</v>
      </c>
      <c r="E47" s="426">
        <f>R47</f>
        <v>14650</v>
      </c>
      <c r="F47" s="2141"/>
      <c r="G47" s="425">
        <f>T47</f>
        <v>17118</v>
      </c>
      <c r="H47" s="2141"/>
      <c r="I47" s="426">
        <f>V47</f>
        <v>16427</v>
      </c>
      <c r="J47" s="2141"/>
      <c r="K47" s="2143">
        <f>F47+H47+J47</f>
        <v>0</v>
      </c>
      <c r="L47" s="2489"/>
      <c r="M47" s="2482"/>
      <c r="N47" s="2482"/>
      <c r="O47" s="2482"/>
      <c r="P47" s="3389" t="str">
        <f>A47</f>
        <v>比较价值（元/平方米）</v>
      </c>
      <c r="Q47" s="3389"/>
      <c r="R47" s="3382">
        <f>ROUND(PRODUCT(R46,AA7:AA45),0)</f>
        <v>14650</v>
      </c>
      <c r="S47" s="3382"/>
      <c r="T47" s="3382">
        <f>ROUND(PRODUCT(T46,AB7:AB45),0)</f>
        <v>17118</v>
      </c>
      <c r="U47" s="3382"/>
      <c r="V47" s="3382">
        <f>ROUND(PRODUCT(V46,AC7:AC45),0)</f>
        <v>16427</v>
      </c>
      <c r="W47" s="3382"/>
      <c r="X47" s="385"/>
      <c r="Y47" s="385"/>
      <c r="Z47" s="385"/>
      <c r="AA47" s="385"/>
      <c r="AB47" s="385"/>
      <c r="AC47" s="385"/>
    </row>
    <row r="48" spans="1:29" ht="15" thickBot="1">
      <c r="A48" s="427" t="s">
        <v>1880</v>
      </c>
      <c r="B48" s="428"/>
      <c r="C48" s="429">
        <f>R48</f>
        <v>16065</v>
      </c>
      <c r="D48" s="429"/>
      <c r="E48" s="429"/>
      <c r="F48" s="429"/>
      <c r="G48" s="429"/>
      <c r="H48" s="429"/>
      <c r="I48" s="429"/>
      <c r="J48" s="429"/>
      <c r="K48" s="675"/>
      <c r="L48" s="2489"/>
      <c r="M48" s="2482"/>
      <c r="N48" s="2482"/>
      <c r="O48" s="2482"/>
      <c r="P48" s="3383" t="str">
        <f>A48</f>
        <v>估价对象XX用房的比较价值（楼面单价，元/平方米）</v>
      </c>
      <c r="Q48" s="3384"/>
      <c r="R48" s="3385">
        <f>ROUND(IF(D47="简单平均",AVERAGE(R47:W47),R47*F47+T47*H47+V47*J47),0)</f>
        <v>16065</v>
      </c>
      <c r="S48" s="3385"/>
      <c r="T48" s="3385"/>
      <c r="U48" s="3385"/>
      <c r="V48" s="3385"/>
      <c r="W48" s="3385"/>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f>IF(E46&lt;E47,E47/E46-1,E46/E47-1)</f>
        <v>1.1321275714482937E-2</v>
      </c>
      <c r="F51" s="435" t="str">
        <f>IF(OR(E51&gt;=0.3,E51&lt;=-0.3),"超过30%","")</f>
        <v/>
      </c>
      <c r="G51" s="434">
        <f>IF(G46&lt;G47,G47/G46-1,G46/G47-1)</f>
        <v>8.2135763523776051E-2</v>
      </c>
      <c r="H51" s="435" t="str">
        <f>IF(OR(G51&gt;=0.3,G51&lt;=-0.3),"超过30%","")</f>
        <v/>
      </c>
      <c r="I51" s="434">
        <f>IF(I46&lt;I47,I47/I46-1,I46/I47-1)</f>
        <v>0.18134778109210448</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f>IF(E47&lt;G47,G47/E47-1,E47/G47-1)</f>
        <v>0.16846416382252549</v>
      </c>
      <c r="F52" s="435" t="str">
        <f>IF(OR(E52&gt;=0.2,E52&lt;=-0.2),"超过20%","")</f>
        <v/>
      </c>
      <c r="G52" s="434">
        <f>IF(G47&lt;I47,I47/G47-1,G47/I47-1)</f>
        <v>4.2064893163693995E-2</v>
      </c>
      <c r="H52" s="435" t="str">
        <f>IF(OR(G52&gt;=0.2,G52&lt;=-0.2),"超过20%","")</f>
        <v/>
      </c>
      <c r="I52" s="434">
        <f>IF(I47&lt;E47,E47/I47-1,I47/E47-1)</f>
        <v>0.12129692832764505</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f>IF(E46&lt;G46,G46/E46-1,E46/G46-1)</f>
        <v>0.27875189838464731</v>
      </c>
      <c r="F53" s="435" t="str">
        <f>IF(OR(E53&gt;=0.3,E53&lt;=-0.3),"超过30%","")</f>
        <v/>
      </c>
      <c r="G53" s="434">
        <f>IF(G46&lt;I46,I46/G46-1,G46/I46-1)</f>
        <v>4.761390628373996E-2</v>
      </c>
      <c r="H53" s="435" t="str">
        <f>IF(OR(G53&gt;=0.3,G53&lt;=-0.3),"超过30%","")</f>
        <v/>
      </c>
      <c r="I53" s="434">
        <f>IF(I46&lt;E46,E46/I46-1,I46/E46-1)</f>
        <v>0.33963827143448855</v>
      </c>
      <c r="J53" s="435" t="str">
        <f>IF(OR(I53&gt;=0.3,I53&lt;=-0.3),"超过30%","")</f>
        <v>超过30%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0" t="s">
        <v>1883</v>
      </c>
      <c r="D55" s="1831" t="s">
        <v>1884</v>
      </c>
      <c r="E55" s="606" t="s">
        <v>1885</v>
      </c>
      <c r="F55" s="836" t="s">
        <v>1886</v>
      </c>
      <c r="G55" s="3386" t="s">
        <v>1887</v>
      </c>
      <c r="H55" s="3387"/>
      <c r="I55" s="127" t="s">
        <v>1888</v>
      </c>
      <c r="J55" s="1832">
        <f>项目基本情况!F35</f>
        <v>0</v>
      </c>
      <c r="K55" s="1833"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f>C48</f>
        <v>16065</v>
      </c>
      <c r="C56" s="610">
        <v>1</v>
      </c>
      <c r="D56" s="889">
        <v>1</v>
      </c>
      <c r="E56" s="610">
        <f>'数据-汇总表'!E8+'数据-汇总表'!E9</f>
        <v>36485.100000000202</v>
      </c>
      <c r="F56" s="832">
        <f t="shared" ref="F56:F64" si="15">ROUND(B56*E56/10000,0)</f>
        <v>58613</v>
      </c>
      <c r="G56" s="3388"/>
      <c r="H56" s="3389"/>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f>ROUND($C$48*C57*D57,0)</f>
        <v>2410</v>
      </c>
      <c r="C57" s="163">
        <f t="shared" ref="C57:C64" si="16">IF($C$55="北京市系数",I57,J57)</f>
        <v>0.6</v>
      </c>
      <c r="D57" s="890">
        <v>0.25</v>
      </c>
      <c r="E57" s="614">
        <f>'数据-汇总表'!G21</f>
        <v>1236.5999999999999</v>
      </c>
      <c r="F57" s="832">
        <f t="shared" si="15"/>
        <v>298</v>
      </c>
      <c r="G57" s="2745" t="s">
        <v>1892</v>
      </c>
      <c r="H57" s="833" t="str">
        <f>项目基本情况!B37</f>
        <v>七级</v>
      </c>
      <c r="I57" s="837">
        <f>SUMIF(修正!A59:A70,H57,修正!B59:B70)</f>
        <v>0.6</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f t="shared" ref="B58:B64" si="17">ROUND($C$48*C58*D58,0)</f>
        <v>1205</v>
      </c>
      <c r="C58" s="163">
        <f t="shared" si="16"/>
        <v>0.3</v>
      </c>
      <c r="D58" s="890">
        <v>0.25</v>
      </c>
      <c r="E58" s="614"/>
      <c r="F58" s="832">
        <f t="shared" si="15"/>
        <v>0</v>
      </c>
      <c r="G58" s="2746"/>
      <c r="H58" s="833" t="str">
        <f>项目基本情况!B37</f>
        <v>七级</v>
      </c>
      <c r="I58" s="837">
        <f>SUMIF(修正!A59:A70,H58,修正!C59:C70)</f>
        <v>0.3</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f t="shared" si="17"/>
        <v>1004</v>
      </c>
      <c r="C59" s="163">
        <f t="shared" si="16"/>
        <v>0.25</v>
      </c>
      <c r="D59" s="890">
        <v>0.25</v>
      </c>
      <c r="E59" s="614"/>
      <c r="F59" s="832">
        <f t="shared" si="15"/>
        <v>0</v>
      </c>
      <c r="G59" s="2746"/>
      <c r="H59" s="833" t="str">
        <f>项目基本情况!B37</f>
        <v>七级</v>
      </c>
      <c r="I59" s="837">
        <f>SUMIF(修正!A59:A70,H59,修正!D59:D70)</f>
        <v>0.25</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f t="shared" si="17"/>
        <v>1004</v>
      </c>
      <c r="C60" s="163">
        <f t="shared" si="16"/>
        <v>0.25</v>
      </c>
      <c r="D60" s="890">
        <v>0.25</v>
      </c>
      <c r="E60" s="209">
        <f>'数据-汇总表'!E11</f>
        <v>0</v>
      </c>
      <c r="F60" s="832">
        <f t="shared" si="15"/>
        <v>0</v>
      </c>
      <c r="G60" s="1834" t="s">
        <v>1896</v>
      </c>
      <c r="H60" s="833" t="str">
        <f>项目基本情况!C37</f>
        <v>七级</v>
      </c>
      <c r="I60" s="837">
        <f>SUMIF(修正!A59:A70,H60,修正!E59:E70)</f>
        <v>0.25</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f t="shared" si="17"/>
        <v>1004</v>
      </c>
      <c r="C61" s="163">
        <f t="shared" si="16"/>
        <v>0.25</v>
      </c>
      <c r="D61" s="890">
        <v>0.25</v>
      </c>
      <c r="E61" s="209">
        <f>'数据-汇总表'!E12</f>
        <v>0</v>
      </c>
      <c r="F61" s="832">
        <f t="shared" si="15"/>
        <v>0</v>
      </c>
      <c r="G61" s="838" t="s">
        <v>1898</v>
      </c>
      <c r="H61" s="833" t="str">
        <f>IF(G61="商业",项目基本情况!B37,IF(G61="办公",项目基本情况!C37,IF(G61="住宅",项目基本情况!D37,项目基本情况!E37)))</f>
        <v>七级</v>
      </c>
      <c r="I61" s="837">
        <f>SUMIF(修正!A59:A70,H61,修正!F59:F70)</f>
        <v>0.25</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f t="shared" si="17"/>
        <v>602</v>
      </c>
      <c r="C62" s="163">
        <f t="shared" si="16"/>
        <v>0.15</v>
      </c>
      <c r="D62" s="890">
        <v>0.25</v>
      </c>
      <c r="E62" s="209">
        <f>'数据-汇总表'!E13</f>
        <v>4935.5300000000207</v>
      </c>
      <c r="F62" s="832">
        <f t="shared" si="15"/>
        <v>297</v>
      </c>
      <c r="G62" s="838" t="s">
        <v>1900</v>
      </c>
      <c r="H62" s="833" t="str">
        <f>IF(G62="商业",项目基本情况!B37,IF(G62="办公",项目基本情况!C37,IF(G62="住宅",项目基本情况!D37,项目基本情况!E37)))</f>
        <v>七级</v>
      </c>
      <c r="I62" s="837">
        <f>SUMIF(修正!A59:A70,H62,修正!G59:G70)</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f t="shared" si="17"/>
        <v>602</v>
      </c>
      <c r="C63" s="163">
        <f t="shared" si="16"/>
        <v>0.15</v>
      </c>
      <c r="D63" s="890">
        <v>0.25</v>
      </c>
      <c r="E63" s="209">
        <f>'数据-汇总表'!E14</f>
        <v>0</v>
      </c>
      <c r="F63" s="832">
        <f t="shared" si="15"/>
        <v>0</v>
      </c>
      <c r="G63" s="1834" t="s">
        <v>1892</v>
      </c>
      <c r="H63" s="833" t="str">
        <f>项目基本情况!B37</f>
        <v>七级</v>
      </c>
      <c r="I63" s="837">
        <f>SUMIF(修正!A59:A70,H63,修正!G59:G70)</f>
        <v>0.15</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1902</v>
      </c>
      <c r="B64" s="210">
        <f t="shared" si="17"/>
        <v>602</v>
      </c>
      <c r="C64" s="163">
        <f t="shared" si="16"/>
        <v>0.15</v>
      </c>
      <c r="D64" s="890">
        <v>0.25</v>
      </c>
      <c r="E64" s="209">
        <f>'数据-汇总表'!E15</f>
        <v>0</v>
      </c>
      <c r="F64" s="832">
        <f t="shared" si="15"/>
        <v>0</v>
      </c>
      <c r="G64" s="1835" t="s">
        <v>1896</v>
      </c>
      <c r="H64" s="843" t="str">
        <f>项目基本情况!C37</f>
        <v>七级</v>
      </c>
      <c r="I64" s="839">
        <f>SUMIF(修正!A59:A70,H64,修正!G59:G70)</f>
        <v>0.15</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1903</v>
      </c>
      <c r="B65" s="616" t="s">
        <v>22</v>
      </c>
      <c r="C65" s="616" t="s">
        <v>23</v>
      </c>
      <c r="D65" s="616" t="s">
        <v>392</v>
      </c>
      <c r="E65" s="616">
        <f>IF(B46="楼面地价",SUM(E56:E64),'数据-汇总表'!D3)</f>
        <v>42657.230000000221</v>
      </c>
      <c r="F65" s="617">
        <f>IF(B46="楼面地价",SUM(F56:F64),ROUND(C48*E65/10000,0))</f>
        <v>59208</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2"/>
      <c r="Q67" s="2482"/>
      <c r="R67" s="2482"/>
      <c r="S67" s="2482"/>
      <c r="T67" s="2482"/>
      <c r="U67" s="2482"/>
      <c r="V67" s="2482"/>
      <c r="W67" s="2482"/>
      <c r="X67" s="2482"/>
      <c r="Y67" s="2482"/>
      <c r="Z67" s="2482"/>
      <c r="AA67" s="2482"/>
      <c r="AB67" s="2482"/>
      <c r="AC67" s="2482"/>
    </row>
    <row r="68" spans="1:29" ht="22.2" thickBot="1">
      <c r="A68" s="658" t="s">
        <v>1798</v>
      </c>
      <c r="B68" s="385"/>
      <c r="C68" s="659"/>
      <c r="D68" s="659"/>
      <c r="E68" s="659"/>
      <c r="F68" s="660"/>
      <c r="G68" s="660"/>
      <c r="H68" s="659"/>
      <c r="I68" s="659"/>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2" customFormat="1" ht="14.4">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5"/>
      <c r="Q69" s="2505"/>
      <c r="R69" s="2505"/>
      <c r="S69" s="2505"/>
      <c r="T69" s="2505"/>
      <c r="U69" s="2505"/>
      <c r="V69" s="2505"/>
      <c r="W69" s="2505"/>
      <c r="X69" s="2505"/>
      <c r="Y69" s="2505"/>
      <c r="Z69" s="2505"/>
      <c r="AA69" s="2505"/>
      <c r="AB69" s="2505"/>
      <c r="AC69" s="2505"/>
    </row>
    <row r="70" spans="1:29" s="102" customFormat="1" ht="30" customHeight="1">
      <c r="A70" s="1836" t="s">
        <v>1905</v>
      </c>
      <c r="B70" s="280" t="str">
        <f>"北京市平均增长率"&amp;TEXT(SUMIF(基准地价修正!N25:N29,A70,基准地价修正!P25:P29),"0.00%")</f>
        <v>北京市平均增长率0.00%</v>
      </c>
      <c r="C70" s="530">
        <v>100</v>
      </c>
      <c r="D70" s="6">
        <v>100</v>
      </c>
      <c r="E70" s="6">
        <v>100</v>
      </c>
      <c r="F70" s="6">
        <v>100</v>
      </c>
      <c r="G70" s="6"/>
      <c r="H70" s="6"/>
      <c r="I70" s="6">
        <v>101</v>
      </c>
      <c r="J70" s="6">
        <v>102</v>
      </c>
      <c r="K70" s="6">
        <v>102</v>
      </c>
      <c r="L70" s="6">
        <v>102</v>
      </c>
      <c r="M70" s="1065">
        <v>102</v>
      </c>
      <c r="N70" s="6"/>
      <c r="O70" s="1097"/>
      <c r="P70" s="2503"/>
      <c r="Q70" s="2434"/>
      <c r="R70" s="2434"/>
      <c r="S70" s="2434"/>
      <c r="T70" s="2434"/>
      <c r="U70" s="2434"/>
      <c r="V70" s="2434"/>
      <c r="W70" s="2434"/>
      <c r="X70" s="2434"/>
      <c r="Y70" s="2434"/>
      <c r="Z70" s="2434"/>
      <c r="AA70" s="2434"/>
      <c r="AB70" s="2434"/>
      <c r="AC70" s="2434"/>
    </row>
    <row r="71" spans="1:29" s="102" customFormat="1" ht="15" thickBot="1">
      <c r="A71" s="449" t="s">
        <v>1716</v>
      </c>
      <c r="B71" s="450"/>
      <c r="C71" s="451"/>
      <c r="D71" s="452"/>
      <c r="E71" s="452"/>
      <c r="F71" s="452"/>
      <c r="G71" s="452"/>
      <c r="H71" s="452"/>
      <c r="I71" s="452"/>
      <c r="J71" s="452"/>
      <c r="K71" s="452"/>
      <c r="L71" s="452"/>
      <c r="M71" s="453"/>
      <c r="N71" s="452"/>
      <c r="O71" s="888"/>
      <c r="P71" s="2503"/>
      <c r="Q71" s="2503"/>
      <c r="R71" s="2434"/>
      <c r="S71" s="2434"/>
      <c r="T71" s="2434"/>
      <c r="U71" s="2434"/>
      <c r="V71" s="2434"/>
      <c r="W71" s="2434"/>
      <c r="X71" s="2434"/>
      <c r="Y71" s="2434"/>
      <c r="Z71" s="2434"/>
      <c r="AA71" s="2434"/>
      <c r="AB71" s="2434"/>
      <c r="AC71" s="2434"/>
    </row>
    <row r="72" spans="1:29" s="102" customFormat="1" ht="14.4">
      <c r="A72" s="455" t="s">
        <v>1681</v>
      </c>
      <c r="B72" s="444"/>
      <c r="C72" s="456" t="s">
        <v>1776</v>
      </c>
      <c r="D72" s="31"/>
      <c r="E72" s="31"/>
      <c r="F72" s="31"/>
      <c r="G72" s="31"/>
      <c r="H72" s="31"/>
      <c r="I72" s="31"/>
      <c r="J72" s="31"/>
      <c r="K72" s="31"/>
      <c r="L72" s="457"/>
      <c r="M72" s="458"/>
      <c r="N72" s="2515"/>
      <c r="O72" s="2515"/>
      <c r="P72" s="2539"/>
      <c r="Q72" s="2503"/>
      <c r="R72" s="2434"/>
      <c r="S72" s="2434"/>
      <c r="T72" s="2434"/>
      <c r="U72" s="2434"/>
      <c r="V72" s="2434"/>
      <c r="W72" s="2434"/>
      <c r="X72" s="2434"/>
      <c r="Y72" s="2434"/>
      <c r="Z72" s="2434"/>
      <c r="AA72" s="2434"/>
      <c r="AB72" s="2434"/>
      <c r="AC72" s="2434"/>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4"/>
      <c r="S73" s="2434"/>
      <c r="T73" s="2434"/>
      <c r="U73" s="2434"/>
      <c r="V73" s="2434"/>
      <c r="W73" s="2434"/>
      <c r="X73" s="2434"/>
      <c r="Y73" s="2434"/>
      <c r="Z73" s="2434"/>
      <c r="AA73" s="2434"/>
      <c r="AB73" s="2434"/>
      <c r="AC73" s="2434"/>
    </row>
    <row r="74" spans="1:29" ht="14.4">
      <c r="A74" s="379" t="s">
        <v>1719</v>
      </c>
      <c r="B74" s="460" t="s">
        <v>1685</v>
      </c>
      <c r="C74" s="3180" t="s">
        <v>308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0（含）-0.5</v>
      </c>
      <c r="D78" s="478" t="str">
        <f t="shared" ref="D78:L78" si="20">D79&amp;"（含）"&amp;"-"&amp;E79</f>
        <v>0.5（含）-1</v>
      </c>
      <c r="E78" s="478" t="str">
        <f t="shared" si="20"/>
        <v>1（含）-1.5</v>
      </c>
      <c r="F78" s="478" t="str">
        <f t="shared" si="20"/>
        <v>1.5（含）-2</v>
      </c>
      <c r="G78" s="478" t="str">
        <f t="shared" si="20"/>
        <v>2（含）-2.5</v>
      </c>
      <c r="H78" s="478" t="str">
        <f t="shared" si="20"/>
        <v>2.5（含）-3</v>
      </c>
      <c r="I78" s="478" t="str">
        <f t="shared" si="20"/>
        <v>3（含）-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v>0</v>
      </c>
      <c r="D79" s="480">
        <v>0.5</v>
      </c>
      <c r="E79" s="480">
        <v>1</v>
      </c>
      <c r="F79" s="480">
        <v>1.5</v>
      </c>
      <c r="G79" s="480">
        <v>2</v>
      </c>
      <c r="H79" s="480">
        <v>2.5</v>
      </c>
      <c r="I79" s="480">
        <v>3</v>
      </c>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99</v>
      </c>
      <c r="E80" s="475">
        <f t="shared" si="21"/>
        <v>98</v>
      </c>
      <c r="F80" s="475">
        <f t="shared" si="21"/>
        <v>97</v>
      </c>
      <c r="G80" s="475">
        <f t="shared" si="21"/>
        <v>96</v>
      </c>
      <c r="H80" s="475">
        <f t="shared" si="21"/>
        <v>95</v>
      </c>
      <c r="I80" s="475">
        <f t="shared" si="21"/>
        <v>94</v>
      </c>
      <c r="J80" s="475">
        <f t="shared" si="21"/>
        <v>93</v>
      </c>
      <c r="K80" s="475">
        <f t="shared" si="21"/>
        <v>92</v>
      </c>
      <c r="L80" s="475">
        <f t="shared" si="21"/>
        <v>91</v>
      </c>
      <c r="M80" s="475">
        <f t="shared" si="21"/>
        <v>90</v>
      </c>
      <c r="N80" s="2517"/>
      <c r="O80" s="2517"/>
      <c r="P80" s="2515"/>
      <c r="Q80" s="2503"/>
      <c r="R80" s="2482"/>
      <c r="S80" s="2482"/>
      <c r="T80" s="2482"/>
      <c r="U80" s="2482"/>
      <c r="V80" s="2482"/>
      <c r="W80" s="2482"/>
      <c r="X80" s="2482"/>
      <c r="Y80" s="2482"/>
      <c r="Z80" s="2482"/>
      <c r="AA80" s="2482"/>
      <c r="AB80" s="2482"/>
      <c r="AC80" s="2482"/>
    </row>
    <row r="81" spans="1:29" s="408" customFormat="1" ht="15" thickTop="1">
      <c r="A81" s="484"/>
      <c r="B81" s="469" t="str">
        <f>B12</f>
        <v>配建</v>
      </c>
      <c r="C81" s="3181" t="s">
        <v>3527</v>
      </c>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v>100</v>
      </c>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97</v>
      </c>
      <c r="E88" s="475">
        <f>D88-$K15</f>
        <v>94</v>
      </c>
      <c r="F88" s="475">
        <f>E88-$K15</f>
        <v>91</v>
      </c>
      <c r="G88" s="475">
        <f>F88-$K15</f>
        <v>88</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4"/>
      <c r="S95" s="2434"/>
      <c r="T95" s="2434"/>
      <c r="U95" s="2434"/>
      <c r="V95" s="2434"/>
      <c r="W95" s="2434"/>
      <c r="X95" s="2434"/>
      <c r="Y95" s="2434"/>
      <c r="Z95" s="2434"/>
      <c r="AA95" s="2434"/>
      <c r="AB95" s="2434"/>
      <c r="AC95" s="2434"/>
    </row>
    <row r="96" spans="1:29" s="102" customFormat="1" ht="14.4"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4"/>
      <c r="S96" s="2434"/>
      <c r="T96" s="2434"/>
      <c r="U96" s="2434"/>
      <c r="V96" s="2434"/>
      <c r="W96" s="2434"/>
      <c r="X96" s="2434"/>
      <c r="Y96" s="2434"/>
      <c r="Z96" s="2434"/>
      <c r="AA96" s="2434"/>
      <c r="AB96" s="2434"/>
      <c r="AC96" s="2434"/>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4"/>
      <c r="S97" s="2434"/>
      <c r="T97" s="2434"/>
      <c r="U97" s="2434"/>
      <c r="V97" s="2434"/>
      <c r="W97" s="2434"/>
      <c r="X97" s="2434"/>
      <c r="Y97" s="2434"/>
      <c r="Z97" s="2434"/>
      <c r="AA97" s="2434"/>
      <c r="AB97" s="2434"/>
      <c r="AC97" s="2434"/>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17"/>
      <c r="O98" s="2517"/>
      <c r="P98" s="2515"/>
      <c r="Q98" s="2503"/>
      <c r="R98" s="2434"/>
      <c r="S98" s="2434"/>
      <c r="T98" s="2434"/>
      <c r="U98" s="2434"/>
      <c r="V98" s="2434"/>
      <c r="W98" s="2434"/>
      <c r="X98" s="2434"/>
      <c r="Y98" s="2434"/>
      <c r="Z98" s="2434"/>
      <c r="AA98" s="2434"/>
      <c r="AB98" s="2434"/>
      <c r="AC98" s="2434"/>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4"/>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7.6">
      <c r="A115" s="379" t="s">
        <v>1694</v>
      </c>
      <c r="B115" s="460" t="s">
        <v>1913</v>
      </c>
      <c r="C115" s="461" t="str">
        <f>C116&amp;"(含)"&amp;"-"&amp;D116</f>
        <v>0(含)-20000</v>
      </c>
      <c r="D115" s="461" t="str">
        <f t="shared" ref="D115:M115" si="25">D116&amp;"(含)"&amp;"-"&amp;E116</f>
        <v>20000(含)-40000</v>
      </c>
      <c r="E115" s="461" t="str">
        <f t="shared" si="25"/>
        <v>40000(含)-80000</v>
      </c>
      <c r="F115" s="461" t="str">
        <f t="shared" si="25"/>
        <v>80000(含)-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v>0</v>
      </c>
      <c r="D116" s="6">
        <v>20000</v>
      </c>
      <c r="E116" s="6">
        <v>40000</v>
      </c>
      <c r="F116" s="6">
        <v>80000</v>
      </c>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v>100</v>
      </c>
      <c r="D117" s="521">
        <f>C117+2</f>
        <v>102</v>
      </c>
      <c r="E117" s="521">
        <f t="shared" ref="E117:F117" si="26">D117+2</f>
        <v>104</v>
      </c>
      <c r="F117" s="521">
        <f t="shared" si="26"/>
        <v>106</v>
      </c>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1914</v>
      </c>
      <c r="C118" s="3182" t="s">
        <v>3528</v>
      </c>
      <c r="D118" s="3182" t="s">
        <v>3529</v>
      </c>
      <c r="E118" s="3182" t="s">
        <v>3530</v>
      </c>
      <c r="F118" s="3182" t="s">
        <v>3531</v>
      </c>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7">C119-$K39</f>
        <v>96</v>
      </c>
      <c r="E119" s="475">
        <f t="shared" si="27"/>
        <v>92</v>
      </c>
      <c r="F119" s="475">
        <f t="shared" si="27"/>
        <v>88</v>
      </c>
      <c r="G119" s="475">
        <f t="shared" si="27"/>
        <v>84</v>
      </c>
      <c r="H119" s="475">
        <f t="shared" si="27"/>
        <v>80</v>
      </c>
      <c r="I119" s="475">
        <f t="shared" si="27"/>
        <v>76</v>
      </c>
      <c r="J119" s="475">
        <f t="shared" si="27"/>
        <v>72</v>
      </c>
      <c r="K119" s="475">
        <f t="shared" si="27"/>
        <v>68</v>
      </c>
      <c r="L119" s="475">
        <f t="shared" si="27"/>
        <v>64</v>
      </c>
      <c r="M119" s="476">
        <f t="shared" si="27"/>
        <v>60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1915</v>
      </c>
      <c r="C120" s="3183" t="str">
        <f>C99</f>
        <v>好</v>
      </c>
      <c r="D120" s="3183" t="str">
        <f>D99</f>
        <v>较好</v>
      </c>
      <c r="E120" s="3183" t="str">
        <f>E99</f>
        <v>一般</v>
      </c>
      <c r="F120" s="3183" t="str">
        <f>F99</f>
        <v>较差</v>
      </c>
      <c r="G120" s="3183" t="str">
        <f>G99</f>
        <v>差</v>
      </c>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3183" t="str">
        <f>C101</f>
        <v>七通</v>
      </c>
      <c r="D122" s="3183" t="str">
        <f>D101</f>
        <v>六通</v>
      </c>
      <c r="E122" s="3183" t="str">
        <f>E101</f>
        <v>五通</v>
      </c>
      <c r="F122" s="3183" t="str">
        <f>F101</f>
        <v>四通</v>
      </c>
      <c r="G122" s="3183" t="str">
        <f>G101</f>
        <v>三通</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1917</v>
      </c>
      <c r="C124" s="485" t="str">
        <f>C99</f>
        <v>好</v>
      </c>
      <c r="D124" s="485" t="str">
        <f>D99</f>
        <v>较好</v>
      </c>
      <c r="E124" s="485" t="str">
        <f>E99</f>
        <v>一般</v>
      </c>
      <c r="F124" s="485" t="str">
        <f>F99</f>
        <v>较差</v>
      </c>
      <c r="G124" s="485" t="str">
        <f>G99</f>
        <v>差</v>
      </c>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04321-8D03-440A-92A2-EF2FA93956D2}">
  <dimension ref="A1:Y11"/>
  <sheetViews>
    <sheetView topLeftCell="C1" workbookViewId="0">
      <selection activeCell="I17" sqref="I17"/>
    </sheetView>
  </sheetViews>
  <sheetFormatPr defaultRowHeight="14.4"/>
  <cols>
    <col min="1" max="16384" width="8.88671875" style="3179"/>
  </cols>
  <sheetData>
    <row r="1" spans="1:25" s="3176" customFormat="1">
      <c r="A1" s="3176" t="s">
        <v>3421</v>
      </c>
      <c r="B1" s="3176" t="s">
        <v>3422</v>
      </c>
      <c r="C1" s="3176" t="s">
        <v>3423</v>
      </c>
      <c r="D1" s="3176" t="s">
        <v>3424</v>
      </c>
      <c r="E1" s="3176" t="s">
        <v>3425</v>
      </c>
      <c r="F1" s="3176" t="s">
        <v>3426</v>
      </c>
      <c r="G1" s="3176" t="s">
        <v>3427</v>
      </c>
      <c r="H1" s="3176" t="s">
        <v>3428</v>
      </c>
      <c r="I1" s="3176" t="s">
        <v>3429</v>
      </c>
      <c r="J1" s="3176" t="s">
        <v>3430</v>
      </c>
      <c r="K1" s="3176" t="s">
        <v>3431</v>
      </c>
      <c r="L1" s="3176" t="s">
        <v>3432</v>
      </c>
      <c r="M1" s="3176" t="s">
        <v>3433</v>
      </c>
      <c r="N1" s="3176" t="s">
        <v>3434</v>
      </c>
      <c r="O1" s="3176" t="s">
        <v>3435</v>
      </c>
      <c r="P1" s="3176" t="s">
        <v>3436</v>
      </c>
      <c r="Q1" s="3176" t="s">
        <v>3437</v>
      </c>
      <c r="R1" s="3176" t="s">
        <v>3438</v>
      </c>
      <c r="S1" s="3176" t="s">
        <v>3439</v>
      </c>
      <c r="T1" s="3176" t="s">
        <v>3440</v>
      </c>
      <c r="U1" s="3176" t="s">
        <v>3441</v>
      </c>
      <c r="V1" s="3176" t="s">
        <v>3442</v>
      </c>
      <c r="W1" s="3176" t="s">
        <v>3443</v>
      </c>
      <c r="X1" s="3176" t="s">
        <v>3444</v>
      </c>
      <c r="Y1" s="3176" t="s">
        <v>3445</v>
      </c>
    </row>
    <row r="2" spans="1:25" s="3176" customFormat="1">
      <c r="A2" s="3176" t="s">
        <v>3446</v>
      </c>
      <c r="B2" s="3176" t="s">
        <v>3447</v>
      </c>
      <c r="C2" s="3176" t="s">
        <v>3448</v>
      </c>
      <c r="D2" s="3176">
        <v>170374.25</v>
      </c>
      <c r="E2" s="3176">
        <v>172077.99</v>
      </c>
      <c r="F2" s="3176" t="s">
        <v>3449</v>
      </c>
      <c r="G2" s="3176" t="s">
        <v>3450</v>
      </c>
      <c r="H2" s="3176" t="s">
        <v>3451</v>
      </c>
      <c r="I2" s="3176" t="s">
        <v>3452</v>
      </c>
      <c r="J2" s="3176" t="s">
        <v>3453</v>
      </c>
      <c r="K2" s="3176" t="s">
        <v>3454</v>
      </c>
      <c r="L2" s="3176" t="s">
        <v>3455</v>
      </c>
      <c r="M2" s="3176" t="s">
        <v>3456</v>
      </c>
      <c r="N2" s="3176">
        <v>602400</v>
      </c>
      <c r="O2" s="3176">
        <v>35357.449999999997</v>
      </c>
      <c r="P2" s="3176">
        <v>2357.16</v>
      </c>
      <c r="Q2" s="3176">
        <v>35007</v>
      </c>
      <c r="R2" s="3176" t="s">
        <v>3453</v>
      </c>
      <c r="S2" s="3176">
        <v>0</v>
      </c>
      <c r="T2" s="3176" t="s">
        <v>3453</v>
      </c>
      <c r="U2" s="3176" t="s">
        <v>3453</v>
      </c>
      <c r="V2" s="3176" t="s">
        <v>3453</v>
      </c>
      <c r="W2" s="3176" t="s">
        <v>3453</v>
      </c>
      <c r="X2" s="3176" t="s">
        <v>3457</v>
      </c>
      <c r="Y2" s="3176" t="s">
        <v>3453</v>
      </c>
    </row>
    <row r="3" spans="1:25" s="3177" customFormat="1">
      <c r="A3" s="3177" t="s">
        <v>3458</v>
      </c>
      <c r="B3" s="3177" t="s">
        <v>3459</v>
      </c>
      <c r="C3" s="3177" t="s">
        <v>3460</v>
      </c>
      <c r="D3" s="3177">
        <v>77269.84</v>
      </c>
      <c r="E3" s="3177">
        <v>133976.35</v>
      </c>
      <c r="F3" s="3177" t="s">
        <v>3449</v>
      </c>
      <c r="G3" s="3177" t="s">
        <v>3461</v>
      </c>
      <c r="H3" s="3177" t="s">
        <v>3462</v>
      </c>
      <c r="I3" s="3177" t="s">
        <v>3452</v>
      </c>
      <c r="J3" s="3177" t="s">
        <v>3453</v>
      </c>
      <c r="K3" s="3177" t="s">
        <v>3463</v>
      </c>
      <c r="L3" s="3177" t="s">
        <v>3455</v>
      </c>
      <c r="M3" s="3177" t="s">
        <v>3464</v>
      </c>
      <c r="N3" s="3177">
        <v>260000</v>
      </c>
      <c r="O3" s="3177">
        <v>33648.31</v>
      </c>
      <c r="P3" s="3177">
        <v>2243.2199999999998</v>
      </c>
      <c r="Q3" s="3177">
        <v>19406</v>
      </c>
      <c r="R3" s="3177" t="s">
        <v>3453</v>
      </c>
      <c r="S3" s="3177">
        <v>0</v>
      </c>
      <c r="T3" s="3177" t="s">
        <v>3453</v>
      </c>
      <c r="U3" s="3177" t="s">
        <v>3453</v>
      </c>
      <c r="V3" s="3177" t="s">
        <v>3453</v>
      </c>
      <c r="W3" s="3177" t="s">
        <v>3453</v>
      </c>
      <c r="X3" s="3177" t="s">
        <v>3465</v>
      </c>
      <c r="Y3" s="3177" t="s">
        <v>3453</v>
      </c>
    </row>
    <row r="4" spans="1:25" s="3176" customFormat="1">
      <c r="A4" s="3176" t="s">
        <v>3466</v>
      </c>
      <c r="B4" s="3176" t="s">
        <v>3467</v>
      </c>
      <c r="C4" s="3176" t="s">
        <v>3468</v>
      </c>
      <c r="D4" s="3176">
        <v>171090.53</v>
      </c>
      <c r="E4" s="3176">
        <v>185879.6</v>
      </c>
      <c r="F4" s="3176" t="s">
        <v>3469</v>
      </c>
      <c r="G4" s="3176" t="s">
        <v>3470</v>
      </c>
      <c r="H4" s="3176" t="s">
        <v>3471</v>
      </c>
      <c r="I4" s="3176" t="s">
        <v>3452</v>
      </c>
      <c r="J4" s="3176" t="s">
        <v>3453</v>
      </c>
      <c r="K4" s="3176" t="s">
        <v>3472</v>
      </c>
      <c r="L4" s="3176" t="s">
        <v>3455</v>
      </c>
      <c r="M4" s="3176" t="s">
        <v>3473</v>
      </c>
      <c r="N4" s="3176">
        <v>432000</v>
      </c>
      <c r="O4" s="3176">
        <v>25249.79</v>
      </c>
      <c r="P4" s="3176">
        <v>1683.32</v>
      </c>
      <c r="Q4" s="3176">
        <v>23241</v>
      </c>
      <c r="R4" s="3176" t="s">
        <v>3453</v>
      </c>
      <c r="S4" s="3176">
        <v>0</v>
      </c>
      <c r="T4" s="3176">
        <v>496800</v>
      </c>
      <c r="U4" s="3176" t="s">
        <v>3474</v>
      </c>
      <c r="V4" s="3176" t="s">
        <v>3453</v>
      </c>
      <c r="W4" s="3176" t="s">
        <v>3453</v>
      </c>
      <c r="X4" s="3176" t="s">
        <v>3465</v>
      </c>
      <c r="Y4" s="3176" t="s">
        <v>3475</v>
      </c>
    </row>
    <row r="5" spans="1:25" s="3178" customFormat="1">
      <c r="A5" s="3178" t="s">
        <v>3476</v>
      </c>
      <c r="B5" s="3178" t="s">
        <v>3477</v>
      </c>
      <c r="C5" s="3178" t="s">
        <v>3478</v>
      </c>
      <c r="D5" s="3178">
        <v>50136.84</v>
      </c>
      <c r="E5" s="3178">
        <v>77018.94</v>
      </c>
      <c r="F5" s="3178" t="s">
        <v>3469</v>
      </c>
      <c r="G5" s="3178" t="s">
        <v>3461</v>
      </c>
      <c r="H5" s="3178" t="s">
        <v>3479</v>
      </c>
      <c r="I5" s="3178" t="s">
        <v>3452</v>
      </c>
      <c r="J5" s="3178" t="s">
        <v>3453</v>
      </c>
      <c r="K5" s="3178" t="s">
        <v>3480</v>
      </c>
      <c r="L5" s="3178" t="s">
        <v>3455</v>
      </c>
      <c r="M5" s="3178" t="s">
        <v>3481</v>
      </c>
      <c r="N5" s="3178">
        <v>119000</v>
      </c>
      <c r="O5" s="3178">
        <v>23735.040000000001</v>
      </c>
      <c r="P5" s="3178">
        <v>1582.34</v>
      </c>
      <c r="Q5" s="3178">
        <v>15451</v>
      </c>
      <c r="R5" s="3178" t="s">
        <v>3453</v>
      </c>
      <c r="S5" s="3178">
        <v>0</v>
      </c>
      <c r="T5" s="3178">
        <v>136850</v>
      </c>
      <c r="U5" s="3178" t="s">
        <v>3474</v>
      </c>
      <c r="V5" s="3178">
        <v>44000</v>
      </c>
      <c r="W5" s="3178">
        <v>44000</v>
      </c>
      <c r="X5" s="3178" t="s">
        <v>3465</v>
      </c>
      <c r="Y5" s="3178" t="s">
        <v>3482</v>
      </c>
    </row>
    <row r="6" spans="1:25" s="3177" customFormat="1">
      <c r="A6" s="3177" t="s">
        <v>3483</v>
      </c>
      <c r="B6" s="3177" t="s">
        <v>3484</v>
      </c>
      <c r="C6" s="3177" t="s">
        <v>3485</v>
      </c>
      <c r="D6" s="3177">
        <v>30551.17</v>
      </c>
      <c r="E6" s="3177">
        <v>42798.91</v>
      </c>
      <c r="F6" s="3177" t="s">
        <v>3469</v>
      </c>
      <c r="G6" s="3177" t="s">
        <v>3486</v>
      </c>
      <c r="H6" s="3177" t="s">
        <v>3487</v>
      </c>
      <c r="I6" s="3177" t="s">
        <v>3452</v>
      </c>
      <c r="J6" s="3177" t="s">
        <v>3453</v>
      </c>
      <c r="K6" s="3177" t="s">
        <v>3488</v>
      </c>
      <c r="L6" s="3177" t="s">
        <v>3455</v>
      </c>
      <c r="M6" s="3177" t="s">
        <v>3489</v>
      </c>
      <c r="N6" s="3177">
        <v>62000</v>
      </c>
      <c r="O6" s="3177">
        <v>20293.82</v>
      </c>
      <c r="P6" s="3177">
        <v>1352.92</v>
      </c>
      <c r="Q6" s="3177">
        <v>14486</v>
      </c>
      <c r="R6" s="3177" t="s">
        <v>3453</v>
      </c>
      <c r="S6" s="3177">
        <v>0</v>
      </c>
      <c r="T6" s="3177">
        <v>71300</v>
      </c>
      <c r="U6" s="3177" t="s">
        <v>3474</v>
      </c>
      <c r="V6" s="3177">
        <v>45000</v>
      </c>
      <c r="W6" s="3177">
        <v>45000</v>
      </c>
      <c r="X6" s="3177" t="s">
        <v>3490</v>
      </c>
      <c r="Y6" s="3177" t="s">
        <v>3491</v>
      </c>
    </row>
    <row r="7" spans="1:25" s="3176" customFormat="1">
      <c r="A7" s="3176" t="s">
        <v>3492</v>
      </c>
      <c r="B7" s="3176" t="s">
        <v>3493</v>
      </c>
      <c r="C7" s="3176" t="s">
        <v>3494</v>
      </c>
      <c r="D7" s="3176">
        <v>16909.86</v>
      </c>
      <c r="E7" s="3176">
        <v>33819.72</v>
      </c>
      <c r="F7" s="3176" t="s">
        <v>3449</v>
      </c>
      <c r="G7" s="3176" t="s">
        <v>3495</v>
      </c>
      <c r="H7" s="3176" t="s">
        <v>3496</v>
      </c>
      <c r="I7" s="3176" t="s">
        <v>3452</v>
      </c>
      <c r="J7" s="3176" t="s">
        <v>3453</v>
      </c>
      <c r="K7" s="3176" t="s">
        <v>3488</v>
      </c>
      <c r="L7" s="3176" t="s">
        <v>3455</v>
      </c>
      <c r="M7" s="3176" t="s">
        <v>3497</v>
      </c>
      <c r="N7" s="3176">
        <v>116725</v>
      </c>
      <c r="O7" s="3176">
        <v>69027.77</v>
      </c>
      <c r="P7" s="3176">
        <v>4601.8500000000004</v>
      </c>
      <c r="Q7" s="3176">
        <v>34514</v>
      </c>
      <c r="R7" s="3176" t="s">
        <v>3453</v>
      </c>
      <c r="S7" s="3176">
        <v>15</v>
      </c>
      <c r="T7" s="3176">
        <v>116725</v>
      </c>
      <c r="U7" s="3176" t="s">
        <v>3498</v>
      </c>
      <c r="V7" s="3176">
        <v>60000</v>
      </c>
      <c r="W7" s="3176">
        <v>60000</v>
      </c>
      <c r="X7" s="3176" t="s">
        <v>3457</v>
      </c>
      <c r="Y7" s="3176" t="s">
        <v>3499</v>
      </c>
    </row>
    <row r="8" spans="1:25" s="3176" customFormat="1">
      <c r="A8" s="3176" t="s">
        <v>3500</v>
      </c>
      <c r="B8" s="3176" t="s">
        <v>3501</v>
      </c>
      <c r="C8" s="3176" t="s">
        <v>3502</v>
      </c>
      <c r="D8" s="3176">
        <v>28400</v>
      </c>
      <c r="E8" s="3176">
        <v>56800</v>
      </c>
      <c r="F8" s="3176" t="s">
        <v>3449</v>
      </c>
      <c r="G8" s="3176" t="s">
        <v>3503</v>
      </c>
      <c r="H8" s="3176" t="s">
        <v>3496</v>
      </c>
      <c r="I8" s="3176" t="s">
        <v>3452</v>
      </c>
      <c r="J8" s="3176" t="s">
        <v>3453</v>
      </c>
      <c r="K8" s="3176" t="s">
        <v>3504</v>
      </c>
      <c r="L8" s="3176" t="s">
        <v>3455</v>
      </c>
      <c r="M8" s="3176" t="s">
        <v>3505</v>
      </c>
      <c r="N8" s="3176">
        <v>126000</v>
      </c>
      <c r="O8" s="3176">
        <v>44366.19</v>
      </c>
      <c r="P8" s="3176">
        <v>2957.75</v>
      </c>
      <c r="Q8" s="3176">
        <v>22183</v>
      </c>
      <c r="R8" s="3176" t="s">
        <v>3453</v>
      </c>
      <c r="S8" s="3176">
        <v>0</v>
      </c>
      <c r="T8" s="3176">
        <v>144900</v>
      </c>
      <c r="U8" s="3176" t="s">
        <v>3474</v>
      </c>
      <c r="V8" s="3176">
        <v>46000</v>
      </c>
      <c r="W8" s="3176">
        <v>46000</v>
      </c>
      <c r="X8" s="3176" t="s">
        <v>3465</v>
      </c>
      <c r="Y8" s="3176" t="s">
        <v>3506</v>
      </c>
    </row>
    <row r="9" spans="1:25" s="3177" customFormat="1">
      <c r="A9" s="3177" t="s">
        <v>3507</v>
      </c>
      <c r="B9" s="3177" t="s">
        <v>3508</v>
      </c>
      <c r="C9" s="3177" t="s">
        <v>3509</v>
      </c>
      <c r="D9" s="3177">
        <v>69893.14</v>
      </c>
      <c r="E9" s="3177">
        <v>107430.41</v>
      </c>
      <c r="F9" s="3177" t="s">
        <v>3469</v>
      </c>
      <c r="G9" s="3177" t="s">
        <v>3510</v>
      </c>
      <c r="H9" s="3177" t="s">
        <v>3511</v>
      </c>
      <c r="I9" s="3177" t="s">
        <v>3452</v>
      </c>
      <c r="J9" s="3177" t="s">
        <v>3453</v>
      </c>
      <c r="K9" s="3177" t="s">
        <v>3512</v>
      </c>
      <c r="L9" s="3177" t="s">
        <v>3455</v>
      </c>
      <c r="M9" s="3177" t="s">
        <v>3513</v>
      </c>
      <c r="N9" s="3177">
        <v>199000</v>
      </c>
      <c r="O9" s="3177">
        <v>28472.03</v>
      </c>
      <c r="P9" s="3177">
        <v>1898.14</v>
      </c>
      <c r="Q9" s="3177">
        <v>18524</v>
      </c>
      <c r="R9" s="3177" t="s">
        <v>3453</v>
      </c>
      <c r="S9" s="3177">
        <v>0</v>
      </c>
      <c r="T9" s="3177">
        <v>228850</v>
      </c>
      <c r="U9" s="3177" t="s">
        <v>3474</v>
      </c>
      <c r="V9" s="3177">
        <v>43000</v>
      </c>
      <c r="W9" s="3177">
        <v>43000</v>
      </c>
      <c r="X9" s="3177" t="s">
        <v>3465</v>
      </c>
      <c r="Y9" s="3177" t="s">
        <v>3514</v>
      </c>
    </row>
    <row r="10" spans="1:25" s="3176" customFormat="1">
      <c r="A10" s="3176" t="s">
        <v>3515</v>
      </c>
      <c r="B10" s="3176" t="s">
        <v>3501</v>
      </c>
      <c r="C10" s="3176" t="s">
        <v>3516</v>
      </c>
      <c r="D10" s="3176">
        <v>63203.19</v>
      </c>
      <c r="E10" s="3176">
        <v>107665.74</v>
      </c>
      <c r="F10" s="3176" t="s">
        <v>3469</v>
      </c>
      <c r="G10" s="3176" t="s">
        <v>3461</v>
      </c>
      <c r="H10" s="3176" t="s">
        <v>3517</v>
      </c>
      <c r="I10" s="3176" t="s">
        <v>3452</v>
      </c>
      <c r="J10" s="3176" t="s">
        <v>3453</v>
      </c>
      <c r="K10" s="3176" t="s">
        <v>3518</v>
      </c>
      <c r="L10" s="3176" t="s">
        <v>3455</v>
      </c>
      <c r="M10" s="3176" t="s">
        <v>3519</v>
      </c>
      <c r="N10" s="3176">
        <v>228200</v>
      </c>
      <c r="O10" s="3176">
        <v>36105.769999999997</v>
      </c>
      <c r="P10" s="3176">
        <v>2407.0500000000002</v>
      </c>
      <c r="Q10" s="3176">
        <v>21195</v>
      </c>
      <c r="R10" s="3176" t="s">
        <v>3453</v>
      </c>
      <c r="S10" s="3176">
        <v>0.53</v>
      </c>
      <c r="T10" s="3176">
        <v>261050</v>
      </c>
      <c r="U10" s="3176" t="s">
        <v>3474</v>
      </c>
      <c r="V10" s="3176">
        <v>46000</v>
      </c>
      <c r="W10" s="3176">
        <v>46000</v>
      </c>
      <c r="X10" s="3176" t="s">
        <v>3465</v>
      </c>
      <c r="Y10" s="3176" t="s">
        <v>3520</v>
      </c>
    </row>
    <row r="11" spans="1:25" s="3176" customFormat="1">
      <c r="A11" s="3176" t="s">
        <v>3521</v>
      </c>
      <c r="B11" s="3176" t="s">
        <v>3459</v>
      </c>
      <c r="C11" s="3176" t="s">
        <v>3522</v>
      </c>
      <c r="D11" s="3176">
        <v>20354.939999999999</v>
      </c>
      <c r="E11" s="3176">
        <v>47549.3</v>
      </c>
      <c r="F11" s="3176" t="s">
        <v>3449</v>
      </c>
      <c r="G11" s="3176" t="s">
        <v>3503</v>
      </c>
      <c r="H11" s="3176" t="s">
        <v>3523</v>
      </c>
      <c r="I11" s="3176" t="s">
        <v>3452</v>
      </c>
      <c r="J11" s="3176" t="s">
        <v>3453</v>
      </c>
      <c r="K11" s="3176" t="s">
        <v>3524</v>
      </c>
      <c r="L11" s="3176" t="s">
        <v>3455</v>
      </c>
      <c r="M11" s="3176" t="s">
        <v>3525</v>
      </c>
      <c r="N11" s="3176">
        <v>110400</v>
      </c>
      <c r="O11" s="3176">
        <v>54237.45</v>
      </c>
      <c r="P11" s="3176">
        <v>3615.83</v>
      </c>
      <c r="Q11" s="3176">
        <v>23218</v>
      </c>
      <c r="R11" s="3176" t="s">
        <v>3453</v>
      </c>
      <c r="S11" s="3176">
        <v>15</v>
      </c>
      <c r="T11" s="3176">
        <v>110400</v>
      </c>
      <c r="U11" s="3176" t="s">
        <v>3498</v>
      </c>
      <c r="V11" s="3176">
        <v>46000</v>
      </c>
      <c r="W11" s="3176">
        <v>46000</v>
      </c>
      <c r="X11" s="3176" t="s">
        <v>3465</v>
      </c>
      <c r="Y11" s="3176" t="s">
        <v>3526</v>
      </c>
    </row>
  </sheetData>
  <phoneticPr fontId="134" type="noConversion"/>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E21" sqref="E2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10</v>
      </c>
    </row>
    <row r="2" spans="1:9" s="192" customFormat="1" ht="18" customHeight="1">
      <c r="A2" s="193" t="s">
        <v>1462</v>
      </c>
      <c r="B2" s="194">
        <f ca="1">IF(D2="——",C52,C52-E2)</f>
        <v>102161</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23762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61728</v>
      </c>
      <c r="D5" s="203" t="s">
        <v>1469</v>
      </c>
      <c r="E5" s="204" t="s">
        <v>1470</v>
      </c>
      <c r="F5" s="204" t="s">
        <v>1471</v>
      </c>
      <c r="G5" s="205"/>
    </row>
    <row r="6" spans="1:9" s="206" customFormat="1" ht="13.5" customHeight="1">
      <c r="A6" s="731" t="s">
        <v>1472</v>
      </c>
      <c r="B6" s="207" t="s">
        <v>1473</v>
      </c>
      <c r="C6" s="208">
        <f>'土地比较法-住宅、综合'!F65</f>
        <v>59208</v>
      </c>
      <c r="D6" s="209"/>
      <c r="E6" s="210"/>
      <c r="F6" s="210"/>
      <c r="G6" s="211"/>
    </row>
    <row r="7" spans="1:9" s="206" customFormat="1" ht="13.5" customHeight="1">
      <c r="A7" s="731" t="s">
        <v>1474</v>
      </c>
      <c r="B7" s="207" t="s">
        <v>1475</v>
      </c>
      <c r="C7" s="212">
        <f>ROUND(C6*F7,0)</f>
        <v>1806</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714</v>
      </c>
      <c r="D8" s="214"/>
      <c r="E8" s="212"/>
      <c r="F8" s="213"/>
      <c r="G8" s="1713" t="s">
        <v>3597</v>
      </c>
    </row>
    <row r="9" spans="1:9" s="206" customFormat="1" ht="13.5" customHeight="1">
      <c r="A9" s="732" t="s">
        <v>355</v>
      </c>
      <c r="B9" s="216" t="s">
        <v>1478</v>
      </c>
      <c r="C9" s="217">
        <f ca="1">ROUND(D9*E9/10000,0)</f>
        <v>584</v>
      </c>
      <c r="D9" s="794">
        <f ca="1">IF(B1="",'数据-汇总表'!E5,IF(INDIRECT("'数据-取费表'!c"&amp;$G$1)="住宅",INDIRECT("'数据-取费表'!k"&amp;$G$1),0))</f>
        <v>36485.100000000202</v>
      </c>
      <c r="E9" s="217">
        <f>'数据-取费表'!B27</f>
        <v>160</v>
      </c>
      <c r="F9" s="213"/>
      <c r="G9" s="1714" t="s">
        <v>3598</v>
      </c>
      <c r="H9" s="1069"/>
      <c r="I9" s="1715" t="s">
        <v>1479</v>
      </c>
    </row>
    <row r="10" spans="1:9" s="206" customFormat="1" ht="13.5" customHeight="1">
      <c r="A10" s="732" t="s">
        <v>356</v>
      </c>
      <c r="B10" s="216" t="s">
        <v>1480</v>
      </c>
      <c r="C10" s="217">
        <f ca="1">ROUND(D10*E10/10000,0)</f>
        <v>130</v>
      </c>
      <c r="D10" s="794">
        <f ca="1">IF(B1="",'数据-汇总表'!E6,IF(INDIRECT("'数据-取费表'!c"&amp;$G$1)="住宅",INDIRECT("'数据-取费表'!s"&amp;$G$1),INDIRECT("'数据-取费表'!k"&amp;$G$1)+INDIRECT("'数据-取费表'!s"&amp;$G$1)))</f>
        <v>6508.8100000000195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42993.910000000222</v>
      </c>
      <c r="E19" s="203">
        <f>'数据-取费表'!B31</f>
        <v>200</v>
      </c>
      <c r="F19" s="223"/>
      <c r="G19" s="1713" t="s">
        <v>3599</v>
      </c>
    </row>
    <row r="20" spans="1:7" s="206" customFormat="1" ht="13.5" customHeight="1">
      <c r="A20" s="247" t="s">
        <v>1493</v>
      </c>
      <c r="B20" s="202" t="s">
        <v>1494</v>
      </c>
      <c r="C20" s="224">
        <f ca="1">ROUND((C5+C19)*F20,0)</f>
        <v>1235</v>
      </c>
      <c r="D20" s="224"/>
      <c r="E20" s="224"/>
      <c r="F20" s="225">
        <f>'数据-取费表'!B37</f>
        <v>0.02</v>
      </c>
      <c r="G20" s="226" t="s">
        <v>1495</v>
      </c>
    </row>
    <row r="21" spans="1:7" s="206" customFormat="1" ht="13.5" customHeight="1">
      <c r="A21" s="247" t="s">
        <v>1496</v>
      </c>
      <c r="B21" s="202" t="s">
        <v>1497</v>
      </c>
      <c r="C21" s="227">
        <f>F21</f>
        <v>2.5000000000000001E-2</v>
      </c>
      <c r="D21" s="228" t="s">
        <v>1498</v>
      </c>
      <c r="E21" s="224"/>
      <c r="F21" s="225">
        <f>'数据-取费表'!B38</f>
        <v>2.5000000000000001E-2</v>
      </c>
      <c r="G21" s="226" t="s">
        <v>1499</v>
      </c>
    </row>
    <row r="22" spans="1:7" s="206" customFormat="1" ht="13.5" customHeight="1">
      <c r="A22" s="247" t="s">
        <v>1500</v>
      </c>
      <c r="B22" s="202" t="s">
        <v>1501</v>
      </c>
      <c r="C22" s="1040">
        <f ca="1">ROUND(SUM(C23:C25),0)</f>
        <v>2699</v>
      </c>
      <c r="D22" s="227">
        <f ca="1">C26</f>
        <v>5.0000000000000001E-4</v>
      </c>
      <c r="E22" s="228" t="s">
        <v>1498</v>
      </c>
      <c r="F22" s="229">
        <f ca="1">'数据-取费表'!B40</f>
        <v>3.1899999999999998E-2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2673</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26</v>
      </c>
      <c r="D25" s="230"/>
      <c r="E25" s="233"/>
      <c r="F25" s="231"/>
      <c r="G25" s="234" t="s">
        <v>1510</v>
      </c>
    </row>
    <row r="26" spans="1:7" s="206" customFormat="1">
      <c r="A26" s="733"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6460</v>
      </c>
      <c r="D27" s="227">
        <f ca="1">C29</f>
        <v>2.5999999999999999E-3</v>
      </c>
      <c r="E27" s="228" t="s">
        <v>1514</v>
      </c>
      <c r="F27" s="238">
        <f ca="1">IF(B1="",'数据-取费表'!Q16,INDIRECT("'数据-取费表'!q"&amp;$G$1))</f>
        <v>0.19</v>
      </c>
      <c r="G27" s="239" t="s">
        <v>1515</v>
      </c>
    </row>
    <row r="28" spans="1:7" s="206" customFormat="1" ht="13.5" customHeight="1">
      <c r="A28" s="733" t="s">
        <v>346</v>
      </c>
      <c r="B28" s="240" t="s">
        <v>1516</v>
      </c>
      <c r="C28" s="241">
        <f ca="1">ROUND((C5+C19+C20)*F27*'数据-取费表'!B21/'数据-取费表'!B20,0)</f>
        <v>6460</v>
      </c>
      <c r="D28" s="227"/>
      <c r="E28" s="228"/>
      <c r="F28" s="238"/>
      <c r="G28" s="239"/>
    </row>
    <row r="29" spans="1:7" s="206" customFormat="1" ht="13.5" customHeight="1">
      <c r="A29" s="733" t="s">
        <v>347</v>
      </c>
      <c r="B29" s="240" t="s">
        <v>1517</v>
      </c>
      <c r="C29" s="230">
        <f ca="1">ROUND(C21*F27*'数据-取费表'!B21/'数据-取费表'!B20,4)</f>
        <v>2.5999999999999999E-3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78436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17613</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14550</v>
      </c>
      <c r="D34" s="209"/>
      <c r="E34" s="212"/>
      <c r="F34" s="249">
        <f ca="1">IF('数据-取费表'!B24=0,1,IF(B1="",'数据-取费表'!N16,INDIRECT("'数据-取费表'!n"&amp;$G$1)))</f>
        <v>0.54900000000000004</v>
      </c>
      <c r="G34" s="211" t="s">
        <v>1526</v>
      </c>
    </row>
    <row r="35" spans="1:7" ht="13.5" customHeight="1">
      <c r="A35" s="733" t="s">
        <v>351</v>
      </c>
      <c r="B35" s="207" t="s">
        <v>1527</v>
      </c>
      <c r="C35" s="212">
        <f ca="1">ROUND(C34*F35,0)</f>
        <v>1019</v>
      </c>
      <c r="D35" s="212"/>
      <c r="E35" s="212"/>
      <c r="F35" s="251">
        <f>'数据-取费表'!B33</f>
        <v>7.0000000000000007E-2</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1281</v>
      </c>
      <c r="D36" s="212"/>
      <c r="E36" s="212"/>
      <c r="F36" s="251">
        <f>'数据-取费表'!B34</f>
        <v>0.1</v>
      </c>
      <c r="G36" s="252" t="s">
        <v>1530</v>
      </c>
    </row>
    <row r="37" spans="1:7" s="250" customFormat="1" ht="13.5" customHeight="1">
      <c r="A37" s="733" t="s">
        <v>353</v>
      </c>
      <c r="B37" s="207" t="s">
        <v>1531</v>
      </c>
      <c r="C37" s="241">
        <f ca="1">ROUND(E37*D37*F34/10000,0)</f>
        <v>472</v>
      </c>
      <c r="D37" s="209">
        <f ca="1">D19</f>
        <v>42993.910000000222</v>
      </c>
      <c r="E37" s="241">
        <f>'数据-取费表'!B35</f>
        <v>200</v>
      </c>
      <c r="F37" s="251"/>
      <c r="G37" s="253" t="s">
        <v>1532</v>
      </c>
    </row>
    <row r="38" spans="1:7" ht="13.5" customHeight="1">
      <c r="A38" s="733" t="s">
        <v>354</v>
      </c>
      <c r="B38" s="207" t="s">
        <v>1533</v>
      </c>
      <c r="C38" s="212">
        <f ca="1">ROUND(C34*F38,0)</f>
        <v>291</v>
      </c>
      <c r="D38" s="212"/>
      <c r="E38" s="212"/>
      <c r="F38" s="251">
        <f>'数据-取费表'!B36</f>
        <v>0.02</v>
      </c>
      <c r="G38" s="211" t="s">
        <v>1528</v>
      </c>
    </row>
    <row r="39" spans="1:7" s="206" customFormat="1" ht="13.5" customHeight="1">
      <c r="A39" s="247" t="s">
        <v>1534</v>
      </c>
      <c r="B39" s="202" t="s">
        <v>1535</v>
      </c>
      <c r="C39" s="224">
        <f ca="1">ROUND(C33*F20,0)</f>
        <v>352</v>
      </c>
      <c r="D39" s="224"/>
      <c r="E39" s="224"/>
      <c r="F39" s="225">
        <f>F20</f>
        <v>0.02</v>
      </c>
      <c r="G39" s="226" t="s">
        <v>1536</v>
      </c>
    </row>
    <row r="40" spans="1:7" s="206" customFormat="1" ht="13.5" customHeight="1">
      <c r="A40" s="247" t="s">
        <v>1537</v>
      </c>
      <c r="B40" s="202" t="s">
        <v>1538</v>
      </c>
      <c r="C40" s="227">
        <f>F21</f>
        <v>2.5000000000000001E-2</v>
      </c>
      <c r="D40" s="228" t="s">
        <v>1539</v>
      </c>
      <c r="E40" s="224"/>
      <c r="F40" s="225">
        <f>F21</f>
        <v>2.5000000000000001E-2</v>
      </c>
      <c r="G40" s="226" t="s">
        <v>1540</v>
      </c>
    </row>
    <row r="41" spans="1:7" s="206" customFormat="1" ht="13.5" customHeight="1">
      <c r="A41" s="247" t="s">
        <v>1541</v>
      </c>
      <c r="B41" s="202" t="s">
        <v>1542</v>
      </c>
      <c r="C41" s="224">
        <f ca="1">ROUND(SUM(C42:C43),0)</f>
        <v>385</v>
      </c>
      <c r="D41" s="227">
        <f ca="1">C44</f>
        <v>5.0000000000000001E-4</v>
      </c>
      <c r="E41" s="228" t="s">
        <v>1539</v>
      </c>
      <c r="F41" s="229">
        <f ca="1">F22</f>
        <v>3.1899999999999998E-2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377</v>
      </c>
      <c r="D42" s="230"/>
      <c r="E42" s="230"/>
      <c r="F42" s="231"/>
      <c r="G42" s="3424" t="s">
        <v>1544</v>
      </c>
    </row>
    <row r="43" spans="1:7" ht="13.5" customHeight="1">
      <c r="A43" s="733" t="s">
        <v>347</v>
      </c>
      <c r="B43" s="207" t="s">
        <v>1545</v>
      </c>
      <c r="C43" s="230">
        <f ca="1">ROUND(IF('数据-取费表'!B22&lt;=1,C39*F22*'数据-取费表'!B21/2,C39*(POWER((1+F22),'数据-取费表'!B21/2)-1)),0)</f>
        <v>8</v>
      </c>
      <c r="D43" s="230"/>
      <c r="E43" s="230"/>
      <c r="F43" s="231"/>
      <c r="G43" s="3425"/>
    </row>
    <row r="44" spans="1:7" ht="13.5" customHeight="1">
      <c r="A44" s="733" t="s">
        <v>348</v>
      </c>
      <c r="B44" s="207" t="s">
        <v>1546</v>
      </c>
      <c r="C44" s="230">
        <f ca="1">ROUND(IF('数据-取费表'!B22&lt;=1,C40*F22*'数据-取费表'!B21/2,C40*(POWER((1+F22),'数据-取费表'!B21/2)-1)),4)</f>
        <v>5.0000000000000001E-4</v>
      </c>
      <c r="D44" s="230"/>
      <c r="E44" s="230"/>
      <c r="F44" s="231"/>
      <c r="G44" s="3426"/>
    </row>
    <row r="45" spans="1:7" s="206" customFormat="1" ht="13.5" customHeight="1">
      <c r="A45" s="247" t="s">
        <v>1547</v>
      </c>
      <c r="B45" s="236" t="s">
        <v>1513</v>
      </c>
      <c r="C45" s="237">
        <f ca="1">C46</f>
        <v>3413</v>
      </c>
      <c r="D45" s="227">
        <f ca="1">C47</f>
        <v>4.7999999999999996E-3</v>
      </c>
      <c r="E45" s="228" t="s">
        <v>1539</v>
      </c>
      <c r="F45" s="238">
        <f ca="1">F27</f>
        <v>0.19</v>
      </c>
      <c r="G45" s="239" t="s">
        <v>1548</v>
      </c>
    </row>
    <row r="46" spans="1:7" s="206" customFormat="1" ht="13.5" customHeight="1">
      <c r="A46" s="733" t="s">
        <v>346</v>
      </c>
      <c r="B46" s="240" t="s">
        <v>1549</v>
      </c>
      <c r="C46" s="241">
        <f ca="1">ROUND((C33+C39)*F27,0)</f>
        <v>3413</v>
      </c>
      <c r="D46" s="255"/>
      <c r="E46" s="228"/>
      <c r="F46" s="238"/>
      <c r="G46" s="239"/>
    </row>
    <row r="47" spans="1:7" s="206" customFormat="1" ht="13.5" customHeight="1">
      <c r="A47" s="733" t="s">
        <v>347</v>
      </c>
      <c r="B47" s="240" t="s">
        <v>1550</v>
      </c>
      <c r="C47" s="230">
        <f ca="1">ROUND(C40*F27,4)</f>
        <v>4.7999999999999996E-3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23725</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23725</v>
      </c>
      <c r="D51" s="224"/>
      <c r="E51" s="224"/>
      <c r="F51" s="256"/>
      <c r="G51" s="226" t="s">
        <v>1560</v>
      </c>
    </row>
    <row r="52" spans="1:7" s="200" customFormat="1" ht="16.8" thickBot="1">
      <c r="A52" s="257" t="s">
        <v>1561</v>
      </c>
      <c r="B52" s="258"/>
      <c r="C52" s="259">
        <f ca="1">C31+C51</f>
        <v>102161</v>
      </c>
      <c r="D52" s="258"/>
      <c r="E52" s="258"/>
      <c r="F52" s="258"/>
      <c r="G52" s="260"/>
    </row>
    <row r="55" spans="1:7" ht="15">
      <c r="B55" s="262" t="s">
        <v>1562</v>
      </c>
      <c r="C55" s="263"/>
    </row>
    <row r="56" spans="1:7">
      <c r="B56" s="265" t="s">
        <v>802</v>
      </c>
      <c r="C56" s="267">
        <f ca="1">1-C57</f>
        <v>0.76800000000000002</v>
      </c>
    </row>
    <row r="57" spans="1:7">
      <c r="B57" s="265" t="s">
        <v>803</v>
      </c>
      <c r="C57" s="266">
        <f ca="1">ROUND(C51/C52,3)</f>
        <v>0.23200000000000001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10</v>
      </c>
      <c r="H1" s="997" t="str">
        <f>IF(ISERROR(FIND("住宅",B1)),"非住宅","住宅")</f>
        <v>非住宅</v>
      </c>
    </row>
    <row r="2" spans="1:8" s="192" customFormat="1" ht="18" customHeight="1">
      <c r="A2" s="193" t="s">
        <v>1462</v>
      </c>
      <c r="B2" s="3117">
        <f ca="1">ROUND(IF(D2="——",C52/10000,C52/10000-E2),4)</f>
        <v>46165.495699999999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10738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7139378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7139378</v>
      </c>
      <c r="D8" s="214"/>
      <c r="E8" s="212"/>
      <c r="F8" s="213"/>
      <c r="G8" s="1713"/>
    </row>
    <row r="9" spans="1:8" s="206" customFormat="1" ht="13.5" customHeight="1">
      <c r="A9" s="732" t="s">
        <v>355</v>
      </c>
      <c r="B9" s="216" t="s">
        <v>1478</v>
      </c>
      <c r="C9" s="217">
        <f ca="1">ROUND(D9*E9,0)</f>
        <v>5837616</v>
      </c>
      <c r="D9" s="794">
        <f ca="1">IF(B1="",'数据-汇总表'!E5,IF(INDIRECT("'数据-取费表'!c"&amp;$G$1)="住宅",INDIRECT("'数据-取费表'!k"&amp;$G$1),0))</f>
        <v>36485.100000000202</v>
      </c>
      <c r="E9" s="217">
        <f>'数据-取费表'!B27</f>
        <v>160</v>
      </c>
      <c r="F9" s="213"/>
      <c r="G9" s="218"/>
    </row>
    <row r="10" spans="1:8" s="206" customFormat="1" ht="13.5" customHeight="1">
      <c r="A10" s="732" t="s">
        <v>356</v>
      </c>
      <c r="B10" s="216" t="s">
        <v>1480</v>
      </c>
      <c r="C10" s="217">
        <f ca="1">ROUND(D10*E10,0)</f>
        <v>1301762</v>
      </c>
      <c r="D10" s="794">
        <f ca="1">IF(B1="",'数据-汇总表'!E6,IF(INDIRECT("'数据-取费表'!c"&amp;$G$1)="住宅",INDIRECT("'数据-取费表'!s"&amp;$G$1),INDIRECT("'数据-取费表'!k"&amp;$G$1)+INDIRECT("'数据-取费表'!s"&amp;$G$1)))</f>
        <v>6508.8100000000195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8598782</v>
      </c>
      <c r="D19" s="204">
        <f ca="1">D9+D10</f>
        <v>42993.910000000222</v>
      </c>
      <c r="E19" s="203">
        <f>'数据-取费表'!B31</f>
        <v>200</v>
      </c>
      <c r="F19" s="223"/>
      <c r="G19" s="1713"/>
    </row>
    <row r="20" spans="1:7" s="206" customFormat="1" ht="13.5" customHeight="1">
      <c r="A20" s="247" t="s">
        <v>1574</v>
      </c>
      <c r="B20" s="202" t="s">
        <v>1575</v>
      </c>
      <c r="C20" s="224">
        <f ca="1">ROUND((C5+C19)*F20,0)</f>
        <v>314763</v>
      </c>
      <c r="D20" s="224"/>
      <c r="E20" s="224"/>
      <c r="F20" s="225">
        <f>'数据-取费表'!B37</f>
        <v>0.02</v>
      </c>
      <c r="G20" s="226" t="s">
        <v>1576</v>
      </c>
    </row>
    <row r="21" spans="1:7" s="206" customFormat="1" ht="13.5" customHeight="1">
      <c r="A21" s="247" t="s">
        <v>1577</v>
      </c>
      <c r="B21" s="202" t="s">
        <v>1578</v>
      </c>
      <c r="C21" s="227">
        <f>F21</f>
        <v>2.5000000000000001E-2</v>
      </c>
      <c r="D21" s="228" t="s">
        <v>1579</v>
      </c>
      <c r="E21" s="224"/>
      <c r="F21" s="225">
        <f>'数据-取费表'!B38</f>
        <v>2.5000000000000001E-2</v>
      </c>
      <c r="G21" s="226" t="s">
        <v>1580</v>
      </c>
    </row>
    <row r="22" spans="1:7" s="206" customFormat="1" ht="13.5" customHeight="1">
      <c r="A22" s="247" t="s">
        <v>1581</v>
      </c>
      <c r="B22" s="202" t="s">
        <v>1582</v>
      </c>
      <c r="C22" s="224">
        <f ca="1">ROUND(SUM(C23:C25),0)</f>
        <v>1297907</v>
      </c>
      <c r="D22" s="227">
        <f ca="1">C26</f>
        <v>1E-3</v>
      </c>
      <c r="E22" s="228" t="s">
        <v>1579</v>
      </c>
      <c r="F22" s="229">
        <f ca="1">'数据-取费表'!B40</f>
        <v>3.1899999999999998E-2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583060</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702246</v>
      </c>
      <c r="D24" s="230"/>
      <c r="E24" s="230"/>
      <c r="F24" s="231"/>
      <c r="G24" s="232" t="s">
        <v>1586</v>
      </c>
    </row>
    <row r="25" spans="1:7" s="206" customFormat="1" ht="24">
      <c r="A25" s="733" t="s">
        <v>1476</v>
      </c>
      <c r="B25" s="207" t="s">
        <v>1587</v>
      </c>
      <c r="C25" s="230">
        <f ca="1">ROUND(IF('数据-取费表'!B22&lt;=1,C20*F22*'数据-取费表'!B22/2,C20*(POWER((1+F22),'数据-取费表'!B22/2)-1)),0)</f>
        <v>12601</v>
      </c>
      <c r="D25" s="230"/>
      <c r="E25" s="233"/>
      <c r="F25" s="231"/>
      <c r="G25" s="234" t="s">
        <v>1588</v>
      </c>
    </row>
    <row r="26" spans="1:7" s="206" customFormat="1">
      <c r="A26" s="733" t="s">
        <v>350</v>
      </c>
      <c r="B26" s="207" t="s">
        <v>1511</v>
      </c>
      <c r="C26" s="230">
        <f ca="1">ROUND(IF('数据-取费表'!B22&lt;=1,F21*F22*'数据-取费表'!B22/2,F21*(POWER((1+F22),'数据-取费表'!B22/2)-1)),4)</f>
        <v>1E-3</v>
      </c>
      <c r="D26" s="230"/>
      <c r="E26" s="233"/>
      <c r="F26" s="231"/>
      <c r="G26" s="235"/>
    </row>
    <row r="27" spans="1:7" s="206" customFormat="1" ht="26.4">
      <c r="A27" s="247" t="s">
        <v>1512</v>
      </c>
      <c r="B27" s="236" t="s">
        <v>1513</v>
      </c>
      <c r="C27" s="237">
        <f ca="1">C28</f>
        <v>3050055</v>
      </c>
      <c r="D27" s="227">
        <f ca="1">C29</f>
        <v>4.7999999999999996E-3</v>
      </c>
      <c r="E27" s="228" t="s">
        <v>1514</v>
      </c>
      <c r="F27" s="238">
        <f ca="1">IF(B1="",'数据-取费表'!Q16,INDIRECT("'数据-取费表'!q"&amp;$G$1))</f>
        <v>0.19</v>
      </c>
      <c r="G27" s="239" t="s">
        <v>1515</v>
      </c>
    </row>
    <row r="28" spans="1:7" s="206" customFormat="1" ht="13.5" customHeight="1">
      <c r="A28" s="733" t="s">
        <v>346</v>
      </c>
      <c r="B28" s="240" t="s">
        <v>1516</v>
      </c>
      <c r="C28" s="241">
        <f ca="1">ROUND((C5+C19+C20)*F27,0)</f>
        <v>3050055</v>
      </c>
      <c r="D28" s="227"/>
      <c r="E28" s="228"/>
      <c r="F28" s="238"/>
      <c r="G28" s="239"/>
    </row>
    <row r="29" spans="1:7" s="206" customFormat="1" ht="13.5" customHeight="1">
      <c r="A29" s="733" t="s">
        <v>347</v>
      </c>
      <c r="B29" s="240" t="s">
        <v>1517</v>
      </c>
      <c r="C29" s="230">
        <f ca="1">ROUND(C21*F27,4)</f>
        <v>4.7999999999999996E-3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22252274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321085328</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264927735</v>
      </c>
      <c r="D34" s="209"/>
      <c r="E34" s="212"/>
      <c r="F34" s="249"/>
      <c r="G34" s="211"/>
    </row>
    <row r="35" spans="1:7" ht="13.5" customHeight="1">
      <c r="A35" s="733" t="s">
        <v>351</v>
      </c>
      <c r="B35" s="207" t="s">
        <v>1527</v>
      </c>
      <c r="C35" s="212">
        <f ca="1">ROUND(C34*F35,0)</f>
        <v>18544941</v>
      </c>
      <c r="D35" s="212"/>
      <c r="E35" s="212"/>
      <c r="F35" s="251">
        <f>'数据-取费表'!B33</f>
        <v>7.0000000000000007E-2</v>
      </c>
      <c r="G35" s="211" t="s">
        <v>1528</v>
      </c>
    </row>
    <row r="36" spans="1:7" ht="24">
      <c r="A36" s="733" t="s">
        <v>352</v>
      </c>
      <c r="B36" s="207" t="s">
        <v>1529</v>
      </c>
      <c r="C36" s="212">
        <f ca="1">ROUND(IF(B1="",SUM('数据-取费表'!AP6:AP13)*F36,IF(INDIRECT("'数据-取费表'!c"&amp;$G$1)="住宅",INDIRECT("'数据-取费表'!k"&amp;$G$1)*INDIRECT("'数据-取费表'!l"&amp;$G$1)*F36,0)),0)</f>
        <v>23715315</v>
      </c>
      <c r="D36" s="212"/>
      <c r="E36" s="212"/>
      <c r="F36" s="251">
        <f>'数据-取费表'!B34</f>
        <v>0.1</v>
      </c>
      <c r="G36" s="252" t="s">
        <v>1530</v>
      </c>
    </row>
    <row r="37" spans="1:7" s="250" customFormat="1" ht="13.5" customHeight="1">
      <c r="A37" s="733" t="s">
        <v>353</v>
      </c>
      <c r="B37" s="207" t="s">
        <v>1531</v>
      </c>
      <c r="C37" s="241">
        <f ca="1">ROUND(E37*D37,0)</f>
        <v>8598782</v>
      </c>
      <c r="D37" s="209">
        <f ca="1">D19</f>
        <v>42993.910000000222</v>
      </c>
      <c r="E37" s="241">
        <f>'数据-取费表'!B35</f>
        <v>200</v>
      </c>
      <c r="F37" s="251"/>
      <c r="G37" s="253"/>
    </row>
    <row r="38" spans="1:7" ht="13.5" customHeight="1">
      <c r="A38" s="733" t="s">
        <v>354</v>
      </c>
      <c r="B38" s="207" t="s">
        <v>1533</v>
      </c>
      <c r="C38" s="212">
        <f ca="1">ROUND(C34*F38,0)</f>
        <v>5298555</v>
      </c>
      <c r="D38" s="212"/>
      <c r="E38" s="212"/>
      <c r="F38" s="251">
        <f>'数据-取费表'!B36</f>
        <v>0.02</v>
      </c>
      <c r="G38" s="211" t="s">
        <v>1528</v>
      </c>
    </row>
    <row r="39" spans="1:7" s="206" customFormat="1" ht="13.5" customHeight="1">
      <c r="A39" s="247" t="s">
        <v>1534</v>
      </c>
      <c r="B39" s="202" t="s">
        <v>1535</v>
      </c>
      <c r="C39" s="224">
        <f ca="1">ROUND(C33*F20,0)</f>
        <v>6421707</v>
      </c>
      <c r="D39" s="224"/>
      <c r="E39" s="224"/>
      <c r="F39" s="225">
        <f>F20</f>
        <v>0.02</v>
      </c>
      <c r="G39" s="226" t="s">
        <v>1536</v>
      </c>
    </row>
    <row r="40" spans="1:7" s="206" customFormat="1" ht="13.5" customHeight="1">
      <c r="A40" s="247" t="s">
        <v>1537</v>
      </c>
      <c r="B40" s="202" t="s">
        <v>1538</v>
      </c>
      <c r="C40" s="227">
        <f>F21</f>
        <v>2.5000000000000001E-2</v>
      </c>
      <c r="D40" s="228" t="s">
        <v>1539</v>
      </c>
      <c r="E40" s="224"/>
      <c r="F40" s="225">
        <f>F21</f>
        <v>2.5000000000000001E-2</v>
      </c>
      <c r="G40" s="226" t="s">
        <v>1540</v>
      </c>
    </row>
    <row r="41" spans="1:7" s="206" customFormat="1" ht="13.5" customHeight="1">
      <c r="A41" s="247" t="s">
        <v>1541</v>
      </c>
      <c r="B41" s="202" t="s">
        <v>1542</v>
      </c>
      <c r="C41" s="224">
        <f ca="1">ROUND(SUM(C42:C43),0)</f>
        <v>13111008</v>
      </c>
      <c r="D41" s="227">
        <f ca="1">C44</f>
        <v>1E-3</v>
      </c>
      <c r="E41" s="228" t="s">
        <v>1539</v>
      </c>
      <c r="F41" s="229">
        <f ca="1">F22</f>
        <v>3.1899999999999998E-2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12853929</v>
      </c>
      <c r="D42" s="230"/>
      <c r="E42" s="230"/>
      <c r="F42" s="231"/>
      <c r="G42" s="3424" t="s">
        <v>1591</v>
      </c>
    </row>
    <row r="43" spans="1:7" ht="13.5" customHeight="1">
      <c r="A43" s="733" t="s">
        <v>347</v>
      </c>
      <c r="B43" s="207" t="s">
        <v>1545</v>
      </c>
      <c r="C43" s="230">
        <f ca="1">ROUND(IF('数据-取费表'!B22&lt;=1,C39*F22*'数据-取费表'!B20/2,C39*(POWER((1+F22),'数据-取费表'!B20/2)-1)),0)</f>
        <v>257079</v>
      </c>
      <c r="D43" s="230"/>
      <c r="E43" s="230"/>
      <c r="F43" s="231"/>
      <c r="G43" s="3425"/>
    </row>
    <row r="44" spans="1:7" ht="13.5" customHeight="1">
      <c r="A44" s="733" t="s">
        <v>348</v>
      </c>
      <c r="B44" s="207" t="s">
        <v>1546</v>
      </c>
      <c r="C44" s="230">
        <f ca="1">ROUND(IF('数据-取费表'!B22&lt;=1,C40*F22*'数据-取费表'!B20/2,C40*(POWER((1+F22),'数据-取费表'!B20/2)-1)),4)</f>
        <v>1E-3</v>
      </c>
      <c r="D44" s="230"/>
      <c r="E44" s="230"/>
      <c r="F44" s="231"/>
      <c r="G44" s="3426"/>
    </row>
    <row r="45" spans="1:7" s="206" customFormat="1" ht="13.5" customHeight="1">
      <c r="A45" s="247" t="s">
        <v>1547</v>
      </c>
      <c r="B45" s="236" t="s">
        <v>1513</v>
      </c>
      <c r="C45" s="237">
        <f ca="1">C46</f>
        <v>62226337</v>
      </c>
      <c r="D45" s="227">
        <f ca="1">C47</f>
        <v>4.7999999999999996E-3</v>
      </c>
      <c r="E45" s="228" t="s">
        <v>1539</v>
      </c>
      <c r="F45" s="238">
        <f ca="1">F27</f>
        <v>0.19</v>
      </c>
      <c r="G45" s="239" t="s">
        <v>1548</v>
      </c>
    </row>
    <row r="46" spans="1:7" s="206" customFormat="1" ht="13.5" customHeight="1">
      <c r="A46" s="733" t="s">
        <v>346</v>
      </c>
      <c r="B46" s="240" t="s">
        <v>1549</v>
      </c>
      <c r="C46" s="241">
        <f ca="1">ROUND((C33+C39)*F27,0)</f>
        <v>62226337</v>
      </c>
      <c r="D46" s="255"/>
      <c r="E46" s="228"/>
      <c r="F46" s="238"/>
      <c r="G46" s="239"/>
    </row>
    <row r="47" spans="1:7" s="206" customFormat="1" ht="13.5" customHeight="1">
      <c r="A47" s="733" t="s">
        <v>347</v>
      </c>
      <c r="B47" s="240" t="s">
        <v>1550</v>
      </c>
      <c r="C47" s="230">
        <f ca="1">ROUND(C40*F27,4)</f>
        <v>4.7999999999999996E-3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439402683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439402683</v>
      </c>
      <c r="D51" s="224"/>
      <c r="E51" s="224"/>
      <c r="F51" s="256"/>
      <c r="G51" s="226" t="s">
        <v>1560</v>
      </c>
    </row>
    <row r="52" spans="1:7" s="200" customFormat="1" ht="16.8" thickBot="1">
      <c r="A52" s="257" t="s">
        <v>1561</v>
      </c>
      <c r="B52" s="258"/>
      <c r="C52" s="259">
        <f ca="1">C31+C51</f>
        <v>461654957</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21" sqref="I21"/>
    </sheetView>
  </sheetViews>
  <sheetFormatPr defaultColWidth="6.6640625" defaultRowHeight="13.2"/>
  <cols>
    <col min="1" max="1" width="9.77734375" style="687" customWidth="1"/>
    <col min="2" max="2" width="25.77734375" style="734" customWidth="1"/>
    <col min="3" max="3" width="10.33203125" style="773" customWidth="1"/>
    <col min="4" max="4" width="9.88671875" style="734" customWidth="1"/>
    <col min="5" max="5" width="9.44140625" style="687"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2"/>
      <c r="F1" s="2562"/>
      <c r="G1" s="2443"/>
      <c r="H1" s="2562"/>
      <c r="I1" s="2562"/>
      <c r="J1" s="2562"/>
      <c r="K1" s="2563">
        <f>MATCH(C1,'数据-取费表'!A6:A16,0)+5</f>
        <v>10</v>
      </c>
    </row>
    <row r="2" spans="1:33" ht="18" customHeight="1">
      <c r="A2" s="193" t="s">
        <v>1462</v>
      </c>
      <c r="B2" s="196">
        <f ca="1">C32</f>
        <v>84905</v>
      </c>
      <c r="C2" s="268" t="s">
        <v>1595</v>
      </c>
      <c r="D2" s="268"/>
      <c r="E2" s="2562"/>
      <c r="F2" s="2562"/>
      <c r="G2" s="2562"/>
      <c r="H2" s="2562"/>
      <c r="I2" s="2562"/>
      <c r="J2" s="2562"/>
      <c r="K2" s="2562"/>
    </row>
    <row r="3" spans="1:33" ht="18" customHeight="1" thickBot="1">
      <c r="A3" s="195" t="s">
        <v>1464</v>
      </c>
      <c r="B3" s="196">
        <f ca="1">ROUND(B2*10000/IF(C1="",'数据-汇总表'!E3,INDIRECT("'数据-取费表'!K"&amp;$K$1)),0)</f>
        <v>19748</v>
      </c>
      <c r="C3" s="268" t="s">
        <v>1596</v>
      </c>
      <c r="D3" s="268"/>
      <c r="E3" s="2562"/>
      <c r="F3" s="2562"/>
      <c r="G3" s="2562"/>
      <c r="H3" s="2562"/>
      <c r="I3" s="2562"/>
      <c r="J3" s="2562"/>
      <c r="K3" s="2562"/>
    </row>
    <row r="4" spans="1:33" s="738" customFormat="1" ht="16.5" customHeight="1">
      <c r="A4" s="735" t="s">
        <v>1597</v>
      </c>
      <c r="B4" s="736"/>
      <c r="C4" s="774">
        <f ca="1">SUM(C8:K8)</f>
        <v>124278</v>
      </c>
      <c r="D4" s="736"/>
      <c r="E4" s="736"/>
      <c r="F4" s="736"/>
      <c r="G4" s="736"/>
      <c r="H4" s="736"/>
      <c r="I4" s="736"/>
      <c r="J4" s="736"/>
      <c r="K4" s="737"/>
    </row>
    <row r="5" spans="1:33" s="742" customFormat="1" ht="14.4">
      <c r="A5" s="739" t="s">
        <v>1598</v>
      </c>
      <c r="B5" s="740" t="s">
        <v>1599</v>
      </c>
      <c r="C5" s="1717" t="s">
        <v>3394</v>
      </c>
      <c r="D5" s="1717" t="s">
        <v>3322</v>
      </c>
      <c r="E5" s="1717" t="s">
        <v>3416</v>
      </c>
      <c r="F5" s="1717" t="s">
        <v>673</v>
      </c>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f>'比较法-住宅'!B3</f>
        <v>32633</v>
      </c>
      <c r="D6" s="744">
        <f>'比较法-车位'!B3</f>
        <v>8241</v>
      </c>
      <c r="E6" s="744">
        <f ca="1">收益法!B3</f>
        <v>7272</v>
      </c>
      <c r="F6" s="744">
        <f ca="1">收益法商!B3</f>
        <v>9906</v>
      </c>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1601</v>
      </c>
      <c r="B7" s="123" t="s">
        <v>1602</v>
      </c>
      <c r="C7" s="269">
        <f>SUMIF('数据-汇总表'!$C19:$C33,假设开发法!C5,'数据-汇总表'!$E19:$E33)</f>
        <v>36485.100000000202</v>
      </c>
      <c r="D7" s="269">
        <f>SUMIF('数据-汇总表'!$C19:$C33,假设开发法!D5,'数据-汇总表'!$E19:$E33)</f>
        <v>4148.920000000021</v>
      </c>
      <c r="E7" s="269">
        <f>SUMIF('数据-汇总表'!$C19:$C33,假设开发法!E5,'数据-汇总表'!$E19:$E33)</f>
        <v>786.60999999999979</v>
      </c>
      <c r="F7" s="269">
        <f>SUMIF('数据-汇总表'!$C19:$C33,假设开发法!F5,'数据-汇总表'!$E19:$E33)</f>
        <v>1236.5999999999999</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5">
        <f>'比较法-住宅'!B2</f>
        <v>119062</v>
      </c>
      <c r="D8" s="775">
        <f>'比较法-车位'!B2</f>
        <v>3419</v>
      </c>
      <c r="E8" s="775">
        <f ca="1">收益法!B2</f>
        <v>572</v>
      </c>
      <c r="F8" s="776">
        <f ca="1">收益法商!B2</f>
        <v>1225</v>
      </c>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11942</v>
      </c>
      <c r="D11" s="753"/>
      <c r="E11" s="138"/>
      <c r="F11" s="763">
        <f ca="1">1-IF('数据-取费表'!B24=0,1,IF(C1="",'数据-取费表'!N16,INDIRECT("'数据-取费表'!n"&amp;$K$1)))</f>
        <v>0.45099999999999996</v>
      </c>
      <c r="G11" s="5"/>
      <c r="H11" s="748"/>
      <c r="I11" s="748"/>
      <c r="J11" s="748"/>
      <c r="K11" s="749"/>
    </row>
    <row r="12" spans="1:33" s="754" customFormat="1" ht="13.5" customHeight="1">
      <c r="A12" s="751" t="s">
        <v>636</v>
      </c>
      <c r="B12" s="752" t="s">
        <v>1613</v>
      </c>
      <c r="C12" s="21">
        <f ca="1">ROUND(C11*F12,0)</f>
        <v>836</v>
      </c>
      <c r="D12" s="753"/>
      <c r="E12" s="138"/>
      <c r="F12" s="763">
        <f>'数据-取费表'!B33</f>
        <v>7.0000000000000007E-2</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1091</v>
      </c>
      <c r="D13" s="795"/>
      <c r="E13" s="138"/>
      <c r="F13" s="763">
        <f>'数据-取费表'!B34</f>
        <v>0.1</v>
      </c>
      <c r="G13" s="5" t="s">
        <v>1616</v>
      </c>
      <c r="H13" s="748"/>
      <c r="I13" s="748"/>
      <c r="J13" s="748"/>
      <c r="K13" s="749"/>
    </row>
    <row r="14" spans="1:33" s="756" customFormat="1" ht="13.5" customHeight="1">
      <c r="A14" s="751" t="s">
        <v>638</v>
      </c>
      <c r="B14" s="752" t="s">
        <v>1617</v>
      </c>
      <c r="C14" s="21">
        <f ca="1">ROUND(D14*E14*F11/10000,0)</f>
        <v>388</v>
      </c>
      <c r="D14" s="795">
        <f ca="1">IF(C1="",'数据-汇总表'!E3,INDIRECT("'数据-取费表'!K"&amp;$K$1)+INDIRECT("'数据-取费表'!S"&amp;$K$1))</f>
        <v>42993.910000000222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239</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14496</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42993.910000000222</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t="s">
        <v>4043</v>
      </c>
      <c r="H18" s="1105"/>
      <c r="I18" s="1720" t="s">
        <v>1625</v>
      </c>
      <c r="J18" s="758"/>
      <c r="K18" s="759"/>
    </row>
    <row r="19" spans="1:33" s="754" customFormat="1" ht="13.5" customHeight="1">
      <c r="A19" s="751" t="s">
        <v>360</v>
      </c>
      <c r="B19" s="752" t="s">
        <v>1626</v>
      </c>
      <c r="C19" s="21">
        <f ca="1">ROUND(D19*E19/10000,0)</f>
        <v>584</v>
      </c>
      <c r="D19" s="795">
        <f ca="1">IF(C1="",'数据-汇总表'!E5,IF(INDIRECT("'数据-取费表'!c"&amp;$K$1)="住宅",INDIRECT("'数据-取费表'!k"&amp;$K$1),0))</f>
        <v>36485.100000000202</v>
      </c>
      <c r="E19" s="21">
        <f>'数据-取费表'!B27</f>
        <v>160</v>
      </c>
      <c r="F19" s="755"/>
      <c r="G19" s="12"/>
      <c r="H19" s="1107"/>
      <c r="I19" s="760"/>
      <c r="J19" s="760"/>
      <c r="K19" s="761"/>
    </row>
    <row r="20" spans="1:33" s="754" customFormat="1" ht="13.5" customHeight="1">
      <c r="A20" s="751" t="s">
        <v>361</v>
      </c>
      <c r="B20" s="752" t="s">
        <v>1627</v>
      </c>
      <c r="C20" s="21">
        <f ca="1">ROUND(D20*E20/10000,0)</f>
        <v>130</v>
      </c>
      <c r="D20" s="795">
        <f ca="1">IF(C1="",'数据-汇总表'!E6,IF(INDIRECT("'数据-取费表'!c"&amp;$K$1)="住宅",INDIRECT("'数据-取费表'!s"&amp;$K$1),INDIRECT("'数据-取费表'!k"&amp;$K$1)+INDIRECT("'数据-取费表'!s"&amp;$K$1)))</f>
        <v>6508.8100000000195</v>
      </c>
      <c r="E20" s="21">
        <f>'数据-取费表'!B28</f>
        <v>200</v>
      </c>
      <c r="F20" s="755"/>
      <c r="G20" s="12"/>
      <c r="H20" s="760"/>
      <c r="I20" s="760"/>
      <c r="J20" s="760"/>
      <c r="K20" s="761"/>
    </row>
    <row r="21" spans="1:33" s="754" customFormat="1" ht="13.5" customHeight="1">
      <c r="A21" s="743" t="s">
        <v>357</v>
      </c>
      <c r="B21" s="764" t="s">
        <v>1628</v>
      </c>
      <c r="C21" s="765">
        <f ca="1">C16+C17+C18</f>
        <v>14496</v>
      </c>
      <c r="D21" s="766"/>
      <c r="E21" s="273"/>
      <c r="F21" s="273"/>
      <c r="G21" s="123" t="s">
        <v>1629</v>
      </c>
      <c r="H21" s="758"/>
      <c r="I21" s="758"/>
      <c r="J21" s="758"/>
      <c r="K21" s="759"/>
    </row>
    <row r="22" spans="1:33" s="754" customFormat="1" ht="13.5" customHeight="1">
      <c r="A22" s="743" t="s">
        <v>1601</v>
      </c>
      <c r="B22" s="764" t="s">
        <v>1630</v>
      </c>
      <c r="C22" s="765">
        <f ca="1">ROUND(C21*F22,0)</f>
        <v>290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1401</v>
      </c>
      <c r="D23" s="273"/>
      <c r="E23" s="273"/>
      <c r="F23" s="767">
        <f>'数据-取费表'!B38</f>
        <v>2.5000000000000001E-2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295</v>
      </c>
      <c r="D25" s="272">
        <f ca="1">C26</f>
        <v>3.78E-2</v>
      </c>
      <c r="E25" s="274" t="s">
        <v>12</v>
      </c>
      <c r="F25" s="275">
        <f ca="1">'数据-取费表'!B40</f>
        <v>3.1899999999999998E-2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3.78E-2</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295</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3076</v>
      </c>
      <c r="D28" s="272">
        <f ca="1">C29</f>
        <v>8.9899999999999994E-2</v>
      </c>
      <c r="E28" s="274" t="s">
        <v>12</v>
      </c>
      <c r="F28" s="280">
        <f ca="1">IF(C1="",'数据-取费表'!Q16,INDIRECT("'数据-取费表'!q"&amp;$K$1))</f>
        <v>0.19</v>
      </c>
      <c r="G28" s="768"/>
      <c r="H28" s="769"/>
      <c r="I28" s="769"/>
      <c r="J28" s="769"/>
      <c r="K28" s="55"/>
    </row>
    <row r="29" spans="1:33" s="283" customFormat="1" ht="13.5" customHeight="1">
      <c r="A29" s="751" t="s">
        <v>358</v>
      </c>
      <c r="B29" s="772" t="s">
        <v>1643</v>
      </c>
      <c r="C29" s="276">
        <f ca="1">ROUND((1+C24)*F28*'数据-取费表'!B24/'数据-取费表'!B20,4)</f>
        <v>8.9899999999999994E-2</v>
      </c>
      <c r="D29" s="276"/>
      <c r="E29" s="277"/>
      <c r="F29" s="282"/>
      <c r="G29" s="123" t="s">
        <v>1644</v>
      </c>
      <c r="H29" s="758"/>
      <c r="I29" s="758"/>
      <c r="J29" s="758"/>
      <c r="K29" s="759"/>
    </row>
    <row r="30" spans="1:33" s="283" customFormat="1" ht="13.5" customHeight="1">
      <c r="A30" s="751" t="s">
        <v>359</v>
      </c>
      <c r="B30" s="772" t="s">
        <v>1645</v>
      </c>
      <c r="C30" s="284">
        <f ca="1">ROUND((C21+C22+C23)*F28,0)</f>
        <v>3076</v>
      </c>
      <c r="D30" s="276"/>
      <c r="E30" s="277"/>
      <c r="F30" s="282"/>
      <c r="G30" s="123"/>
      <c r="H30" s="758"/>
      <c r="I30" s="758"/>
      <c r="J30" s="758"/>
      <c r="K30" s="759"/>
    </row>
    <row r="31" spans="1:33" s="754" customFormat="1" ht="13.5" customHeight="1" thickBot="1">
      <c r="A31" s="1723" t="s">
        <v>1646</v>
      </c>
      <c r="B31" s="782" t="s">
        <v>1647</v>
      </c>
      <c r="C31" s="783">
        <f ca="1">ROUND(C4*F31/(1+'数据-取费表'!C42),0)</f>
        <v>6510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84905</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8">
        <f ca="1">J53</f>
        <v>0</v>
      </c>
      <c r="G1" s="1285">
        <f>MATCH(C1,'数据-取费表'!A6:A16,0)+5</f>
        <v>10</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8" t="e">
        <f ca="1">ROUND(D2/10000,4)</f>
        <v>#DIV/0!</v>
      </c>
      <c r="C2" s="1288" t="s">
        <v>879</v>
      </c>
      <c r="D2" s="1374" t="e">
        <f ca="1">C40+J29+L46</f>
        <v>#DIV/0!</v>
      </c>
      <c r="E2" s="1294" t="s">
        <v>880</v>
      </c>
      <c r="F2" s="1295"/>
      <c r="G2" s="2473"/>
      <c r="H2" s="2463"/>
      <c r="I2" s="2463"/>
      <c r="J2" s="2463"/>
      <c r="K2" s="2464"/>
      <c r="L2" s="2463"/>
      <c r="M2" s="2463"/>
    </row>
    <row r="3" spans="1:37" ht="18" customHeight="1" thickBot="1">
      <c r="A3" s="1296" t="s">
        <v>881</v>
      </c>
      <c r="B3" s="1297">
        <f ca="1">IF(ISERROR(D2/F43),0,ROUND(D2/F43,0))</f>
        <v>0</v>
      </c>
      <c r="C3" s="1288" t="s">
        <v>882</v>
      </c>
      <c r="D3" s="1288"/>
      <c r="E3" s="1294"/>
      <c r="F3" s="1295"/>
      <c r="G3" s="2473"/>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27" t="s">
        <v>694</v>
      </c>
      <c r="C6" s="1010">
        <f ca="1">ROUND(F6*F8*F7*(1-F9),0)</f>
        <v>0</v>
      </c>
      <c r="D6" s="147" t="s">
        <v>2106</v>
      </c>
      <c r="E6" s="294" t="s">
        <v>696</v>
      </c>
      <c r="F6" s="295">
        <f ca="1">INDIRECT("'数据-取费表'!u"&amp;$G$1)</f>
        <v>0</v>
      </c>
      <c r="G6" s="1291"/>
      <c r="H6" s="1005" t="s">
        <v>398</v>
      </c>
      <c r="I6" s="3427" t="s">
        <v>694</v>
      </c>
      <c r="J6" s="293">
        <f ca="1">ROUND(M6*M8*M7*(1-M9),0)</f>
        <v>0</v>
      </c>
      <c r="K6" s="1283" t="s">
        <v>2107</v>
      </c>
      <c r="L6" s="294" t="s">
        <v>696</v>
      </c>
      <c r="M6" s="295">
        <f ca="1">INDIRECT("'数据-取费表'!z"&amp;$G$1)</f>
        <v>0</v>
      </c>
    </row>
    <row r="7" spans="1:37" ht="18" customHeight="1">
      <c r="A7" s="1009"/>
      <c r="B7" s="3428"/>
      <c r="C7" s="1011"/>
      <c r="D7" s="299"/>
      <c r="E7" s="1012" t="s">
        <v>697</v>
      </c>
      <c r="F7" s="295">
        <f ca="1">IF(INDIRECT("'数据-取费表'!ah"&amp;$G$1)="",INDIRECT("'数据-取费表'!k"&amp;$G$1),INDIRECT("'数据-取费表'!ah"&amp;$G$1))</f>
        <v>0</v>
      </c>
      <c r="G7" s="1291"/>
      <c r="H7" s="296"/>
      <c r="I7" s="3428"/>
      <c r="J7" s="298"/>
      <c r="K7" s="299"/>
      <c r="L7" s="294" t="s">
        <v>697</v>
      </c>
      <c r="M7" s="295">
        <f ca="1">F7</f>
        <v>0</v>
      </c>
    </row>
    <row r="8" spans="1:37" ht="18" customHeight="1">
      <c r="A8" s="296"/>
      <c r="B8" s="3428"/>
      <c r="C8" s="298"/>
      <c r="D8" s="299"/>
      <c r="E8" s="294" t="s">
        <v>698</v>
      </c>
      <c r="F8" s="295">
        <f ca="1">INDIRECT("'数据-取费表'!ai"&amp;$G$1)</f>
        <v>0</v>
      </c>
      <c r="G8" s="1291"/>
      <c r="H8" s="296"/>
      <c r="I8" s="3428"/>
      <c r="J8" s="298"/>
      <c r="K8" s="299"/>
      <c r="L8" s="294" t="s">
        <v>698</v>
      </c>
      <c r="M8" s="295">
        <f ca="1">INDIRECT("'数据-取费表'!ai"&amp;$G$1)</f>
        <v>0</v>
      </c>
    </row>
    <row r="9" spans="1:37" ht="18" customHeight="1">
      <c r="A9" s="296"/>
      <c r="B9" s="3429"/>
      <c r="C9" s="298"/>
      <c r="D9" s="299"/>
      <c r="E9" s="294" t="s">
        <v>699</v>
      </c>
      <c r="F9" s="304">
        <f ca="1">INDIRECT("'数据-取费表'!w"&amp;$G$1)</f>
        <v>0</v>
      </c>
      <c r="G9" s="1291"/>
      <c r="H9" s="296"/>
      <c r="I9" s="3429"/>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7.0000000000000007E-2</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2.5000000000000001E-2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3.1899999999999998E-2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4" t="s">
        <v>2297</v>
      </c>
      <c r="I31" s="1304"/>
      <c r="J31" s="1305"/>
      <c r="K31" s="121"/>
      <c r="L31" s="2466"/>
      <c r="M31" s="2467"/>
    </row>
    <row r="32" spans="1:37" ht="18" customHeight="1">
      <c r="A32" s="927" t="s">
        <v>397</v>
      </c>
      <c r="B32" s="294" t="s">
        <v>723</v>
      </c>
      <c r="C32" s="21">
        <f ca="1">IF(项目基本情况!B11="自然人","——",ROUND(C6*F32/(1+'数据-取费表'!C42),0))</f>
        <v>0</v>
      </c>
      <c r="D32" s="1255" t="s">
        <v>724</v>
      </c>
      <c r="E32" s="294" t="s">
        <v>712</v>
      </c>
      <c r="F32" s="322">
        <f>'数据-取费表'!B41</f>
        <v>5.5000000000000007E-2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3325</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IF(项目基本情况!B11="自然人","——",ROUND(F34*F35,0))</f>
        <v>0</v>
      </c>
      <c r="D34" s="316" t="s">
        <v>731</v>
      </c>
      <c r="E34" s="294" t="s">
        <v>732</v>
      </c>
      <c r="F34" s="317">
        <f>'数据-取费表'!B52</f>
        <v>1.5</v>
      </c>
      <c r="G34" s="1291"/>
      <c r="H34" s="2465"/>
      <c r="I34" s="1304"/>
      <c r="J34" s="1305"/>
      <c r="K34" s="2470"/>
      <c r="L34" s="2471"/>
      <c r="M34" s="2471"/>
    </row>
    <row r="35" spans="1:18" ht="18" customHeight="1">
      <c r="A35" s="1039"/>
      <c r="B35" s="1037"/>
      <c r="C35" s="26"/>
      <c r="D35" s="319"/>
      <c r="E35" s="294" t="s">
        <v>736</v>
      </c>
      <c r="F35" s="295">
        <f ca="1">INDIRECT("'数据-取费表'!r"&amp;$G$1)</f>
        <v>0</v>
      </c>
      <c r="G35" s="1291"/>
      <c r="H35" s="2465"/>
      <c r="I35" s="1304"/>
      <c r="J35" s="1305"/>
      <c r="K35" s="2469"/>
      <c r="L35" s="2468"/>
      <c r="M35" s="2468"/>
    </row>
    <row r="36" spans="1:18" ht="18" customHeight="1">
      <c r="A36" s="1038" t="s">
        <v>402</v>
      </c>
      <c r="B36" s="294" t="s">
        <v>738</v>
      </c>
      <c r="C36" s="21">
        <f ca="1">ROUND(C29*F36,0)</f>
        <v>0</v>
      </c>
      <c r="D36" s="1255" t="s">
        <v>771</v>
      </c>
      <c r="E36" s="294" t="s">
        <v>712</v>
      </c>
      <c r="F36" s="320">
        <f ca="1">INDIRECT("'数据-取费表'!Ak"&amp;$G$1)</f>
        <v>0</v>
      </c>
      <c r="G36" s="1291"/>
      <c r="H36" s="2468"/>
      <c r="I36" s="1304"/>
      <c r="J36" s="1305"/>
      <c r="K36" s="2325"/>
      <c r="L36" s="2468"/>
      <c r="M36" s="2468"/>
    </row>
    <row r="37" spans="1:18" ht="18" customHeight="1">
      <c r="A37" s="927" t="s">
        <v>437</v>
      </c>
      <c r="B37" s="294" t="s">
        <v>742</v>
      </c>
      <c r="C37" s="21">
        <f ca="1">ROUND(C13*F37,0)</f>
        <v>0</v>
      </c>
      <c r="D37" s="1255" t="s">
        <v>743</v>
      </c>
      <c r="E37" s="294" t="s">
        <v>744</v>
      </c>
      <c r="F37" s="321">
        <f ca="1">INDIRECT("'数据-取费表'!Al"&amp;$G$1)</f>
        <v>0</v>
      </c>
      <c r="G37" s="1291"/>
      <c r="H37" s="2468"/>
      <c r="I37" s="1304"/>
      <c r="J37" s="1305"/>
      <c r="K37" s="2325"/>
      <c r="L37" s="2468"/>
      <c r="M37" s="2468"/>
    </row>
    <row r="38" spans="1:18" ht="18" customHeight="1" thickBot="1">
      <c r="A38" s="1025" t="s">
        <v>684</v>
      </c>
      <c r="B38" s="1026" t="s">
        <v>728</v>
      </c>
      <c r="C38" s="1027">
        <f ca="1">ROUND(C5*F38,0)</f>
        <v>0</v>
      </c>
      <c r="D38" s="1028" t="s">
        <v>748</v>
      </c>
      <c r="E38" s="1026" t="s">
        <v>744</v>
      </c>
      <c r="F38" s="1022">
        <f ca="1">INDIRECT("'数据-取费表'!Am"&amp;$G$1)</f>
        <v>0</v>
      </c>
      <c r="G38" s="1291"/>
      <c r="H38" s="2468"/>
      <c r="I38" s="1304"/>
      <c r="J38" s="1305"/>
      <c r="K38" s="2466"/>
      <c r="L38" s="2468"/>
      <c r="M38" s="2468"/>
    </row>
    <row r="39" spans="1:18" ht="24.6" customHeight="1" thickTop="1">
      <c r="A39" s="1015" t="s">
        <v>394</v>
      </c>
      <c r="B39" s="1030" t="s">
        <v>772</v>
      </c>
      <c r="C39" s="302">
        <f ca="1">C5-C30</f>
        <v>0</v>
      </c>
      <c r="D39" s="1031" t="s">
        <v>773</v>
      </c>
      <c r="E39" s="1032"/>
      <c r="F39" s="1033"/>
      <c r="G39" s="1291"/>
      <c r="H39" s="2468"/>
      <c r="I39" s="1304"/>
      <c r="J39" s="1305"/>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5"/>
      <c r="L41" s="121"/>
      <c r="M41" s="121"/>
    </row>
    <row r="42" spans="1:18" ht="18" customHeight="1">
      <c r="A42" s="300"/>
      <c r="B42" s="301"/>
      <c r="C42" s="302"/>
      <c r="D42" s="319"/>
      <c r="E42" s="294" t="s">
        <v>766</v>
      </c>
      <c r="F42" s="304">
        <f ca="1">INDIRECT("'数据-取费表'!v"&amp;$G$1)</f>
        <v>0</v>
      </c>
      <c r="G42" s="1291"/>
      <c r="H42" s="121"/>
      <c r="I42" s="1304"/>
      <c r="J42" s="1305"/>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3123" t="s">
        <v>3341</v>
      </c>
      <c r="B45" s="1306"/>
      <c r="C45" s="1375" t="e">
        <f ca="1">ROUND((C68-C40)/10000,4)</f>
        <v>#DIV/0!</v>
      </c>
      <c r="D45" s="3124" t="s">
        <v>3342</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2"/>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430" t="s">
        <v>837</v>
      </c>
      <c r="L53" s="3431"/>
      <c r="O53" s="1324" t="s">
        <v>409</v>
      </c>
      <c r="P53" s="1325" t="s">
        <v>838</v>
      </c>
      <c r="Q53" s="1326" t="e">
        <f ca="1">Q47+Q48</f>
        <v>#DIV/0!</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24.6"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8" thickBot="1">
      <c r="A69" s="896"/>
      <c r="B69" s="897"/>
      <c r="C69" s="298"/>
      <c r="D69" s="915" t="s">
        <v>762</v>
      </c>
      <c r="E69" s="895" t="s">
        <v>763</v>
      </c>
      <c r="F69" s="324">
        <f ca="1">F41</f>
        <v>0</v>
      </c>
      <c r="O69" s="1333" t="s">
        <v>411</v>
      </c>
      <c r="P69" s="1370" t="s">
        <v>872</v>
      </c>
      <c r="Q69" s="1326">
        <f ca="1">C39</f>
        <v>0</v>
      </c>
      <c r="R69" s="1326" t="s">
        <v>818</v>
      </c>
    </row>
    <row r="70" spans="1:18" s="1291" customFormat="1" ht="13.8" thickBot="1">
      <c r="A70" s="899"/>
      <c r="B70" s="900"/>
      <c r="C70" s="302"/>
      <c r="D70" s="911"/>
      <c r="E70" s="895" t="s">
        <v>766</v>
      </c>
      <c r="F70" s="990"/>
      <c r="O70" s="1333" t="s">
        <v>412</v>
      </c>
      <c r="P70" s="1370" t="s">
        <v>873</v>
      </c>
      <c r="Q70" s="1326">
        <f ca="1">C13</f>
        <v>0</v>
      </c>
      <c r="R70" s="1326" t="s">
        <v>818</v>
      </c>
    </row>
    <row r="71" spans="1:18" s="1291" customFormat="1" ht="13.8"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2426</v>
      </c>
      <c r="B1" s="2578"/>
      <c r="C1" s="2590"/>
      <c r="D1" s="2590"/>
      <c r="E1" s="2579"/>
      <c r="F1" s="2580"/>
      <c r="G1" s="2581"/>
      <c r="J1" s="2584" t="s">
        <v>2305</v>
      </c>
      <c r="K1" s="2585"/>
      <c r="L1" s="2585"/>
      <c r="M1" s="2585"/>
      <c r="N1" s="2585"/>
      <c r="O1" s="2585"/>
      <c r="P1" s="2585"/>
      <c r="Q1" s="2585"/>
      <c r="R1" s="2586"/>
      <c r="S1" s="2587"/>
      <c r="T1" s="2587"/>
      <c r="U1" s="2587"/>
    </row>
    <row r="2" spans="1:22" s="2599" customFormat="1" ht="13.2" customHeight="1">
      <c r="A2" s="1292" t="s">
        <v>2306</v>
      </c>
      <c r="B2" s="2589" t="e">
        <f>IF(D2="——",C40,C40+E2)</f>
        <v>#DIV/0!</v>
      </c>
      <c r="C2" s="2590" t="s">
        <v>2307</v>
      </c>
      <c r="D2" s="3132" t="s">
        <v>3347</v>
      </c>
      <c r="E2" s="3133"/>
      <c r="F2" s="2592"/>
      <c r="G2" s="2593"/>
      <c r="H2" s="2594"/>
      <c r="I2" s="2595"/>
      <c r="J2" s="3438" t="s">
        <v>2308</v>
      </c>
      <c r="K2" s="3439"/>
      <c r="L2" s="2596" t="s">
        <v>2309</v>
      </c>
      <c r="M2" s="2596" t="s">
        <v>2310</v>
      </c>
      <c r="N2" s="2596" t="s">
        <v>2311</v>
      </c>
      <c r="O2" s="2596" t="s">
        <v>2312</v>
      </c>
      <c r="P2" s="2596" t="s">
        <v>2313</v>
      </c>
      <c r="Q2" s="2597" t="s">
        <v>2314</v>
      </c>
      <c r="R2" s="2598" t="s">
        <v>2315</v>
      </c>
      <c r="S2" s="2587"/>
      <c r="T2" s="2587"/>
      <c r="U2" s="2587"/>
      <c r="V2" s="2595"/>
    </row>
    <row r="3" spans="1:22" s="2599" customFormat="1" ht="13.2" customHeight="1">
      <c r="A3" s="2600" t="s">
        <v>2316</v>
      </c>
      <c r="B3" s="2601" t="e">
        <f>ROUND(B2*10000/B4,0)</f>
        <v>#DIV/0!</v>
      </c>
      <c r="C3" s="2590" t="s">
        <v>2317</v>
      </c>
      <c r="D3" s="2590"/>
      <c r="E3" s="2591"/>
      <c r="F3" s="2592"/>
      <c r="G3" s="2593"/>
      <c r="H3" s="2594"/>
      <c r="I3" s="2595"/>
      <c r="J3" s="3440" t="s">
        <v>2318</v>
      </c>
      <c r="K3" s="3441"/>
      <c r="L3" s="2602"/>
      <c r="M3" s="2602"/>
      <c r="N3" s="2602"/>
      <c r="O3" s="2602"/>
      <c r="P3" s="2602"/>
      <c r="Q3" s="2603"/>
      <c r="R3" s="2604">
        <f>SUM(L3:Q3)</f>
        <v>0</v>
      </c>
      <c r="S3" s="2587"/>
      <c r="T3" s="2587"/>
      <c r="U3" s="2587"/>
      <c r="V3" s="2595"/>
    </row>
    <row r="4" spans="1:22" s="2599" customFormat="1" ht="13.2" customHeight="1">
      <c r="A4" s="2605" t="s">
        <v>2319</v>
      </c>
      <c r="B4" s="2606"/>
      <c r="C4" s="2590"/>
      <c r="D4" s="2590"/>
      <c r="E4" s="2591"/>
      <c r="F4" s="2592"/>
      <c r="G4" s="2593"/>
      <c r="H4" s="2594"/>
      <c r="I4" s="2595"/>
      <c r="J4" s="3440" t="s">
        <v>2320</v>
      </c>
      <c r="K4" s="3441"/>
      <c r="L4" s="2607"/>
      <c r="M4" s="2607"/>
      <c r="N4" s="2607"/>
      <c r="O4" s="2607"/>
      <c r="P4" s="2607"/>
      <c r="Q4" s="2608"/>
      <c r="R4" s="2609">
        <f>SUM(L4:Q4)</f>
        <v>0</v>
      </c>
      <c r="S4" s="2587"/>
      <c r="T4" s="2587"/>
      <c r="U4" s="2587"/>
      <c r="V4" s="2595"/>
    </row>
    <row r="5" spans="1:22" s="2599" customFormat="1" ht="13.2" customHeight="1" thickBot="1">
      <c r="A5" s="2610" t="s">
        <v>2321</v>
      </c>
      <c r="B5" s="2611"/>
      <c r="C5" s="2590"/>
      <c r="D5" s="2612"/>
      <c r="E5" s="2592"/>
      <c r="F5" s="2592"/>
      <c r="G5" s="2593"/>
      <c r="H5" s="2594"/>
      <c r="I5" s="2595"/>
      <c r="J5" s="2613" t="s">
        <v>2322</v>
      </c>
      <c r="K5" s="2614"/>
      <c r="L5" s="2614"/>
      <c r="M5" s="2615"/>
      <c r="N5" s="2615"/>
      <c r="O5" s="2615"/>
      <c r="P5" s="2615"/>
      <c r="Q5" s="2615"/>
      <c r="R5" s="2598">
        <f>SUM(R14,R19,R24,R25,R27,R28)</f>
        <v>0</v>
      </c>
      <c r="S5" s="2587"/>
      <c r="T5" s="2587" t="s">
        <v>2323</v>
      </c>
      <c r="U5" s="2587" t="e">
        <f>ROUND(R5*10000/365/R3,1)</f>
        <v>#DIV/0!</v>
      </c>
      <c r="V5" s="2595"/>
    </row>
    <row r="6" spans="1:22" s="2599" customFormat="1" ht="13.2" customHeight="1" thickBot="1">
      <c r="A6" s="3446" t="s">
        <v>2324</v>
      </c>
      <c r="B6" s="3447"/>
      <c r="C6" s="3448"/>
      <c r="D6" s="2616"/>
      <c r="E6" s="2617"/>
      <c r="F6" s="2618"/>
      <c r="G6" s="2619"/>
      <c r="H6" s="2594"/>
      <c r="I6" s="2595"/>
      <c r="J6" s="3432">
        <v>1</v>
      </c>
      <c r="K6" s="3433" t="s">
        <v>2325</v>
      </c>
      <c r="L6" s="2620" t="s">
        <v>2326</v>
      </c>
      <c r="M6" s="2621" t="s">
        <v>2327</v>
      </c>
      <c r="N6" s="2621" t="s">
        <v>2328</v>
      </c>
      <c r="O6" s="2621" t="s">
        <v>2329</v>
      </c>
      <c r="P6" s="2621" t="s">
        <v>2330</v>
      </c>
      <c r="Q6" s="2621" t="s">
        <v>2331</v>
      </c>
      <c r="R6" s="2604" t="s">
        <v>2332</v>
      </c>
      <c r="S6" s="2587"/>
      <c r="T6" s="2587" t="s">
        <v>2333</v>
      </c>
      <c r="U6" s="2587"/>
      <c r="V6" s="2595"/>
    </row>
    <row r="7" spans="1:22" s="2599" customFormat="1" ht="13.2" customHeight="1">
      <c r="A7" s="2622" t="s">
        <v>2334</v>
      </c>
      <c r="B7" s="2623"/>
      <c r="C7" s="2624"/>
      <c r="D7" s="2625">
        <f>SUM(D9,D10,D11,D17,0)</f>
        <v>0</v>
      </c>
      <c r="E7" s="2626" t="e">
        <f>E9+E10+E11+E17</f>
        <v>#DIV/0!</v>
      </c>
      <c r="F7" s="2627"/>
      <c r="G7" s="2628"/>
      <c r="H7" s="2594"/>
      <c r="I7" s="2595"/>
      <c r="J7" s="3432"/>
      <c r="K7" s="3434"/>
      <c r="L7" s="2629" t="s">
        <v>2335</v>
      </c>
      <c r="M7" s="2630"/>
      <c r="N7" s="2606"/>
      <c r="O7" s="2631"/>
      <c r="P7" s="2631"/>
      <c r="Q7" s="2632">
        <v>365</v>
      </c>
      <c r="R7" s="2633">
        <f>ROUND(M7*N7*O7*P7*Q7/10000,0)</f>
        <v>0</v>
      </c>
      <c r="S7" s="2587"/>
      <c r="T7" s="2587" t="s">
        <v>2336</v>
      </c>
      <c r="U7" s="2587"/>
      <c r="V7" s="2595"/>
    </row>
    <row r="8" spans="1:22" s="2599" customFormat="1" ht="13.2" customHeight="1">
      <c r="A8" s="2634" t="s">
        <v>2337</v>
      </c>
      <c r="B8" s="3449" t="s">
        <v>2338</v>
      </c>
      <c r="C8" s="3450"/>
      <c r="D8" s="2635" t="s">
        <v>2339</v>
      </c>
      <c r="E8" s="2636" t="s">
        <v>2340</v>
      </c>
      <c r="F8" s="2637" t="s">
        <v>2341</v>
      </c>
      <c r="G8" s="2638"/>
      <c r="H8" s="2594"/>
      <c r="I8" s="2595"/>
      <c r="J8" s="3432"/>
      <c r="K8" s="3434"/>
      <c r="L8" s="2629" t="s">
        <v>2342</v>
      </c>
      <c r="M8" s="2630"/>
      <c r="N8" s="2606"/>
      <c r="O8" s="2631"/>
      <c r="P8" s="2631"/>
      <c r="Q8" s="2632">
        <v>365</v>
      </c>
      <c r="R8" s="2633">
        <f t="shared" ref="R8:R13" si="0">ROUND(M8*N8*O8*P8*Q8/10000,0)</f>
        <v>0</v>
      </c>
      <c r="S8" s="2587"/>
      <c r="T8" s="2587" t="s">
        <v>2343</v>
      </c>
      <c r="U8" s="2587"/>
      <c r="V8" s="2595"/>
    </row>
    <row r="9" spans="1:22" s="2599" customFormat="1" ht="13.2" customHeight="1">
      <c r="A9" s="2634">
        <v>1</v>
      </c>
      <c r="B9" s="3449" t="s">
        <v>2344</v>
      </c>
      <c r="C9" s="3450"/>
      <c r="D9" s="2635">
        <f>ROUND(D6*E9,0)</f>
        <v>0</v>
      </c>
      <c r="E9" s="2639"/>
      <c r="F9" s="2640" t="s">
        <v>2345</v>
      </c>
      <c r="G9" s="2619"/>
      <c r="H9" s="2594"/>
      <c r="I9" s="2595"/>
      <c r="J9" s="3432"/>
      <c r="K9" s="3434"/>
      <c r="L9" s="2629" t="s">
        <v>2346</v>
      </c>
      <c r="M9" s="2630"/>
      <c r="N9" s="2606"/>
      <c r="O9" s="2631"/>
      <c r="P9" s="2631"/>
      <c r="Q9" s="2632">
        <v>365</v>
      </c>
      <c r="R9" s="2633">
        <f t="shared" si="0"/>
        <v>0</v>
      </c>
      <c r="S9" s="2587"/>
      <c r="T9" s="2587"/>
      <c r="U9" s="2587"/>
      <c r="V9" s="2595"/>
    </row>
    <row r="10" spans="1:22" s="2599" customFormat="1" ht="13.2" customHeight="1">
      <c r="A10" s="2634">
        <v>2</v>
      </c>
      <c r="B10" s="3449" t="s">
        <v>2347</v>
      </c>
      <c r="C10" s="3450"/>
      <c r="D10" s="2635">
        <f>ROUND(D6*E10,0)</f>
        <v>0</v>
      </c>
      <c r="E10" s="2639"/>
      <c r="F10" s="2640" t="s">
        <v>2348</v>
      </c>
      <c r="G10" s="2619"/>
      <c r="H10" s="2594"/>
      <c r="I10" s="2595"/>
      <c r="J10" s="3432"/>
      <c r="K10" s="3434"/>
      <c r="L10" s="2629" t="s">
        <v>2349</v>
      </c>
      <c r="M10" s="2630"/>
      <c r="N10" s="2606"/>
      <c r="O10" s="2631"/>
      <c r="P10" s="2631"/>
      <c r="Q10" s="2632">
        <v>365</v>
      </c>
      <c r="R10" s="2633">
        <f t="shared" si="0"/>
        <v>0</v>
      </c>
      <c r="S10" s="2587"/>
      <c r="T10" s="2587"/>
      <c r="U10" s="2587"/>
      <c r="V10" s="2595"/>
    </row>
    <row r="11" spans="1:22" s="2599" customFormat="1" ht="13.2" customHeight="1">
      <c r="A11" s="2634">
        <v>3</v>
      </c>
      <c r="B11" s="3449" t="s">
        <v>2350</v>
      </c>
      <c r="C11" s="3450"/>
      <c r="D11" s="2635">
        <f>D12+D14+D15+D16</f>
        <v>0</v>
      </c>
      <c r="E11" s="2641" t="e">
        <f>D11/D6</f>
        <v>#DIV/0!</v>
      </c>
      <c r="F11" s="2637"/>
      <c r="G11" s="2638"/>
      <c r="H11" s="2594"/>
      <c r="I11" s="2595"/>
      <c r="J11" s="3432"/>
      <c r="K11" s="3434"/>
      <c r="L11" s="2629" t="s">
        <v>2351</v>
      </c>
      <c r="M11" s="2630"/>
      <c r="N11" s="2606"/>
      <c r="O11" s="2631"/>
      <c r="P11" s="2631"/>
      <c r="Q11" s="2632">
        <v>365</v>
      </c>
      <c r="R11" s="2633">
        <f t="shared" si="0"/>
        <v>0</v>
      </c>
      <c r="S11" s="2587"/>
      <c r="T11" s="2587"/>
      <c r="U11" s="2587"/>
      <c r="V11" s="2595"/>
    </row>
    <row r="12" spans="1:22" s="2599" customFormat="1" ht="13.2" customHeight="1">
      <c r="A12" s="2642" t="s">
        <v>2352</v>
      </c>
      <c r="B12" s="3442" t="s">
        <v>2353</v>
      </c>
      <c r="C12" s="3443"/>
      <c r="D12" s="2643">
        <f>ROUND(D13*1.2%*(1-30%),0)</f>
        <v>0</v>
      </c>
      <c r="E12" s="2644">
        <v>1.2E-2</v>
      </c>
      <c r="F12" s="2637" t="s">
        <v>2354</v>
      </c>
      <c r="G12" s="2638"/>
      <c r="H12" s="2594"/>
      <c r="I12" s="2595"/>
      <c r="J12" s="3432"/>
      <c r="K12" s="3434"/>
      <c r="L12" s="2629" t="s">
        <v>2355</v>
      </c>
      <c r="M12" s="2630"/>
      <c r="N12" s="2606"/>
      <c r="O12" s="2631"/>
      <c r="P12" s="2631"/>
      <c r="Q12" s="2632">
        <v>365</v>
      </c>
      <c r="R12" s="2633">
        <f t="shared" si="0"/>
        <v>0</v>
      </c>
      <c r="S12" s="2587"/>
      <c r="T12" s="2587"/>
      <c r="U12" s="2587"/>
      <c r="V12" s="2595"/>
    </row>
    <row r="13" spans="1:22" s="2599" customFormat="1" ht="13.2" customHeight="1">
      <c r="A13" s="2642"/>
      <c r="B13" s="2645"/>
      <c r="C13" s="2646" t="s">
        <v>2356</v>
      </c>
      <c r="D13" s="2647"/>
      <c r="E13" s="2648"/>
      <c r="F13" s="2637"/>
      <c r="G13" s="2638"/>
      <c r="H13" s="2594"/>
      <c r="I13" s="2595"/>
      <c r="J13" s="3432"/>
      <c r="K13" s="3434"/>
      <c r="L13" s="2629" t="s">
        <v>2357</v>
      </c>
      <c r="M13" s="2630"/>
      <c r="N13" s="2606"/>
      <c r="O13" s="2631"/>
      <c r="P13" s="2631"/>
      <c r="Q13" s="2632">
        <v>365</v>
      </c>
      <c r="R13" s="2633">
        <f t="shared" si="0"/>
        <v>0</v>
      </c>
      <c r="S13" s="2587"/>
      <c r="T13" s="2587"/>
      <c r="U13" s="2587"/>
      <c r="V13" s="2595"/>
    </row>
    <row r="14" spans="1:22" s="2599" customFormat="1" ht="13.2" customHeight="1">
      <c r="A14" s="2642" t="s">
        <v>2358</v>
      </c>
      <c r="B14" s="3442" t="s">
        <v>2359</v>
      </c>
      <c r="C14" s="3443"/>
      <c r="D14" s="2643">
        <f>ROUND(E14*B5/10000,0)</f>
        <v>0</v>
      </c>
      <c r="E14" s="2632"/>
      <c r="F14" s="2637" t="s">
        <v>2360</v>
      </c>
      <c r="G14" s="2638"/>
      <c r="H14" s="2594"/>
      <c r="I14" s="2595"/>
      <c r="J14" s="3432"/>
      <c r="K14" s="3435"/>
      <c r="L14" s="2649" t="s">
        <v>2361</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2362</v>
      </c>
      <c r="B15" s="3442" t="s">
        <v>2363</v>
      </c>
      <c r="C15" s="3443"/>
      <c r="D15" s="2643">
        <f>ROUND(D6*E15,0)</f>
        <v>0</v>
      </c>
      <c r="E15" s="2644">
        <v>5.5E-2</v>
      </c>
      <c r="F15" s="2637" t="s">
        <v>2364</v>
      </c>
      <c r="G15" s="2619"/>
      <c r="H15" s="2594"/>
      <c r="I15" s="2595"/>
      <c r="J15" s="3432">
        <v>2</v>
      </c>
      <c r="K15" s="3433" t="s">
        <v>2365</v>
      </c>
      <c r="L15" s="2629" t="s">
        <v>2366</v>
      </c>
      <c r="M15" s="2630" t="s">
        <v>2367</v>
      </c>
      <c r="N15" s="2630" t="s">
        <v>2368</v>
      </c>
      <c r="O15" s="2631" t="s">
        <v>2369</v>
      </c>
      <c r="P15" s="2631" t="s">
        <v>2331</v>
      </c>
      <c r="Q15" s="2606" t="s">
        <v>2370</v>
      </c>
      <c r="R15" s="2653" t="s">
        <v>2332</v>
      </c>
      <c r="S15" s="2587"/>
      <c r="T15" s="2587"/>
      <c r="U15" s="2587"/>
      <c r="V15" s="2595"/>
    </row>
    <row r="16" spans="1:22" s="2599" customFormat="1" ht="13.2" customHeight="1">
      <c r="A16" s="2642" t="s">
        <v>2371</v>
      </c>
      <c r="B16" s="3442" t="s">
        <v>2372</v>
      </c>
      <c r="C16" s="3443"/>
      <c r="D16" s="2654">
        <f>D6*E16</f>
        <v>0</v>
      </c>
      <c r="E16" s="2655"/>
      <c r="F16" s="2640" t="s">
        <v>2373</v>
      </c>
      <c r="G16" s="2619"/>
      <c r="H16" s="2594"/>
      <c r="I16" s="2595"/>
      <c r="J16" s="3432"/>
      <c r="K16" s="3434"/>
      <c r="L16" s="2629" t="s">
        <v>2374</v>
      </c>
      <c r="M16" s="2630"/>
      <c r="N16" s="2630"/>
      <c r="O16" s="2631"/>
      <c r="P16" s="2632">
        <v>365</v>
      </c>
      <c r="Q16" s="2606"/>
      <c r="R16" s="2653">
        <f>ROUND(M16*N16*O16*P16/10000,0)</f>
        <v>0</v>
      </c>
      <c r="S16" s="2587"/>
      <c r="T16" s="2587"/>
      <c r="U16" s="2587"/>
      <c r="V16" s="2595"/>
    </row>
    <row r="17" spans="1:22" s="2599" customFormat="1" ht="13.2" customHeight="1" thickBot="1">
      <c r="A17" s="2656">
        <v>4</v>
      </c>
      <c r="B17" s="3444" t="s">
        <v>2375</v>
      </c>
      <c r="C17" s="3445"/>
      <c r="D17" s="2657">
        <f>ROUND(D6*E17,0)</f>
        <v>0</v>
      </c>
      <c r="E17" s="2658"/>
      <c r="F17" s="2659" t="s">
        <v>2376</v>
      </c>
      <c r="G17" s="2619"/>
      <c r="H17" s="2594"/>
      <c r="I17" s="2595"/>
      <c r="J17" s="3432"/>
      <c r="K17" s="3434"/>
      <c r="L17" s="2629" t="s">
        <v>2377</v>
      </c>
      <c r="M17" s="2630"/>
      <c r="N17" s="2630"/>
      <c r="O17" s="2631"/>
      <c r="P17" s="2632">
        <v>365</v>
      </c>
      <c r="Q17" s="2606"/>
      <c r="R17" s="2653">
        <f>ROUND(M17*N17*O17*P17/10000,0)</f>
        <v>0</v>
      </c>
      <c r="S17" s="2587"/>
      <c r="T17" s="2587"/>
      <c r="U17" s="2587"/>
      <c r="V17" s="2595"/>
    </row>
    <row r="18" spans="1:22" s="2599" customFormat="1" ht="13.2" customHeight="1" thickBot="1">
      <c r="A18" s="2622" t="s">
        <v>2378</v>
      </c>
      <c r="B18" s="2623"/>
      <c r="C18" s="2623"/>
      <c r="D18" s="2660">
        <f>ROUND(D6*E18,0)</f>
        <v>0</v>
      </c>
      <c r="E18" s="2661"/>
      <c r="F18" s="2662" t="s">
        <v>2379</v>
      </c>
      <c r="G18" s="2619"/>
      <c r="H18" s="2594"/>
      <c r="I18" s="2595"/>
      <c r="J18" s="3432"/>
      <c r="K18" s="3434"/>
      <c r="L18" s="2629" t="s">
        <v>2380</v>
      </c>
      <c r="M18" s="2630"/>
      <c r="N18" s="2630"/>
      <c r="O18" s="2631"/>
      <c r="P18" s="2632">
        <v>365</v>
      </c>
      <c r="Q18" s="2606"/>
      <c r="R18" s="2653">
        <f>ROUND(M18*N18*O18*P18/10000,0)</f>
        <v>0</v>
      </c>
      <c r="S18" s="2587"/>
      <c r="T18" s="2587"/>
      <c r="U18" s="2587"/>
      <c r="V18" s="2595"/>
    </row>
    <row r="19" spans="1:22" s="2599" customFormat="1" ht="13.2" customHeight="1" thickBot="1">
      <c r="A19" s="2663" t="s">
        <v>2381</v>
      </c>
      <c r="B19" s="2617"/>
      <c r="C19" s="2617"/>
      <c r="D19" s="2617"/>
      <c r="E19" s="2617"/>
      <c r="F19" s="2618"/>
      <c r="G19" s="2638"/>
      <c r="H19" s="2594"/>
      <c r="I19" s="2595"/>
      <c r="J19" s="3432"/>
      <c r="K19" s="3435"/>
      <c r="L19" s="2649" t="s">
        <v>2361</v>
      </c>
      <c r="M19" s="2650"/>
      <c r="N19" s="2650">
        <f>SUM(N16:N18)</f>
        <v>0</v>
      </c>
      <c r="O19" s="2651"/>
      <c r="P19" s="2664" t="s">
        <v>2425</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432">
        <v>3</v>
      </c>
      <c r="K20" s="3433" t="s">
        <v>2382</v>
      </c>
      <c r="L20" s="2629" t="s">
        <v>2383</v>
      </c>
      <c r="M20" s="2630" t="s">
        <v>2384</v>
      </c>
      <c r="N20" s="2667" t="s">
        <v>2385</v>
      </c>
      <c r="O20" s="2631" t="s">
        <v>2386</v>
      </c>
      <c r="P20" s="2632" t="s">
        <v>2387</v>
      </c>
      <c r="Q20" s="2606" t="s">
        <v>2388</v>
      </c>
      <c r="R20" s="2653" t="s">
        <v>2389</v>
      </c>
      <c r="S20" s="2587"/>
      <c r="T20" s="2587"/>
      <c r="U20" s="2587"/>
      <c r="V20" s="2595"/>
    </row>
    <row r="21" spans="1:22" s="2599" customFormat="1" ht="13.2" customHeight="1">
      <c r="A21" s="2622"/>
      <c r="B21" s="2623"/>
      <c r="C21" s="2668" t="s">
        <v>2390</v>
      </c>
      <c r="D21" s="2669" t="s">
        <v>2391</v>
      </c>
      <c r="E21" s="2670" t="s">
        <v>2392</v>
      </c>
      <c r="F21" s="2666"/>
      <c r="G21" s="2638"/>
      <c r="H21" s="2594"/>
      <c r="I21" s="2595"/>
      <c r="J21" s="3432"/>
      <c r="K21" s="3434"/>
      <c r="L21" s="2629" t="s">
        <v>2393</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2394</v>
      </c>
      <c r="D22" s="2673" t="s">
        <v>2395</v>
      </c>
      <c r="E22" s="2674" t="s">
        <v>2396</v>
      </c>
      <c r="F22" s="2666"/>
      <c r="G22" s="2587"/>
      <c r="H22" s="2594"/>
      <c r="I22" s="2595"/>
      <c r="J22" s="3432"/>
      <c r="K22" s="3434"/>
      <c r="L22" s="2629" t="s">
        <v>2397</v>
      </c>
      <c r="M22" s="2630"/>
      <c r="N22" s="2630"/>
      <c r="O22" s="2631"/>
      <c r="P22" s="2632">
        <v>365</v>
      </c>
      <c r="Q22" s="2606"/>
      <c r="R22" s="2671">
        <f>ROUND(M22*N22*O22*P22/10000,0)</f>
        <v>0</v>
      </c>
      <c r="S22" s="2587"/>
      <c r="T22" s="2587"/>
      <c r="U22" s="2587"/>
      <c r="V22" s="2595"/>
    </row>
    <row r="23" spans="1:22" s="2599" customFormat="1" ht="13.2" customHeight="1">
      <c r="A23" s="2675">
        <v>1</v>
      </c>
      <c r="B23" s="2676" t="s">
        <v>2398</v>
      </c>
      <c r="C23" s="2677">
        <f>D6</f>
        <v>0</v>
      </c>
      <c r="D23" s="2678">
        <f>C23*(1+D24)</f>
        <v>0</v>
      </c>
      <c r="E23" s="2679">
        <f>D23*(1+E24)</f>
        <v>0</v>
      </c>
      <c r="F23" s="2680"/>
      <c r="G23" s="2681"/>
      <c r="H23" s="2594"/>
      <c r="I23" s="2595"/>
      <c r="J23" s="3432"/>
      <c r="K23" s="3434"/>
      <c r="L23" s="2629" t="s">
        <v>2399</v>
      </c>
      <c r="M23" s="2630"/>
      <c r="N23" s="2630"/>
      <c r="O23" s="2631"/>
      <c r="P23" s="2632">
        <v>365</v>
      </c>
      <c r="Q23" s="2606"/>
      <c r="R23" s="2671">
        <f>ROUND(M23*N23*O23*P23/10000,0)</f>
        <v>0</v>
      </c>
      <c r="S23" s="2587"/>
      <c r="T23" s="2587"/>
      <c r="U23" s="2587"/>
      <c r="V23" s="2595"/>
    </row>
    <row r="24" spans="1:22" s="2599" customFormat="1" ht="13.2" customHeight="1">
      <c r="A24" s="2682"/>
      <c r="B24" s="2683" t="s">
        <v>2400</v>
      </c>
      <c r="C24" s="2684"/>
      <c r="D24" s="2685"/>
      <c r="E24" s="2686"/>
      <c r="F24" s="2687"/>
      <c r="G24" s="2681"/>
      <c r="H24" s="2594"/>
      <c r="I24" s="2595"/>
      <c r="J24" s="3432"/>
      <c r="K24" s="3435"/>
      <c r="L24" s="2649" t="s">
        <v>2361</v>
      </c>
      <c r="M24" s="2650">
        <f>SUM(M21:M23)</f>
        <v>0</v>
      </c>
      <c r="N24" s="2650"/>
      <c r="O24" s="2651"/>
      <c r="P24" s="2664" t="s">
        <v>2425</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2401</v>
      </c>
      <c r="L25" s="2690"/>
      <c r="M25" s="2690"/>
      <c r="N25" s="2690"/>
      <c r="O25" s="2690"/>
      <c r="P25" s="2691"/>
      <c r="Q25" s="2692">
        <v>0</v>
      </c>
      <c r="R25" s="2665">
        <f>ROUND(R14*Q25,0)</f>
        <v>0</v>
      </c>
      <c r="S25" s="2587"/>
      <c r="T25" s="2587"/>
      <c r="U25" s="2587"/>
      <c r="V25" s="2693"/>
    </row>
    <row r="26" spans="1:22" s="2694" customFormat="1" ht="13.2" customHeight="1">
      <c r="A26" s="2675">
        <v>2</v>
      </c>
      <c r="B26" s="2676" t="s">
        <v>2402</v>
      </c>
      <c r="C26" s="2677">
        <f>D7</f>
        <v>0</v>
      </c>
      <c r="D26" s="2678">
        <f>D23*D27</f>
        <v>0</v>
      </c>
      <c r="E26" s="2679">
        <f>E23*E27</f>
        <v>0</v>
      </c>
      <c r="F26" s="2680"/>
      <c r="G26" s="2681"/>
      <c r="H26" s="2594"/>
      <c r="I26" s="2595"/>
      <c r="J26" s="3436">
        <v>5</v>
      </c>
      <c r="K26" s="2695" t="s">
        <v>2403</v>
      </c>
      <c r="L26" s="2696"/>
      <c r="M26" s="2697"/>
      <c r="N26" s="2698" t="s">
        <v>2404</v>
      </c>
      <c r="O26" s="2698" t="s">
        <v>2405</v>
      </c>
      <c r="P26" s="2699" t="s">
        <v>2406</v>
      </c>
      <c r="Q26" s="2699" t="s">
        <v>2407</v>
      </c>
      <c r="R26" s="2604" t="s">
        <v>2332</v>
      </c>
      <c r="S26" s="2638"/>
      <c r="T26" s="2638"/>
      <c r="U26" s="2638"/>
      <c r="V26" s="2693"/>
    </row>
    <row r="27" spans="1:22" s="2599" customFormat="1" ht="13.2" customHeight="1">
      <c r="A27" s="2682"/>
      <c r="B27" s="2683" t="s">
        <v>2408</v>
      </c>
      <c r="C27" s="2700" t="e">
        <f>E7</f>
        <v>#DIV/0!</v>
      </c>
      <c r="D27" s="2685"/>
      <c r="E27" s="2686"/>
      <c r="F27" s="2687"/>
      <c r="G27" s="2681"/>
      <c r="H27" s="2701"/>
      <c r="I27" s="2693"/>
      <c r="J27" s="3437"/>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2409</v>
      </c>
      <c r="F28" s="2687"/>
      <c r="G28" s="2587"/>
      <c r="H28" s="2701"/>
      <c r="I28" s="2693"/>
      <c r="J28" s="2707">
        <v>6</v>
      </c>
      <c r="K28" s="2708" t="s">
        <v>2410</v>
      </c>
      <c r="L28" s="2709" t="s">
        <v>2411</v>
      </c>
      <c r="M28" s="2710"/>
      <c r="N28" s="2709" t="s">
        <v>2412</v>
      </c>
      <c r="O28" s="2711"/>
      <c r="P28" s="2709" t="s">
        <v>2413</v>
      </c>
      <c r="Q28" s="2712">
        <v>1.4999999999999999E-2</v>
      </c>
      <c r="R28" s="2713"/>
      <c r="S28" s="2587"/>
      <c r="T28" s="2587"/>
      <c r="U28" s="2587"/>
      <c r="V28" s="2693"/>
    </row>
    <row r="29" spans="1:22" s="2694" customFormat="1" ht="13.2" customHeight="1">
      <c r="A29" s="2675">
        <v>3</v>
      </c>
      <c r="B29" s="2676" t="s">
        <v>2414</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2408</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2415</v>
      </c>
      <c r="K31" s="2585"/>
      <c r="L31" s="2585"/>
      <c r="M31" s="2585"/>
      <c r="N31" s="2585"/>
      <c r="O31" s="2585"/>
      <c r="P31" s="2585"/>
      <c r="Q31" s="2585"/>
      <c r="R31" s="2586"/>
      <c r="S31" s="2587"/>
      <c r="T31" s="2587"/>
      <c r="U31" s="2587"/>
      <c r="V31" s="2693"/>
    </row>
    <row r="32" spans="1:22" s="2694" customFormat="1" ht="13.2" customHeight="1">
      <c r="A32" s="2675">
        <v>4</v>
      </c>
      <c r="B32" s="2676" t="s">
        <v>2416</v>
      </c>
      <c r="C32" s="2677">
        <f>C23-C26-C29</f>
        <v>0</v>
      </c>
      <c r="D32" s="2678">
        <f>D23-D26-D29</f>
        <v>0</v>
      </c>
      <c r="E32" s="2679">
        <f>E23-E26-E29</f>
        <v>0</v>
      </c>
      <c r="F32" s="2680"/>
      <c r="G32" s="2587"/>
      <c r="H32" s="2594"/>
      <c r="I32" s="2595"/>
      <c r="J32" s="3438" t="s">
        <v>2308</v>
      </c>
      <c r="K32" s="3439"/>
      <c r="L32" s="2596" t="s">
        <v>2309</v>
      </c>
      <c r="M32" s="2596" t="s">
        <v>2310</v>
      </c>
      <c r="N32" s="2596" t="s">
        <v>2311</v>
      </c>
      <c r="O32" s="2596" t="s">
        <v>2312</v>
      </c>
      <c r="P32" s="2596" t="s">
        <v>2313</v>
      </c>
      <c r="Q32" s="2597" t="s">
        <v>2314</v>
      </c>
      <c r="R32" s="2716" t="s">
        <v>2315</v>
      </c>
      <c r="S32" s="2587"/>
      <c r="T32" s="2587"/>
      <c r="U32" s="2587"/>
      <c r="V32" s="2693"/>
    </row>
    <row r="33" spans="1:23" s="2599" customFormat="1" ht="13.2" customHeight="1">
      <c r="A33" s="2675"/>
      <c r="B33" s="2676"/>
      <c r="C33" s="2677"/>
      <c r="D33" s="2717"/>
      <c r="E33" s="2718"/>
      <c r="F33" s="2680"/>
      <c r="G33" s="2587"/>
      <c r="H33" s="2701"/>
      <c r="I33" s="2693"/>
      <c r="J33" s="3440" t="s">
        <v>2318</v>
      </c>
      <c r="K33" s="3441"/>
      <c r="L33" s="2602"/>
      <c r="M33" s="2602"/>
      <c r="N33" s="2602"/>
      <c r="O33" s="2602"/>
      <c r="P33" s="2602"/>
      <c r="Q33" s="2603"/>
      <c r="R33" s="2719">
        <f>SUM(L33:Q33)</f>
        <v>0</v>
      </c>
      <c r="S33" s="2587"/>
      <c r="T33" s="2587"/>
      <c r="U33" s="2587"/>
      <c r="V33" s="2595"/>
    </row>
    <row r="34" spans="1:23" s="2599" customFormat="1" ht="13.2" customHeight="1">
      <c r="A34" s="2675">
        <v>5</v>
      </c>
      <c r="B34" s="2676" t="s">
        <v>2417</v>
      </c>
      <c r="C34" s="2720"/>
      <c r="D34" s="2721"/>
      <c r="E34" s="2722"/>
      <c r="F34" s="2680"/>
      <c r="G34" s="2587"/>
      <c r="H34" s="2701"/>
      <c r="I34" s="2693"/>
      <c r="J34" s="3440" t="s">
        <v>2320</v>
      </c>
      <c r="K34" s="3441"/>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2418</v>
      </c>
      <c r="C35" s="2724"/>
      <c r="D35" s="2725"/>
      <c r="E35" s="2726"/>
      <c r="F35" s="2680"/>
      <c r="G35" s="2727"/>
      <c r="H35" s="2594"/>
      <c r="I35" s="2693"/>
      <c r="J35" s="2613" t="s">
        <v>2322</v>
      </c>
      <c r="K35" s="2614"/>
      <c r="L35" s="2614"/>
      <c r="M35" s="2615"/>
      <c r="N35" s="2615"/>
      <c r="O35" s="2615"/>
      <c r="P35" s="2615"/>
      <c r="Q35" s="2615"/>
      <c r="R35" s="2728">
        <f>R40+R41+R43</f>
        <v>0</v>
      </c>
      <c r="S35" s="2587"/>
      <c r="T35" s="2587" t="s">
        <v>2323</v>
      </c>
      <c r="U35" s="2587"/>
      <c r="V35" s="2595"/>
    </row>
    <row r="36" spans="1:23" s="2599" customFormat="1" ht="13.2" customHeight="1" thickBot="1">
      <c r="A36" s="2675">
        <v>7</v>
      </c>
      <c r="B36" s="2729" t="s">
        <v>2419</v>
      </c>
      <c r="C36" s="2730"/>
      <c r="D36" s="2731"/>
      <c r="E36" s="2732"/>
      <c r="F36" s="2733">
        <f>C36+D36+E36</f>
        <v>0</v>
      </c>
      <c r="G36" s="2587"/>
      <c r="H36" s="2594"/>
      <c r="I36" s="2595"/>
      <c r="J36" s="3432">
        <v>1</v>
      </c>
      <c r="K36" s="3433" t="s">
        <v>2420</v>
      </c>
      <c r="L36" s="2620"/>
      <c r="M36" s="2621"/>
      <c r="N36" s="2621"/>
      <c r="O36" s="2621"/>
      <c r="P36" s="2621"/>
      <c r="Q36" s="2621"/>
      <c r="R36" s="2604" t="s">
        <v>2332</v>
      </c>
      <c r="S36" s="2587"/>
      <c r="T36" s="2587" t="s">
        <v>2333</v>
      </c>
      <c r="U36" s="2587"/>
      <c r="V36" s="2595"/>
    </row>
    <row r="37" spans="1:23" s="2599" customFormat="1" ht="13.2" customHeight="1">
      <c r="A37" s="2675"/>
      <c r="B37" s="2676"/>
      <c r="C37" s="2676"/>
      <c r="D37" s="2676"/>
      <c r="E37" s="2676"/>
      <c r="F37" s="2680"/>
      <c r="G37" s="2587"/>
      <c r="H37" s="2594"/>
      <c r="I37" s="2595"/>
      <c r="J37" s="3432"/>
      <c r="K37" s="3434"/>
      <c r="L37" s="2629"/>
      <c r="M37" s="2630"/>
      <c r="N37" s="2606"/>
      <c r="O37" s="2631"/>
      <c r="P37" s="2631"/>
      <c r="Q37" s="2632"/>
      <c r="R37" s="2633"/>
      <c r="S37" s="2587"/>
      <c r="T37" s="2587" t="s">
        <v>2336</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432"/>
      <c r="K38" s="3434"/>
      <c r="L38" s="2629"/>
      <c r="M38" s="2630"/>
      <c r="N38" s="2606"/>
      <c r="O38" s="2631"/>
      <c r="P38" s="2631"/>
      <c r="Q38" s="2632"/>
      <c r="R38" s="2633"/>
      <c r="S38" s="2587"/>
      <c r="T38" s="2587" t="s">
        <v>2343</v>
      </c>
      <c r="U38" s="2587"/>
      <c r="V38" s="2595"/>
    </row>
    <row r="39" spans="1:23" s="2599" customFormat="1" ht="13.2" customHeight="1">
      <c r="A39" s="2675">
        <v>9</v>
      </c>
      <c r="B39" s="2676" t="s">
        <v>2421</v>
      </c>
      <c r="C39" s="2643" t="e">
        <f>C38</f>
        <v>#DIV/0!</v>
      </c>
      <c r="D39" s="2676">
        <f>D38/(1+D34)^C36</f>
        <v>0</v>
      </c>
      <c r="E39" s="2676">
        <f>E38/(1+E34)^(C36+D36)</f>
        <v>0</v>
      </c>
      <c r="F39" s="2680"/>
      <c r="G39" s="2595"/>
      <c r="H39" s="2594"/>
      <c r="I39" s="2595"/>
      <c r="J39" s="3432"/>
      <c r="K39" s="3434"/>
      <c r="L39" s="2629"/>
      <c r="M39" s="2630"/>
      <c r="N39" s="2606"/>
      <c r="O39" s="2631"/>
      <c r="P39" s="2631"/>
      <c r="Q39" s="2632"/>
      <c r="R39" s="2633"/>
      <c r="S39" s="2587"/>
      <c r="T39" s="2587"/>
      <c r="U39" s="2587"/>
      <c r="V39" s="2595"/>
    </row>
    <row r="40" spans="1:23" s="2599" customFormat="1" ht="13.2" customHeight="1">
      <c r="A40" s="2734">
        <v>10</v>
      </c>
      <c r="B40" s="2676" t="s">
        <v>2422</v>
      </c>
      <c r="C40" s="2735" t="e">
        <f>C39+D39+E39</f>
        <v>#DIV/0!</v>
      </c>
      <c r="D40" s="2736"/>
      <c r="E40" s="2736"/>
      <c r="F40" s="2737"/>
      <c r="G40" s="2587"/>
      <c r="H40" s="2594"/>
      <c r="I40" s="2595"/>
      <c r="J40" s="3432"/>
      <c r="K40" s="3435"/>
      <c r="L40" s="2649" t="s">
        <v>2361</v>
      </c>
      <c r="M40" s="2650"/>
      <c r="N40" s="2650"/>
      <c r="O40" s="2651"/>
      <c r="P40" s="2651"/>
      <c r="Q40" s="2652"/>
      <c r="R40" s="2598">
        <f>SUM(R37:R39)</f>
        <v>0</v>
      </c>
      <c r="S40" s="2587"/>
      <c r="T40" s="2587"/>
      <c r="U40" s="2587"/>
      <c r="V40" s="2595"/>
    </row>
    <row r="41" spans="1:23" s="2599" customFormat="1" ht="13.2" customHeight="1" thickBot="1">
      <c r="A41" s="2738">
        <v>11</v>
      </c>
      <c r="B41" s="2739" t="s">
        <v>2423</v>
      </c>
      <c r="C41" s="2739" t="e">
        <f>ROUND(C40*10000/B4,0)</f>
        <v>#DIV/0!</v>
      </c>
      <c r="D41" s="2740"/>
      <c r="E41" s="2740"/>
      <c r="F41" s="2741"/>
      <c r="G41" s="2594"/>
      <c r="H41" s="2594"/>
      <c r="I41" s="2595"/>
      <c r="J41" s="2688">
        <v>2</v>
      </c>
      <c r="K41" s="2689" t="s">
        <v>2401</v>
      </c>
      <c r="L41" s="2690"/>
      <c r="M41" s="2690"/>
      <c r="N41" s="2690"/>
      <c r="O41" s="2690"/>
      <c r="P41" s="2691"/>
      <c r="Q41" s="2692"/>
      <c r="R41" s="2665">
        <f>ROUND(R40*Q41,0)</f>
        <v>0</v>
      </c>
      <c r="S41" s="2587"/>
      <c r="T41" s="2587"/>
      <c r="U41" s="2638"/>
      <c r="V41" s="2595"/>
    </row>
    <row r="42" spans="1:23" s="2599" customFormat="1" ht="13.2" customHeight="1">
      <c r="G42" s="2594"/>
      <c r="H42" s="2594"/>
      <c r="I42" s="2595"/>
      <c r="J42" s="3436">
        <v>3</v>
      </c>
      <c r="K42" s="2695" t="s">
        <v>2403</v>
      </c>
      <c r="L42" s="2696"/>
      <c r="M42" s="2697"/>
      <c r="N42" s="2698" t="s">
        <v>2404</v>
      </c>
      <c r="O42" s="2698" t="s">
        <v>2405</v>
      </c>
      <c r="P42" s="2699" t="s">
        <v>2406</v>
      </c>
      <c r="Q42" s="2699" t="s">
        <v>2407</v>
      </c>
      <c r="R42" s="2604" t="s">
        <v>2332</v>
      </c>
      <c r="S42" s="2638"/>
      <c r="T42" s="2638"/>
      <c r="U42" s="2587"/>
      <c r="V42" s="2595"/>
    </row>
    <row r="43" spans="1:23" ht="13.2" customHeight="1">
      <c r="A43" s="2599"/>
      <c r="B43" s="2599"/>
      <c r="C43" s="2599"/>
      <c r="D43" s="2599"/>
      <c r="E43" s="2599"/>
      <c r="F43" s="2599"/>
      <c r="I43" s="2582"/>
      <c r="J43" s="3437"/>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2410</v>
      </c>
      <c r="L44" s="2744" t="s">
        <v>2411</v>
      </c>
      <c r="M44" s="2710"/>
      <c r="N44" s="2744" t="s">
        <v>2412</v>
      </c>
      <c r="O44" s="2710"/>
      <c r="P44" s="2744" t="s">
        <v>2413</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4"/>
      <c r="G1" s="459"/>
      <c r="H1" s="459"/>
      <c r="I1" s="459"/>
      <c r="J1" s="459"/>
      <c r="K1" s="459"/>
      <c r="L1" s="459"/>
      <c r="M1" s="459"/>
      <c r="N1" s="459"/>
      <c r="O1" s="459"/>
      <c r="P1" s="459"/>
      <c r="Q1" s="459"/>
      <c r="R1" s="459"/>
      <c r="S1" s="459"/>
    </row>
    <row r="2" spans="1:22" ht="15.6">
      <c r="A2" s="1727" t="s">
        <v>1462</v>
      </c>
      <c r="B2" s="810">
        <f ca="1">SUMIF(B6:B13,"&lt;&gt;#ref!",B6:B13)</f>
        <v>1797</v>
      </c>
      <c r="C2" s="1728" t="s">
        <v>1651</v>
      </c>
      <c r="D2" s="1729" t="s">
        <v>1652</v>
      </c>
      <c r="E2" s="2387">
        <f>SUM(E6:E13)</f>
        <v>2023.2099999999996</v>
      </c>
      <c r="F2" s="2474"/>
      <c r="G2" s="459"/>
      <c r="H2" s="459"/>
      <c r="I2" s="459"/>
      <c r="J2" s="459"/>
      <c r="K2" s="459"/>
      <c r="L2" s="459"/>
      <c r="M2" s="459"/>
      <c r="N2" s="459"/>
      <c r="O2" s="459"/>
      <c r="P2" s="459"/>
      <c r="Q2" s="459"/>
      <c r="R2" s="459"/>
      <c r="S2" s="459"/>
    </row>
    <row r="3" spans="1:22" ht="15.6">
      <c r="A3" s="1727" t="s">
        <v>686</v>
      </c>
      <c r="B3" s="2381">
        <f ca="1">ROUND(B2*10000/E2,0)</f>
        <v>8882</v>
      </c>
      <c r="C3" s="1728"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3" t="s">
        <v>1653</v>
      </c>
      <c r="B5" s="3451" t="s">
        <v>1654</v>
      </c>
      <c r="C5" s="3452"/>
      <c r="D5" s="2475"/>
      <c r="E5" s="1730" t="s">
        <v>1655</v>
      </c>
      <c r="F5" s="129" t="s">
        <v>1656</v>
      </c>
      <c r="G5" s="459"/>
      <c r="H5" s="459"/>
      <c r="I5" s="459"/>
      <c r="J5" s="459"/>
      <c r="K5" s="459"/>
      <c r="L5" s="459"/>
      <c r="M5" s="459"/>
      <c r="N5" s="459"/>
      <c r="O5" s="459"/>
      <c r="P5" s="459"/>
      <c r="Q5" s="459"/>
      <c r="R5" s="459"/>
      <c r="S5" s="459"/>
    </row>
    <row r="6" spans="1:22" ht="14.4">
      <c r="A6" s="2384">
        <f>'数据-取费表'!AN6</f>
        <v>0</v>
      </c>
      <c r="B6" s="2382" t="e">
        <f ca="1">IF(F6="是",'数据-取费表'!AO6,0)</f>
        <v>#REF!</v>
      </c>
      <c r="C6" s="1728" t="s">
        <v>1651</v>
      </c>
      <c r="D6" s="2474"/>
      <c r="E6" s="2386">
        <f>IF(OR(A6=0,F6="否"),0,'数据-取费表'!K6+'数据-取费表'!S6)</f>
        <v>0</v>
      </c>
      <c r="F6" s="1731" t="s">
        <v>1657</v>
      </c>
      <c r="G6" s="459"/>
      <c r="H6" s="459"/>
      <c r="I6" s="459"/>
      <c r="J6" s="459"/>
      <c r="K6" s="459"/>
      <c r="L6" s="459"/>
      <c r="M6" s="459"/>
      <c r="N6" s="459"/>
      <c r="O6" s="459"/>
      <c r="P6" s="459"/>
      <c r="Q6" s="459"/>
      <c r="R6" s="459"/>
      <c r="S6" s="459"/>
    </row>
    <row r="7" spans="1:22" ht="14.4">
      <c r="A7" s="2384">
        <f>'数据-取费表'!AN7</f>
        <v>0</v>
      </c>
      <c r="B7" s="2382" t="e">
        <f ca="1">IF(F7="是",'数据-取费表'!AO7,0)</f>
        <v>#REF!</v>
      </c>
      <c r="C7" s="1728" t="s">
        <v>1651</v>
      </c>
      <c r="D7" s="2474"/>
      <c r="E7" s="2386">
        <f>IF(OR(A7=0,F7="否"),0,'数据-取费表'!K7+'数据-取费表'!S7)</f>
        <v>0</v>
      </c>
      <c r="F7" s="1731" t="s">
        <v>1657</v>
      </c>
      <c r="G7" s="459"/>
      <c r="H7" s="459"/>
      <c r="I7" s="459"/>
      <c r="J7" s="459"/>
      <c r="K7" s="459"/>
      <c r="L7" s="459"/>
      <c r="M7" s="459"/>
      <c r="N7" s="459"/>
      <c r="O7" s="459"/>
      <c r="P7" s="459"/>
      <c r="Q7" s="459"/>
      <c r="R7" s="459"/>
      <c r="S7" s="459"/>
    </row>
    <row r="8" spans="1:22" ht="14.4">
      <c r="A8" s="2384" t="str">
        <f>'数据-取费表'!AN8</f>
        <v>收益法商</v>
      </c>
      <c r="B8" s="2382">
        <f ca="1">IF(F8="是",'数据-取费表'!AO8,0)</f>
        <v>1225</v>
      </c>
      <c r="C8" s="1728" t="s">
        <v>1651</v>
      </c>
      <c r="D8" s="2474"/>
      <c r="E8" s="2386">
        <f>IF(OR(A8=0,F8="否"),0,'数据-取费表'!K8+'数据-取费表'!S8)</f>
        <v>1236.5999999999999</v>
      </c>
      <c r="F8" s="1731" t="s">
        <v>1657</v>
      </c>
      <c r="G8" s="459"/>
      <c r="H8" s="459"/>
      <c r="I8" s="459"/>
      <c r="J8" s="459"/>
      <c r="K8" s="459"/>
      <c r="L8" s="459"/>
      <c r="M8" s="459"/>
      <c r="N8" s="459"/>
      <c r="O8" s="459"/>
      <c r="P8" s="459"/>
      <c r="Q8" s="459"/>
      <c r="R8" s="459"/>
      <c r="S8" s="459"/>
    </row>
    <row r="9" spans="1:22" ht="14.4">
      <c r="A9" s="2384" t="str">
        <f>'数据-取费表'!AN9</f>
        <v>收益法</v>
      </c>
      <c r="B9" s="2382">
        <f ca="1">IF(F9="是",'数据-取费表'!AO9,0)</f>
        <v>572</v>
      </c>
      <c r="C9" s="1728" t="s">
        <v>1651</v>
      </c>
      <c r="D9" s="2474"/>
      <c r="E9" s="2386">
        <f>IF(OR(A9=0,F9="否"),0,'数据-取费表'!K9+'数据-取费表'!S9)</f>
        <v>786.60999999999979</v>
      </c>
      <c r="F9" s="1731" t="s">
        <v>1657</v>
      </c>
      <c r="G9" s="459"/>
      <c r="H9" s="459"/>
      <c r="I9" s="459"/>
      <c r="J9" s="459"/>
      <c r="K9" s="459"/>
      <c r="L9" s="459"/>
      <c r="M9" s="459"/>
      <c r="N9" s="459"/>
      <c r="O9" s="459"/>
      <c r="P9" s="459"/>
      <c r="Q9" s="459"/>
      <c r="R9" s="459"/>
      <c r="S9" s="459"/>
    </row>
    <row r="10" spans="1:22" ht="14.4">
      <c r="A10" s="2384">
        <f>'数据-取费表'!AN10</f>
        <v>0</v>
      </c>
      <c r="B10" s="2382" t="e">
        <f ca="1">IF(F10="是",'数据-取费表'!AO10,0)</f>
        <v>#REF!</v>
      </c>
      <c r="C10" s="1728" t="s">
        <v>1651</v>
      </c>
      <c r="D10" s="2474"/>
      <c r="E10" s="2386">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4">
        <f>'数据-取费表'!AN11</f>
        <v>0</v>
      </c>
      <c r="B11" s="2382" t="e">
        <f ca="1">IF(F11="是",'数据-取费表'!AO11,0)</f>
        <v>#REF!</v>
      </c>
      <c r="C11" s="1728" t="s">
        <v>1651</v>
      </c>
      <c r="D11" s="2474"/>
      <c r="E11" s="2386">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4">
        <f>'数据-取费表'!AN12</f>
        <v>0</v>
      </c>
      <c r="B12" s="2382" t="e">
        <f ca="1">IF(F12="是",'数据-取费表'!AO12,0)</f>
        <v>#REF!</v>
      </c>
      <c r="C12" s="1728" t="s">
        <v>1651</v>
      </c>
      <c r="D12" s="2474"/>
      <c r="E12" s="2386">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2" t="s">
        <v>1651</v>
      </c>
      <c r="D13" s="2476"/>
      <c r="E13" s="2386">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85" zoomScaleNormal="60" zoomScaleSheetLayoutView="85" workbookViewId="0">
      <selection activeCell="J41" sqref="J41"/>
    </sheetView>
  </sheetViews>
  <sheetFormatPr defaultColWidth="9" defaultRowHeight="13.8"/>
  <cols>
    <col min="1" max="1" width="10.44140625" style="347" customWidth="1"/>
    <col min="2" max="2" width="15.77734375" style="347" customWidth="1"/>
    <col min="3" max="3" width="19.4414062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t="s">
        <v>3394</v>
      </c>
      <c r="E1" s="3119" t="s">
        <v>3623</v>
      </c>
      <c r="F1" s="1734" t="s">
        <v>3624</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0">
        <f>IF(E1="项目模式",IF(C2="——",ROUND(C49*D3/10000,0),ROUND(C49*D3/10000,0)-D2),IF(E1="单套模式",IF(C2="——",ROUND(C49*D3/10000,4),ROUND(C49*D3/10000,4)-D2)))</f>
        <v>119062</v>
      </c>
      <c r="C2" s="1736" t="s">
        <v>43</v>
      </c>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79"/>
      <c r="M2" s="2480"/>
      <c r="N2" s="2480"/>
      <c r="O2" s="2480"/>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32633</v>
      </c>
      <c r="C3" s="344" t="s">
        <v>1665</v>
      </c>
      <c r="D3" s="343">
        <f>IF(D1="",'数据-汇总表'!E3,SUMIF('数据-汇总表'!$C19:$C33,D1,'数据-汇总表'!$E19:$E33))</f>
        <v>36485.100000000202</v>
      </c>
      <c r="E3" s="853"/>
      <c r="F3" s="1742"/>
      <c r="G3" s="853"/>
      <c r="H3" s="853"/>
      <c r="I3" s="853"/>
      <c r="J3" s="853"/>
      <c r="K3" s="1739"/>
      <c r="L3" s="2479"/>
      <c r="M3" s="2480"/>
      <c r="N3" s="2480"/>
      <c r="O3" s="2480"/>
      <c r="P3" s="1740"/>
      <c r="Q3" s="1741"/>
      <c r="R3" s="1741"/>
      <c r="S3" s="1741"/>
      <c r="T3" s="1741"/>
      <c r="U3" s="1741"/>
      <c r="V3" s="1741"/>
      <c r="W3" s="1741"/>
      <c r="X3" s="1741"/>
      <c r="Y3" s="1741"/>
      <c r="Z3" s="1741"/>
      <c r="AA3" s="1741"/>
      <c r="AB3" s="1741"/>
      <c r="AC3" s="997"/>
    </row>
    <row r="4" spans="1:29" ht="14.4">
      <c r="A4" s="345" t="s">
        <v>1666</v>
      </c>
      <c r="B4" s="346"/>
      <c r="C4" s="3386" t="s">
        <v>1667</v>
      </c>
      <c r="D4" s="3398"/>
      <c r="E4" s="3399" t="s">
        <v>1668</v>
      </c>
      <c r="F4" s="3400"/>
      <c r="G4" s="3386" t="s">
        <v>1669</v>
      </c>
      <c r="H4" s="3398"/>
      <c r="I4" s="3386" t="s">
        <v>1670</v>
      </c>
      <c r="J4" s="3398"/>
      <c r="K4" s="1743" t="s">
        <v>1671</v>
      </c>
      <c r="L4" s="2481"/>
      <c r="M4" s="2482"/>
      <c r="N4" s="2482"/>
      <c r="O4" s="2482"/>
      <c r="P4" s="3401" t="s">
        <v>1672</v>
      </c>
      <c r="Q4" s="3402"/>
      <c r="R4" s="3407" t="s">
        <v>1668</v>
      </c>
      <c r="S4" s="3408"/>
      <c r="T4" s="3407" t="s">
        <v>1669</v>
      </c>
      <c r="U4" s="3408"/>
      <c r="V4" s="3394" t="s">
        <v>1670</v>
      </c>
      <c r="W4" s="3394"/>
      <c r="X4" s="1264"/>
      <c r="Y4" s="3407" t="s">
        <v>1672</v>
      </c>
      <c r="Z4" s="3408"/>
      <c r="AA4" s="3395" t="s">
        <v>1668</v>
      </c>
      <c r="AB4" s="3395" t="s">
        <v>1669</v>
      </c>
      <c r="AC4" s="3395" t="s">
        <v>1670</v>
      </c>
    </row>
    <row r="5" spans="1:29">
      <c r="A5" s="348"/>
      <c r="B5" s="349"/>
      <c r="C5" s="3415" t="s">
        <v>1673</v>
      </c>
      <c r="D5" s="3416"/>
      <c r="E5" s="3422" t="s">
        <v>3604</v>
      </c>
      <c r="F5" s="3423"/>
      <c r="G5" s="3415" t="s">
        <v>3605</v>
      </c>
      <c r="H5" s="3416"/>
      <c r="I5" s="3415" t="s">
        <v>3606</v>
      </c>
      <c r="J5" s="3416"/>
      <c r="K5" s="1744"/>
      <c r="L5" s="2481"/>
      <c r="M5" s="2482"/>
      <c r="N5" s="2482"/>
      <c r="O5" s="2482"/>
      <c r="P5" s="3403"/>
      <c r="Q5" s="3404"/>
      <c r="R5" s="3409"/>
      <c r="S5" s="3410"/>
      <c r="T5" s="3409"/>
      <c r="U5" s="3410"/>
      <c r="V5" s="3394"/>
      <c r="W5" s="3394"/>
      <c r="X5" s="1264"/>
      <c r="Y5" s="3409"/>
      <c r="Z5" s="3410"/>
      <c r="AA5" s="3396"/>
      <c r="AB5" s="3396"/>
      <c r="AC5" s="3396"/>
    </row>
    <row r="6" spans="1:29" ht="15" thickBot="1">
      <c r="A6" s="350"/>
      <c r="B6" s="351"/>
      <c r="C6" s="3413" t="s">
        <v>1677</v>
      </c>
      <c r="D6" s="3414"/>
      <c r="E6" s="3420" t="s">
        <v>3607</v>
      </c>
      <c r="F6" s="3421"/>
      <c r="G6" s="3413" t="s">
        <v>3607</v>
      </c>
      <c r="H6" s="3414"/>
      <c r="I6" s="3413" t="s">
        <v>3607</v>
      </c>
      <c r="J6" s="3414"/>
      <c r="K6" s="1744" t="s">
        <v>1678</v>
      </c>
      <c r="L6" s="2481"/>
      <c r="M6" s="2482"/>
      <c r="N6" s="2482"/>
      <c r="O6" s="2482"/>
      <c r="P6" s="3405"/>
      <c r="Q6" s="3406"/>
      <c r="R6" s="3409"/>
      <c r="S6" s="3410"/>
      <c r="T6" s="3411"/>
      <c r="U6" s="3412"/>
      <c r="V6" s="3394"/>
      <c r="W6" s="3394"/>
      <c r="X6" s="1264"/>
      <c r="Y6" s="3411"/>
      <c r="Z6" s="3412"/>
      <c r="AA6" s="3397"/>
      <c r="AB6" s="3397"/>
      <c r="AC6" s="3397"/>
    </row>
    <row r="7" spans="1:29" s="102" customFormat="1" ht="15" thickBot="1">
      <c r="A7" s="352" t="s">
        <v>1679</v>
      </c>
      <c r="B7" s="353"/>
      <c r="C7" s="354">
        <f>'数据-取费表'!B2</f>
        <v>45945</v>
      </c>
      <c r="D7" s="355">
        <v>100</v>
      </c>
      <c r="E7" s="356">
        <v>45931</v>
      </c>
      <c r="F7" s="357">
        <f>SUMIF(58:58,YEAR(E7)&amp;"-"&amp;MONTH(E7),59:59)</f>
        <v>100</v>
      </c>
      <c r="G7" s="356">
        <v>45931</v>
      </c>
      <c r="H7" s="355">
        <f>SUMIF(58:58,YEAR(G7)&amp;"-"&amp;MONTH(G7),59:59)</f>
        <v>100</v>
      </c>
      <c r="I7" s="356">
        <v>45931</v>
      </c>
      <c r="J7" s="355">
        <f>SUMIF(58:58,YEAR(I7)&amp;"-"&amp;MONTH(I7),59:59)</f>
        <v>100</v>
      </c>
      <c r="K7" s="1745"/>
      <c r="L7" s="2483"/>
      <c r="M7" s="2434"/>
      <c r="N7" s="2434"/>
      <c r="O7" s="2434"/>
      <c r="P7" s="3417" t="s">
        <v>1680</v>
      </c>
      <c r="Q7" s="3419"/>
      <c r="R7" s="664" t="s">
        <v>20</v>
      </c>
      <c r="S7" s="665">
        <f t="shared" ref="S7:S15" si="0">F7</f>
        <v>100</v>
      </c>
      <c r="T7" s="664" t="s">
        <v>20</v>
      </c>
      <c r="U7" s="665">
        <f t="shared" ref="U7:U15" si="1">H7</f>
        <v>100</v>
      </c>
      <c r="V7" s="664" t="s">
        <v>20</v>
      </c>
      <c r="W7" s="665">
        <f t="shared" ref="W7:W15" si="2">J7</f>
        <v>100</v>
      </c>
      <c r="X7" s="666"/>
      <c r="Y7" s="3417" t="s">
        <v>1680</v>
      </c>
      <c r="Z7" s="3418"/>
      <c r="AA7" s="50">
        <f>D7/F7</f>
        <v>1</v>
      </c>
      <c r="AB7" s="50">
        <f>D7/H7</f>
        <v>1</v>
      </c>
      <c r="AC7" s="50">
        <f>D7/J7</f>
        <v>1</v>
      </c>
    </row>
    <row r="8" spans="1:29" s="102" customFormat="1" ht="15" thickBot="1">
      <c r="A8" s="352" t="s">
        <v>1681</v>
      </c>
      <c r="B8" s="353"/>
      <c r="C8" s="358" t="s">
        <v>3538</v>
      </c>
      <c r="D8" s="355">
        <v>100</v>
      </c>
      <c r="E8" s="1746" t="s">
        <v>3538</v>
      </c>
      <c r="F8" s="357">
        <f>SUMIF(61:61,E8,62:62)-SUMIF(61:61,C8,62:62)+100</f>
        <v>100</v>
      </c>
      <c r="G8" s="358" t="s">
        <v>3538</v>
      </c>
      <c r="H8" s="355">
        <f>SUMIF(61:61,G8,62:62)-SUMIF(61:61,C8,62:62)+100</f>
        <v>100</v>
      </c>
      <c r="I8" s="1746" t="s">
        <v>3538</v>
      </c>
      <c r="J8" s="355">
        <f>SUMIF(61:61,I8,62:62)-SUMIF(61:61,C8,62:62)+100</f>
        <v>100</v>
      </c>
      <c r="K8" s="1745"/>
      <c r="L8" s="2483"/>
      <c r="M8" s="2434"/>
      <c r="N8" s="2434"/>
      <c r="O8" s="2434"/>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ht="14.4">
      <c r="A9" s="359" t="s">
        <v>1684</v>
      </c>
      <c r="B9" s="60" t="s">
        <v>1685</v>
      </c>
      <c r="C9" s="360" t="s">
        <v>3394</v>
      </c>
      <c r="D9" s="59">
        <v>100</v>
      </c>
      <c r="E9" s="361" t="s">
        <v>3394</v>
      </c>
      <c r="F9" s="60">
        <f>SUMIF(63:63,E9,64:64)-SUMIF(63:63,C9,64:64)+100</f>
        <v>100</v>
      </c>
      <c r="G9" s="362" t="s">
        <v>3394</v>
      </c>
      <c r="H9" s="59">
        <f>SUMIF(63:63,G9,64:64)-SUMIF(63:63,C9,64:64)+100</f>
        <v>100</v>
      </c>
      <c r="I9" s="362" t="s">
        <v>3394</v>
      </c>
      <c r="J9" s="59">
        <f>SUMIF(63:63,I9,64:64)-SUMIF(63:63,C9,64:64)+100</f>
        <v>100</v>
      </c>
      <c r="K9" s="1745"/>
      <c r="L9" s="2483"/>
      <c r="M9" s="2434"/>
      <c r="N9" s="2434"/>
      <c r="O9" s="2434"/>
      <c r="P9" s="3388" t="s">
        <v>1686</v>
      </c>
      <c r="Q9" s="530" t="str">
        <f t="shared" ref="Q9:Q15" si="6">B9</f>
        <v>用途</v>
      </c>
      <c r="R9" s="664" t="s">
        <v>14</v>
      </c>
      <c r="S9" s="665">
        <f t="shared" si="0"/>
        <v>100</v>
      </c>
      <c r="T9" s="664" t="s">
        <v>14</v>
      </c>
      <c r="U9" s="665">
        <f t="shared" si="1"/>
        <v>100</v>
      </c>
      <c r="V9" s="664" t="s">
        <v>14</v>
      </c>
      <c r="W9" s="665">
        <f t="shared" si="2"/>
        <v>100</v>
      </c>
      <c r="X9" s="666"/>
      <c r="Y9" s="3289"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90"/>
      <c r="F10" s="364">
        <f>SUMIF(65:65,E10,66:66)-SUMIF(65:65,C10,66:66)+100</f>
        <v>100</v>
      </c>
      <c r="G10" s="3191"/>
      <c r="H10" s="119">
        <f>SUMIF(65:65,G10,66:66)-SUMIF(65:65,C10,66:66)+100</f>
        <v>100</v>
      </c>
      <c r="I10" s="3191"/>
      <c r="J10" s="119">
        <f>SUMIF(65:65,I10,66:66)-SUMIF(65:65,C10,66:66)+100</f>
        <v>100</v>
      </c>
      <c r="K10" s="1745"/>
      <c r="L10" s="2484"/>
      <c r="M10" s="2485"/>
      <c r="N10" s="2485"/>
      <c r="O10" s="2485"/>
      <c r="P10" s="3388"/>
      <c r="Q10" s="530" t="str">
        <f t="shared" si="6"/>
        <v>土地使用年限（年）</v>
      </c>
      <c r="R10" s="664" t="s">
        <v>14</v>
      </c>
      <c r="S10" s="665">
        <f t="shared" si="0"/>
        <v>100</v>
      </c>
      <c r="T10" s="664" t="s">
        <v>14</v>
      </c>
      <c r="U10" s="665">
        <f t="shared" si="1"/>
        <v>100</v>
      </c>
      <c r="V10" s="664" t="s">
        <v>14</v>
      </c>
      <c r="W10" s="665">
        <f t="shared" si="2"/>
        <v>100</v>
      </c>
      <c r="X10" s="666"/>
      <c r="Y10" s="3289"/>
      <c r="Z10" s="50" t="str">
        <f t="shared" si="7"/>
        <v>土地使用年限（年）</v>
      </c>
      <c r="AA10" s="50">
        <f t="shared" si="3"/>
        <v>1</v>
      </c>
      <c r="AB10" s="50">
        <f t="shared" si="4"/>
        <v>1</v>
      </c>
      <c r="AC10" s="50">
        <f t="shared" si="5"/>
        <v>1</v>
      </c>
    </row>
    <row r="11" spans="1:29" ht="15">
      <c r="A11" s="367"/>
      <c r="B11" s="364" t="s">
        <v>1689</v>
      </c>
      <c r="C11" s="368">
        <v>1.6</v>
      </c>
      <c r="D11" s="119">
        <v>100</v>
      </c>
      <c r="E11" s="369">
        <v>1.6</v>
      </c>
      <c r="F11" s="364">
        <f>LOOKUP(E11,68:68,69:69)-LOOKUP(C11,68:68,69:69)+100</f>
        <v>100</v>
      </c>
      <c r="G11" s="368">
        <v>1.6</v>
      </c>
      <c r="H11" s="119">
        <f>LOOKUP(G11,68:68,69:69)-LOOKUP(C11,68:68,69:69)+100</f>
        <v>100</v>
      </c>
      <c r="I11" s="368">
        <v>2</v>
      </c>
      <c r="J11" s="119">
        <f>LOOKUP(I11,68:68,69:69)-LOOKUP(C11,68:68,69:69)+100</f>
        <v>99</v>
      </c>
      <c r="K11" s="365">
        <v>1</v>
      </c>
      <c r="L11" s="2486"/>
      <c r="M11" s="2482"/>
      <c r="N11" s="2482"/>
      <c r="O11" s="2482"/>
      <c r="P11" s="3388"/>
      <c r="Q11" s="530" t="str">
        <f t="shared" si="6"/>
        <v>容积率</v>
      </c>
      <c r="R11" s="664" t="s">
        <v>18</v>
      </c>
      <c r="S11" s="665">
        <f t="shared" si="0"/>
        <v>100</v>
      </c>
      <c r="T11" s="664" t="s">
        <v>18</v>
      </c>
      <c r="U11" s="665">
        <f t="shared" si="1"/>
        <v>100</v>
      </c>
      <c r="V11" s="664" t="s">
        <v>18</v>
      </c>
      <c r="W11" s="665">
        <f t="shared" si="2"/>
        <v>99</v>
      </c>
      <c r="X11" s="666"/>
      <c r="Y11" s="3289"/>
      <c r="Z11" s="50" t="str">
        <f t="shared" si="7"/>
        <v>容积率</v>
      </c>
      <c r="AA11" s="50">
        <f t="shared" si="3"/>
        <v>1</v>
      </c>
      <c r="AB11" s="50">
        <f t="shared" si="4"/>
        <v>1</v>
      </c>
      <c r="AC11" s="50">
        <f t="shared" si="5"/>
        <v>1.0101010101010102</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3"/>
      <c r="M12" s="2434"/>
      <c r="N12" s="2434"/>
      <c r="O12" s="2434"/>
      <c r="P12" s="3388"/>
      <c r="Q12" s="530">
        <f t="shared" si="6"/>
        <v>111</v>
      </c>
      <c r="R12" s="664" t="s">
        <v>18</v>
      </c>
      <c r="S12" s="665">
        <f t="shared" si="0"/>
        <v>100</v>
      </c>
      <c r="T12" s="664" t="s">
        <v>18</v>
      </c>
      <c r="U12" s="665">
        <f t="shared" si="1"/>
        <v>100</v>
      </c>
      <c r="V12" s="664" t="s">
        <v>18</v>
      </c>
      <c r="W12" s="665">
        <f t="shared" si="2"/>
        <v>100</v>
      </c>
      <c r="X12" s="666"/>
      <c r="Y12" s="328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7"/>
      <c r="M13" s="2482"/>
      <c r="N13" s="2482"/>
      <c r="O13" s="2482"/>
      <c r="P13" s="3388"/>
      <c r="Q13" s="530">
        <f t="shared" si="6"/>
        <v>111</v>
      </c>
      <c r="R13" s="664" t="s">
        <v>18</v>
      </c>
      <c r="S13" s="665">
        <f t="shared" si="0"/>
        <v>100</v>
      </c>
      <c r="T13" s="664" t="s">
        <v>18</v>
      </c>
      <c r="U13" s="665">
        <f t="shared" si="1"/>
        <v>100</v>
      </c>
      <c r="V13" s="664" t="s">
        <v>18</v>
      </c>
      <c r="W13" s="665">
        <f t="shared" si="2"/>
        <v>100</v>
      </c>
      <c r="X13" s="666"/>
      <c r="Y13" s="3289"/>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7"/>
      <c r="M14" s="2482"/>
      <c r="N14" s="2482"/>
      <c r="O14" s="2482"/>
      <c r="P14" s="3388"/>
      <c r="Q14" s="530">
        <f t="shared" si="6"/>
        <v>111</v>
      </c>
      <c r="R14" s="664" t="s">
        <v>18</v>
      </c>
      <c r="S14" s="665">
        <f t="shared" si="0"/>
        <v>100</v>
      </c>
      <c r="T14" s="664" t="s">
        <v>18</v>
      </c>
      <c r="U14" s="665">
        <f t="shared" si="1"/>
        <v>100</v>
      </c>
      <c r="V14" s="664" t="s">
        <v>18</v>
      </c>
      <c r="W14" s="665">
        <f t="shared" si="2"/>
        <v>100</v>
      </c>
      <c r="X14" s="666"/>
      <c r="Y14" s="3289"/>
      <c r="Z14" s="50">
        <f t="shared" si="7"/>
        <v>111</v>
      </c>
      <c r="AA14" s="50">
        <f t="shared" si="3"/>
        <v>1</v>
      </c>
      <c r="AB14" s="50">
        <f t="shared" si="4"/>
        <v>1</v>
      </c>
      <c r="AC14" s="50">
        <f t="shared" si="5"/>
        <v>1</v>
      </c>
    </row>
    <row r="15" spans="1:29" ht="15">
      <c r="A15" s="379" t="s">
        <v>1690</v>
      </c>
      <c r="B15" s="58" t="s">
        <v>1257</v>
      </c>
      <c r="C15" s="1749" t="str">
        <f>估价对象房地状况!C3</f>
        <v>一般</v>
      </c>
      <c r="D15" s="380">
        <v>100</v>
      </c>
      <c r="E15" s="381"/>
      <c r="F15" s="380">
        <f>SUMIF(76:76,E16,77:77)-SUMIF(76:76,C16,77:77)+100</f>
        <v>103</v>
      </c>
      <c r="G15" s="383"/>
      <c r="H15" s="380">
        <f>SUMIF(76:76,G16,77:77)-SUMIF(76:76,C16,77:77)+100</f>
        <v>100</v>
      </c>
      <c r="I15" s="381"/>
      <c r="J15" s="380">
        <f>SUMIF(76:76,I16,77:77)-SUMIF(76:76,C16,77:77)+100</f>
        <v>103</v>
      </c>
      <c r="K15" s="384">
        <v>3</v>
      </c>
      <c r="L15" s="2487"/>
      <c r="M15" s="2482"/>
      <c r="N15" s="2482"/>
      <c r="O15" s="2482"/>
      <c r="P15" s="3458" t="s">
        <v>1691</v>
      </c>
      <c r="Q15" s="1262" t="str">
        <f t="shared" si="6"/>
        <v>居住社区成熟度</v>
      </c>
      <c r="R15" s="667" t="s">
        <v>18</v>
      </c>
      <c r="S15" s="668">
        <f t="shared" si="0"/>
        <v>103</v>
      </c>
      <c r="T15" s="667" t="s">
        <v>18</v>
      </c>
      <c r="U15" s="668">
        <f t="shared" si="1"/>
        <v>100</v>
      </c>
      <c r="V15" s="667" t="s">
        <v>18</v>
      </c>
      <c r="W15" s="668">
        <f t="shared" si="2"/>
        <v>103</v>
      </c>
      <c r="X15" s="1264"/>
      <c r="Y15" s="3390" t="s">
        <v>1691</v>
      </c>
      <c r="Z15" s="1263" t="str">
        <f t="shared" si="7"/>
        <v>居住社区成熟度</v>
      </c>
      <c r="AA15" s="1263">
        <f t="shared" si="3"/>
        <v>0.970873786407767</v>
      </c>
      <c r="AB15" s="1263">
        <f t="shared" si="4"/>
        <v>1</v>
      </c>
      <c r="AC15" s="1263">
        <f t="shared" si="5"/>
        <v>0.970873786407767</v>
      </c>
    </row>
    <row r="16" spans="1:29" ht="15">
      <c r="A16" s="367"/>
      <c r="B16" s="385"/>
      <c r="C16" s="386" t="s">
        <v>3532</v>
      </c>
      <c r="D16" s="387"/>
      <c r="E16" s="1751" t="s">
        <v>3535</v>
      </c>
      <c r="F16" s="387"/>
      <c r="G16" s="1750" t="s">
        <v>3532</v>
      </c>
      <c r="H16" s="389"/>
      <c r="I16" s="1751" t="s">
        <v>3535</v>
      </c>
      <c r="J16" s="387"/>
      <c r="K16" s="1752"/>
      <c r="L16" s="2487"/>
      <c r="M16" s="2482"/>
      <c r="N16" s="2482"/>
      <c r="O16" s="2482"/>
      <c r="P16" s="3459"/>
      <c r="Q16" s="1262"/>
      <c r="R16" s="667"/>
      <c r="S16" s="668"/>
      <c r="T16" s="667"/>
      <c r="U16" s="668"/>
      <c r="V16" s="667"/>
      <c r="W16" s="668"/>
      <c r="X16" s="1264"/>
      <c r="Y16" s="3391"/>
      <c r="Z16" s="1263"/>
      <c r="AA16" s="1263">
        <v>1</v>
      </c>
      <c r="AB16" s="1263">
        <v>1</v>
      </c>
      <c r="AC16" s="1263">
        <v>1</v>
      </c>
    </row>
    <row r="17" spans="1:29" ht="15">
      <c r="A17" s="367"/>
      <c r="B17" s="390" t="s">
        <v>1259</v>
      </c>
      <c r="C17" s="1753" t="str">
        <f>估价对象房地状况!C6</f>
        <v>一般</v>
      </c>
      <c r="D17" s="389">
        <v>100</v>
      </c>
      <c r="E17" s="391"/>
      <c r="F17" s="389">
        <f>SUMIF(78:78,E18,79:79)-SUMIF(78:78,C18,79:79)+100</f>
        <v>100</v>
      </c>
      <c r="G17" s="393"/>
      <c r="H17" s="394">
        <f>SUMIF(78:78,G18,79:79)-SUMIF(78:78,C18,79:79)+100</f>
        <v>100</v>
      </c>
      <c r="I17" s="391"/>
      <c r="J17" s="394">
        <f>SUMIF(78:78,I18,79:79)-SUMIF(78:78,C18,79:79)+100</f>
        <v>100</v>
      </c>
      <c r="K17" s="384">
        <v>2</v>
      </c>
      <c r="L17" s="2487"/>
      <c r="M17" s="2482"/>
      <c r="N17" s="2482"/>
      <c r="O17" s="2482"/>
      <c r="P17" s="3459"/>
      <c r="Q17" s="1262" t="str">
        <f>B17</f>
        <v>交通便捷度</v>
      </c>
      <c r="R17" s="667" t="s">
        <v>18</v>
      </c>
      <c r="S17" s="668">
        <f>F17</f>
        <v>100</v>
      </c>
      <c r="T17" s="667" t="s">
        <v>18</v>
      </c>
      <c r="U17" s="668">
        <f>H17</f>
        <v>100</v>
      </c>
      <c r="V17" s="667" t="s">
        <v>18</v>
      </c>
      <c r="W17" s="668">
        <f>J17</f>
        <v>100</v>
      </c>
      <c r="X17" s="1264"/>
      <c r="Y17" s="3391"/>
      <c r="Z17" s="1263" t="str">
        <f>Q17</f>
        <v>交通便捷度</v>
      </c>
      <c r="AA17" s="1263">
        <f t="shared" si="3"/>
        <v>1</v>
      </c>
      <c r="AB17" s="1263">
        <f t="shared" si="4"/>
        <v>1</v>
      </c>
      <c r="AC17" s="1263">
        <f t="shared" si="5"/>
        <v>1</v>
      </c>
    </row>
    <row r="18" spans="1:29" ht="15">
      <c r="A18" s="367"/>
      <c r="B18" s="395"/>
      <c r="C18" s="386" t="s">
        <v>3532</v>
      </c>
      <c r="D18" s="389"/>
      <c r="E18" s="1756" t="s">
        <v>3532</v>
      </c>
      <c r="F18" s="389"/>
      <c r="G18" s="1755" t="s">
        <v>3532</v>
      </c>
      <c r="H18" s="387"/>
      <c r="I18" s="1756" t="s">
        <v>3532</v>
      </c>
      <c r="J18" s="387"/>
      <c r="K18" s="1752"/>
      <c r="L18" s="2487"/>
      <c r="M18" s="2482"/>
      <c r="N18" s="2482"/>
      <c r="O18" s="2482"/>
      <c r="P18" s="3459"/>
      <c r="Q18" s="1262"/>
      <c r="R18" s="667"/>
      <c r="S18" s="668"/>
      <c r="T18" s="667"/>
      <c r="U18" s="668"/>
      <c r="V18" s="667"/>
      <c r="W18" s="668"/>
      <c r="X18" s="1264"/>
      <c r="Y18" s="3391"/>
      <c r="Z18" s="1263"/>
      <c r="AA18" s="1263">
        <v>1</v>
      </c>
      <c r="AB18" s="1263">
        <v>1</v>
      </c>
      <c r="AC18" s="1263">
        <v>1</v>
      </c>
    </row>
    <row r="19" spans="1:29" ht="15">
      <c r="A19" s="367"/>
      <c r="B19" s="390" t="s">
        <v>1258</v>
      </c>
      <c r="C19" s="1753" t="str">
        <f>估价对象房地状况!C7</f>
        <v>一般</v>
      </c>
      <c r="D19" s="394">
        <v>100</v>
      </c>
      <c r="E19" s="396"/>
      <c r="F19" s="394">
        <f>SUMIF(80:80,E20,81:81)-SUMIF(80:80,C20,81:81)+100</f>
        <v>100</v>
      </c>
      <c r="G19" s="398"/>
      <c r="H19" s="389">
        <f>SUMIF(80:80,G20,81:81)-SUMIF(80:80,C20,81:81)+100</f>
        <v>100</v>
      </c>
      <c r="I19" s="396"/>
      <c r="J19" s="389">
        <f>SUMIF(80:80,I20,81:81)-SUMIF(80:80,C20,81:81)+100</f>
        <v>100</v>
      </c>
      <c r="K19" s="384">
        <v>3</v>
      </c>
      <c r="L19" s="2487"/>
      <c r="M19" s="2482"/>
      <c r="N19" s="2482"/>
      <c r="O19" s="2482"/>
      <c r="P19" s="3459"/>
      <c r="Q19" s="1262" t="str">
        <f>B19</f>
        <v>公共配套设施</v>
      </c>
      <c r="R19" s="667" t="s">
        <v>18</v>
      </c>
      <c r="S19" s="668">
        <f>F19</f>
        <v>100</v>
      </c>
      <c r="T19" s="667" t="s">
        <v>18</v>
      </c>
      <c r="U19" s="668">
        <f>H19</f>
        <v>100</v>
      </c>
      <c r="V19" s="667" t="s">
        <v>18</v>
      </c>
      <c r="W19" s="668">
        <f>J19</f>
        <v>100</v>
      </c>
      <c r="X19" s="1264"/>
      <c r="Y19" s="3391"/>
      <c r="Z19" s="1263" t="str">
        <f>Q19</f>
        <v>公共配套设施</v>
      </c>
      <c r="AA19" s="1263">
        <f t="shared" si="3"/>
        <v>1</v>
      </c>
      <c r="AB19" s="1263">
        <f t="shared" si="4"/>
        <v>1</v>
      </c>
      <c r="AC19" s="1263">
        <f t="shared" si="5"/>
        <v>1</v>
      </c>
    </row>
    <row r="20" spans="1:29" ht="15">
      <c r="A20" s="367"/>
      <c r="B20" s="395"/>
      <c r="C20" s="386" t="s">
        <v>3532</v>
      </c>
      <c r="D20" s="387"/>
      <c r="E20" s="1751" t="s">
        <v>3532</v>
      </c>
      <c r="F20" s="387"/>
      <c r="G20" s="1750" t="s">
        <v>3532</v>
      </c>
      <c r="H20" s="387"/>
      <c r="I20" s="1751" t="s">
        <v>3532</v>
      </c>
      <c r="J20" s="387"/>
      <c r="K20" s="1752"/>
      <c r="L20" s="2487"/>
      <c r="M20" s="2482"/>
      <c r="N20" s="2482"/>
      <c r="O20" s="2482"/>
      <c r="P20" s="3459"/>
      <c r="Q20" s="1262"/>
      <c r="R20" s="667"/>
      <c r="S20" s="668"/>
      <c r="T20" s="667"/>
      <c r="U20" s="668"/>
      <c r="V20" s="667"/>
      <c r="W20" s="668"/>
      <c r="X20" s="1264"/>
      <c r="Y20" s="3391"/>
      <c r="Z20" s="1263"/>
      <c r="AA20" s="1263">
        <v>1</v>
      </c>
      <c r="AB20" s="1263">
        <v>1</v>
      </c>
      <c r="AC20" s="1263">
        <v>1</v>
      </c>
    </row>
    <row r="21" spans="1:29" ht="15">
      <c r="A21" s="367"/>
      <c r="B21" s="586" t="s">
        <v>1260</v>
      </c>
      <c r="C21" s="1753" t="str">
        <f>估价对象房地状况!C8</f>
        <v>七通</v>
      </c>
      <c r="D21" s="389">
        <v>100</v>
      </c>
      <c r="E21" s="398"/>
      <c r="F21" s="394">
        <f>SUMIF(82:82,E22,83:83)-SUMIF(82:82,C22,83:83)+100</f>
        <v>100</v>
      </c>
      <c r="G21" s="398"/>
      <c r="H21" s="389">
        <f>SUMIF(82:82,G22,83:83)-SUMIF(82:82,C22,83:83)+100</f>
        <v>100</v>
      </c>
      <c r="I21" s="396"/>
      <c r="J21" s="389">
        <f>SUMIF(82:82,I22,83:83)-SUMIF(82:82,C22,83:83)+100</f>
        <v>100</v>
      </c>
      <c r="K21" s="384">
        <v>1</v>
      </c>
      <c r="L21" s="2487"/>
      <c r="M21" s="2482"/>
      <c r="N21" s="2482"/>
      <c r="O21" s="2482"/>
      <c r="P21" s="3459"/>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263">
        <f t="shared" ref="AC21" si="10">D21/J21</f>
        <v>1</v>
      </c>
    </row>
    <row r="22" spans="1:29" ht="15">
      <c r="A22" s="367"/>
      <c r="B22" s="586"/>
      <c r="C22" s="386" t="s">
        <v>3534</v>
      </c>
      <c r="D22" s="387"/>
      <c r="E22" s="386" t="s">
        <v>3534</v>
      </c>
      <c r="F22" s="387"/>
      <c r="G22" s="386" t="s">
        <v>3534</v>
      </c>
      <c r="H22" s="387"/>
      <c r="I22" s="386" t="s">
        <v>3534</v>
      </c>
      <c r="J22" s="387"/>
      <c r="K22" s="1758"/>
      <c r="L22" s="2487"/>
      <c r="M22" s="2482"/>
      <c r="N22" s="2482"/>
      <c r="O22" s="2482"/>
      <c r="P22" s="3459"/>
      <c r="Q22" s="1262"/>
      <c r="R22" s="667"/>
      <c r="S22" s="668"/>
      <c r="T22" s="667"/>
      <c r="U22" s="668"/>
      <c r="V22" s="667"/>
      <c r="W22" s="668"/>
      <c r="X22" s="1264"/>
      <c r="Y22" s="3391"/>
      <c r="Z22" s="1263"/>
      <c r="AA22" s="1263">
        <v>1</v>
      </c>
      <c r="AB22" s="1263">
        <v>1</v>
      </c>
      <c r="AC22" s="1263">
        <v>1</v>
      </c>
    </row>
    <row r="23" spans="1:29" ht="15">
      <c r="A23" s="367"/>
      <c r="B23" s="390" t="s">
        <v>1261</v>
      </c>
      <c r="C23" s="1753" t="str">
        <f>估价对象房地状况!C9</f>
        <v>一般</v>
      </c>
      <c r="D23" s="389">
        <v>100</v>
      </c>
      <c r="E23" s="391"/>
      <c r="F23" s="389">
        <f>SUMIF(84:84,E24,85:85)-SUMIF(84:84,C24,85:85)+100</f>
        <v>100</v>
      </c>
      <c r="G23" s="393"/>
      <c r="H23" s="389">
        <f>SUMIF(84:84,G24,85:85)-SUMIF(84:84,C24,85:85)+100</f>
        <v>100</v>
      </c>
      <c r="I23" s="391"/>
      <c r="J23" s="389">
        <f>SUMIF(84:84,I24,85:85)-SUMIF(84:84,C24,85:85)+100</f>
        <v>100</v>
      </c>
      <c r="K23" s="384">
        <v>2</v>
      </c>
      <c r="L23" s="2487"/>
      <c r="M23" s="2482"/>
      <c r="N23" s="2482"/>
      <c r="O23" s="2482"/>
      <c r="P23" s="3459"/>
      <c r="Q23" s="1262" t="str">
        <f>B23</f>
        <v>自然及人文环境</v>
      </c>
      <c r="R23" s="667" t="s">
        <v>18</v>
      </c>
      <c r="S23" s="668">
        <f>F23</f>
        <v>100</v>
      </c>
      <c r="T23" s="667" t="s">
        <v>18</v>
      </c>
      <c r="U23" s="668">
        <f>H23</f>
        <v>100</v>
      </c>
      <c r="V23" s="667" t="s">
        <v>18</v>
      </c>
      <c r="W23" s="668">
        <f>J23</f>
        <v>100</v>
      </c>
      <c r="X23" s="1264"/>
      <c r="Y23" s="3391"/>
      <c r="Z23" s="1263" t="str">
        <f>Q23</f>
        <v>自然及人文环境</v>
      </c>
      <c r="AA23" s="1263">
        <f>D23/F23</f>
        <v>1</v>
      </c>
      <c r="AB23" s="1263">
        <f>D23/H23</f>
        <v>1</v>
      </c>
      <c r="AC23" s="1263">
        <f>D23/J23</f>
        <v>1</v>
      </c>
    </row>
    <row r="24" spans="1:29" ht="15">
      <c r="A24" s="367"/>
      <c r="B24" s="395"/>
      <c r="C24" s="386" t="s">
        <v>3532</v>
      </c>
      <c r="D24" s="387"/>
      <c r="E24" s="1751" t="s">
        <v>3532</v>
      </c>
      <c r="F24" s="387"/>
      <c r="G24" s="1750" t="s">
        <v>3532</v>
      </c>
      <c r="H24" s="387"/>
      <c r="I24" s="1751" t="s">
        <v>3532</v>
      </c>
      <c r="J24" s="387"/>
      <c r="K24" s="1752"/>
      <c r="L24" s="2487"/>
      <c r="M24" s="2482"/>
      <c r="N24" s="2482"/>
      <c r="O24" s="2482"/>
      <c r="P24" s="3459"/>
      <c r="Q24" s="1262"/>
      <c r="R24" s="667"/>
      <c r="S24" s="668"/>
      <c r="T24" s="667"/>
      <c r="U24" s="668"/>
      <c r="V24" s="667"/>
      <c r="W24" s="668"/>
      <c r="X24" s="1264"/>
      <c r="Y24" s="3391"/>
      <c r="Z24" s="1263"/>
      <c r="AA24" s="1263">
        <v>1</v>
      </c>
      <c r="AB24" s="1263">
        <v>1</v>
      </c>
      <c r="AC24" s="1263">
        <v>1</v>
      </c>
    </row>
    <row r="25" spans="1:29" ht="15">
      <c r="A25" s="367"/>
      <c r="B25" s="364" t="s">
        <v>1692</v>
      </c>
      <c r="C25" s="399"/>
      <c r="D25" s="374">
        <v>100</v>
      </c>
      <c r="E25" s="1760"/>
      <c r="F25" s="374">
        <f>SUMIF(86:86,E25,87:87)-SUMIF(86:86,C25,87:87)+100</f>
        <v>100</v>
      </c>
      <c r="G25" s="1759"/>
      <c r="H25" s="374">
        <f>SUMIF(86:86,G25,87:87)-SUMIF(86:86,C25,87:87)+100</f>
        <v>100</v>
      </c>
      <c r="I25" s="1760"/>
      <c r="J25" s="374">
        <f>SUMIF(86:86,I25,87:87)-SUMIF(86:86,C25,87:87)+100</f>
        <v>100</v>
      </c>
      <c r="K25" s="365"/>
      <c r="L25" s="2487"/>
      <c r="M25" s="2482"/>
      <c r="N25" s="2482"/>
      <c r="O25" s="2482"/>
      <c r="P25" s="345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60"/>
      <c r="F26" s="374">
        <f>SUMIF(88:88,E26,89:89)-SUMIF(88:88,C26,89:89)+100</f>
        <v>100</v>
      </c>
      <c r="G26" s="1759"/>
      <c r="H26" s="374">
        <f>SUMIF(88:88,G26,89:89)-SUMIF(88:88,C26,89:89)+100</f>
        <v>100</v>
      </c>
      <c r="I26" s="1760"/>
      <c r="J26" s="374">
        <f>SUMIF(88:88,I26,89:89)-SUMIF(88:88,C26,89:89)+100</f>
        <v>100</v>
      </c>
      <c r="K26" s="365"/>
      <c r="L26" s="2487"/>
      <c r="M26" s="2482"/>
      <c r="N26" s="2482"/>
      <c r="O26" s="2482"/>
      <c r="P26" s="3459"/>
      <c r="Q26" s="1262" t="str">
        <f t="shared" si="11"/>
        <v>朝向</v>
      </c>
      <c r="R26" s="667" t="s">
        <v>18</v>
      </c>
      <c r="S26" s="668">
        <f t="shared" si="12"/>
        <v>100</v>
      </c>
      <c r="T26" s="667" t="s">
        <v>18</v>
      </c>
      <c r="U26" s="668">
        <f t="shared" si="13"/>
        <v>100</v>
      </c>
      <c r="V26" s="667" t="s">
        <v>18</v>
      </c>
      <c r="W26" s="668">
        <f t="shared" si="14"/>
        <v>100</v>
      </c>
      <c r="X26" s="1264"/>
      <c r="Y26" s="3391"/>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3"/>
      <c r="M27" s="2434"/>
      <c r="N27" s="2434"/>
      <c r="O27" s="2434"/>
      <c r="P27" s="3459"/>
      <c r="Q27" s="530">
        <f t="shared" si="11"/>
        <v>111</v>
      </c>
      <c r="R27" s="664" t="s">
        <v>18</v>
      </c>
      <c r="S27" s="665">
        <f t="shared" si="12"/>
        <v>100</v>
      </c>
      <c r="T27" s="664" t="s">
        <v>18</v>
      </c>
      <c r="U27" s="665">
        <f t="shared" si="13"/>
        <v>100</v>
      </c>
      <c r="V27" s="664" t="s">
        <v>18</v>
      </c>
      <c r="W27" s="665">
        <f t="shared" si="14"/>
        <v>100</v>
      </c>
      <c r="X27" s="666"/>
      <c r="Y27" s="3391"/>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7"/>
      <c r="M28" s="2482"/>
      <c r="N28" s="2482"/>
      <c r="O28" s="2482"/>
      <c r="P28" s="3459"/>
      <c r="Q28" s="1262">
        <f t="shared" si="11"/>
        <v>111</v>
      </c>
      <c r="R28" s="667" t="s">
        <v>18</v>
      </c>
      <c r="S28" s="668">
        <f t="shared" si="12"/>
        <v>100</v>
      </c>
      <c r="T28" s="667" t="s">
        <v>18</v>
      </c>
      <c r="U28" s="668">
        <f t="shared" si="13"/>
        <v>100</v>
      </c>
      <c r="V28" s="667" t="s">
        <v>18</v>
      </c>
      <c r="W28" s="668">
        <f t="shared" si="14"/>
        <v>100</v>
      </c>
      <c r="X28" s="1264"/>
      <c r="Y28" s="3391"/>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7"/>
      <c r="M29" s="2482"/>
      <c r="N29" s="2482"/>
      <c r="O29" s="2482"/>
      <c r="P29" s="3459"/>
      <c r="Q29" s="1262">
        <f t="shared" si="11"/>
        <v>111</v>
      </c>
      <c r="R29" s="667" t="s">
        <v>18</v>
      </c>
      <c r="S29" s="668">
        <f t="shared" si="12"/>
        <v>100</v>
      </c>
      <c r="T29" s="667" t="s">
        <v>18</v>
      </c>
      <c r="U29" s="668">
        <f t="shared" si="13"/>
        <v>100</v>
      </c>
      <c r="V29" s="667" t="s">
        <v>18</v>
      </c>
      <c r="W29" s="668">
        <f t="shared" si="14"/>
        <v>100</v>
      </c>
      <c r="X29" s="1264"/>
      <c r="Y29" s="3391"/>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7"/>
      <c r="M30" s="2482"/>
      <c r="N30" s="2482"/>
      <c r="O30" s="2482"/>
      <c r="P30" s="3459"/>
      <c r="Q30" s="1262">
        <f t="shared" si="11"/>
        <v>111</v>
      </c>
      <c r="R30" s="667" t="s">
        <v>18</v>
      </c>
      <c r="S30" s="668">
        <f t="shared" si="12"/>
        <v>100</v>
      </c>
      <c r="T30" s="667" t="s">
        <v>18</v>
      </c>
      <c r="U30" s="668">
        <f t="shared" si="13"/>
        <v>100</v>
      </c>
      <c r="V30" s="667" t="s">
        <v>18</v>
      </c>
      <c r="W30" s="668">
        <f t="shared" si="14"/>
        <v>100</v>
      </c>
      <c r="X30" s="1264"/>
      <c r="Y30" s="3391"/>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7"/>
      <c r="M31" s="2482"/>
      <c r="N31" s="2482"/>
      <c r="O31" s="2482"/>
      <c r="P31" s="3459"/>
      <c r="Q31" s="1262">
        <f t="shared" si="11"/>
        <v>111</v>
      </c>
      <c r="R31" s="667" t="s">
        <v>18</v>
      </c>
      <c r="S31" s="668">
        <f t="shared" si="12"/>
        <v>100</v>
      </c>
      <c r="T31" s="667" t="s">
        <v>18</v>
      </c>
      <c r="U31" s="668">
        <f t="shared" si="13"/>
        <v>100</v>
      </c>
      <c r="V31" s="667" t="s">
        <v>18</v>
      </c>
      <c r="W31" s="668">
        <f t="shared" si="14"/>
        <v>100</v>
      </c>
      <c r="X31" s="1264"/>
      <c r="Y31" s="3391"/>
      <c r="Z31" s="1263">
        <f t="shared" si="18"/>
        <v>111</v>
      </c>
      <c r="AA31" s="1263">
        <f t="shared" si="15"/>
        <v>1</v>
      </c>
      <c r="AB31" s="1263">
        <f t="shared" si="16"/>
        <v>1</v>
      </c>
      <c r="AC31" s="1263">
        <f t="shared" si="17"/>
        <v>1</v>
      </c>
    </row>
    <row r="32" spans="1:29" ht="15">
      <c r="A32" s="379" t="s">
        <v>1694</v>
      </c>
      <c r="B32" s="60" t="s">
        <v>1695</v>
      </c>
      <c r="C32" s="1763" t="s">
        <v>3610</v>
      </c>
      <c r="D32" s="405">
        <v>100</v>
      </c>
      <c r="E32" s="1764" t="s">
        <v>3610</v>
      </c>
      <c r="F32" s="400">
        <f>SUMIF(100:100,E32,101:101)-SUMIF(100:100,C32,101:101)+100</f>
        <v>100</v>
      </c>
      <c r="G32" s="1763" t="s">
        <v>3609</v>
      </c>
      <c r="H32" s="405">
        <f>SUMIF(100:100,G32,101:101)-SUMIF(100:100,C32,101:101)+100</f>
        <v>103</v>
      </c>
      <c r="I32" s="1764" t="s">
        <v>3610</v>
      </c>
      <c r="J32" s="374">
        <f>SUMIF(100:100,I32,101:101)-SUMIF(100:100,C32,101:101)+100</f>
        <v>100</v>
      </c>
      <c r="K32" s="365">
        <v>3</v>
      </c>
      <c r="L32" s="2487"/>
      <c r="M32" s="2482"/>
      <c r="N32" s="2482"/>
      <c r="O32" s="2482"/>
      <c r="P32" s="3454" t="s">
        <v>1696</v>
      </c>
      <c r="Q32" s="1262" t="str">
        <f t="shared" si="11"/>
        <v>建筑类型</v>
      </c>
      <c r="R32" s="667" t="s">
        <v>18</v>
      </c>
      <c r="S32" s="668">
        <f t="shared" si="12"/>
        <v>100</v>
      </c>
      <c r="T32" s="667" t="s">
        <v>18</v>
      </c>
      <c r="U32" s="668">
        <f t="shared" si="13"/>
        <v>103</v>
      </c>
      <c r="V32" s="667" t="s">
        <v>18</v>
      </c>
      <c r="W32" s="668">
        <f t="shared" si="14"/>
        <v>100</v>
      </c>
      <c r="X32" s="1264"/>
      <c r="Y32" s="3393" t="s">
        <v>1696</v>
      </c>
      <c r="Z32" s="1263" t="str">
        <f t="shared" si="18"/>
        <v>建筑类型</v>
      </c>
      <c r="AA32" s="1263">
        <f t="shared" si="15"/>
        <v>1</v>
      </c>
      <c r="AB32" s="1263">
        <f t="shared" si="16"/>
        <v>0.970873786407767</v>
      </c>
      <c r="AC32" s="1263">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7"/>
      <c r="L33" s="2486"/>
      <c r="M33" s="2488"/>
      <c r="N33" s="2488"/>
      <c r="O33" s="2488"/>
      <c r="P33" s="3455"/>
      <c r="Q33" s="531" t="str">
        <f t="shared" si="11"/>
        <v>项目建筑规模</v>
      </c>
      <c r="R33" s="669" t="s">
        <v>18</v>
      </c>
      <c r="S33" s="670">
        <f t="shared" si="12"/>
        <v>100</v>
      </c>
      <c r="T33" s="669" t="s">
        <v>18</v>
      </c>
      <c r="U33" s="670">
        <f t="shared" si="13"/>
        <v>100</v>
      </c>
      <c r="V33" s="669" t="s">
        <v>18</v>
      </c>
      <c r="W33" s="670">
        <f t="shared" si="14"/>
        <v>100</v>
      </c>
      <c r="X33" s="671"/>
      <c r="Y33" s="3393"/>
      <c r="Z33" s="672" t="str">
        <f t="shared" si="18"/>
        <v>项目建筑规模</v>
      </c>
      <c r="AA33" s="1263">
        <f t="shared" si="15"/>
        <v>1</v>
      </c>
      <c r="AB33" s="1263">
        <f t="shared" si="16"/>
        <v>1</v>
      </c>
      <c r="AC33" s="1263">
        <f t="shared" si="17"/>
        <v>1</v>
      </c>
    </row>
    <row r="34" spans="1:29" ht="15">
      <c r="A34" s="409"/>
      <c r="B34" s="364" t="s">
        <v>1698</v>
      </c>
      <c r="C34" s="399" t="s">
        <v>3601</v>
      </c>
      <c r="D34" s="374">
        <v>100</v>
      </c>
      <c r="E34" s="1765" t="s">
        <v>3601</v>
      </c>
      <c r="F34" s="400">
        <f>SUMIF(105:105,E34,106:106)-SUMIF(105:105,C34,106:106)+100</f>
        <v>100</v>
      </c>
      <c r="G34" s="399" t="s">
        <v>3601</v>
      </c>
      <c r="H34" s="374">
        <f>SUMIF(105:105,G34,106:106)-SUMIF(105:105,C34,106:106)+100</f>
        <v>100</v>
      </c>
      <c r="I34" s="1765" t="s">
        <v>3601</v>
      </c>
      <c r="J34" s="374">
        <f>SUMIF(105:105,I34,106:106)-SUMIF(105:105,C34,106:106)+100</f>
        <v>100</v>
      </c>
      <c r="K34" s="365">
        <v>2</v>
      </c>
      <c r="L34" s="2487"/>
      <c r="M34" s="2482"/>
      <c r="N34" s="2482"/>
      <c r="O34" s="2482"/>
      <c r="P34" s="3455"/>
      <c r="Q34" s="1262" t="str">
        <f t="shared" si="11"/>
        <v>建筑结构</v>
      </c>
      <c r="R34" s="667" t="s">
        <v>18</v>
      </c>
      <c r="S34" s="668">
        <f t="shared" si="12"/>
        <v>100</v>
      </c>
      <c r="T34" s="667" t="s">
        <v>18</v>
      </c>
      <c r="U34" s="668">
        <f t="shared" si="13"/>
        <v>100</v>
      </c>
      <c r="V34" s="667" t="s">
        <v>18</v>
      </c>
      <c r="W34" s="668">
        <f t="shared" si="14"/>
        <v>100</v>
      </c>
      <c r="X34" s="1264"/>
      <c r="Y34" s="3393"/>
      <c r="Z34" s="1263" t="str">
        <f t="shared" si="18"/>
        <v>建筑结构</v>
      </c>
      <c r="AA34" s="1263">
        <f t="shared" si="15"/>
        <v>1</v>
      </c>
      <c r="AB34" s="1263">
        <f t="shared" si="16"/>
        <v>1</v>
      </c>
      <c r="AC34" s="1263">
        <f t="shared" si="17"/>
        <v>1</v>
      </c>
    </row>
    <row r="35" spans="1:29" ht="15">
      <c r="A35" s="409"/>
      <c r="B35" s="364" t="s">
        <v>1699</v>
      </c>
      <c r="C35" s="1759" t="s">
        <v>3619</v>
      </c>
      <c r="D35" s="374">
        <v>100</v>
      </c>
      <c r="E35" s="1760" t="s">
        <v>3619</v>
      </c>
      <c r="F35" s="400">
        <f>SUMIF(107:107,E35,108:108)-SUMIF(107:107,C35,108:108)+100</f>
        <v>100</v>
      </c>
      <c r="G35" s="1759" t="s">
        <v>3619</v>
      </c>
      <c r="H35" s="374">
        <f>SUMIF(107:107,G35,108:108)-SUMIF(107:107,C35,108:108)+100</f>
        <v>100</v>
      </c>
      <c r="I35" s="1760" t="s">
        <v>3619</v>
      </c>
      <c r="J35" s="374">
        <f>SUMIF(107:107,I35,108:108)-SUMIF(107:107,C35,108:108)+100</f>
        <v>100</v>
      </c>
      <c r="K35" s="365">
        <v>2</v>
      </c>
      <c r="L35" s="2487"/>
      <c r="M35" s="2482"/>
      <c r="N35" s="2482"/>
      <c r="O35" s="2482"/>
      <c r="P35" s="3455"/>
      <c r="Q35" s="1262" t="str">
        <f t="shared" si="11"/>
        <v>建筑品质</v>
      </c>
      <c r="R35" s="667" t="s">
        <v>18</v>
      </c>
      <c r="S35" s="668">
        <f t="shared" si="12"/>
        <v>100</v>
      </c>
      <c r="T35" s="667" t="s">
        <v>18</v>
      </c>
      <c r="U35" s="668">
        <f t="shared" si="13"/>
        <v>100</v>
      </c>
      <c r="V35" s="667" t="s">
        <v>18</v>
      </c>
      <c r="W35" s="668">
        <f t="shared" si="14"/>
        <v>100</v>
      </c>
      <c r="X35" s="1264"/>
      <c r="Y35" s="3393"/>
      <c r="Z35" s="1263" t="str">
        <f t="shared" si="18"/>
        <v>建筑品质</v>
      </c>
      <c r="AA35" s="1263">
        <f t="shared" si="15"/>
        <v>1</v>
      </c>
      <c r="AB35" s="1263">
        <f t="shared" si="16"/>
        <v>1</v>
      </c>
      <c r="AC35" s="1263">
        <f t="shared" si="17"/>
        <v>1</v>
      </c>
    </row>
    <row r="36" spans="1:29" ht="15">
      <c r="A36" s="409"/>
      <c r="B36" s="364" t="s">
        <v>1700</v>
      </c>
      <c r="C36" s="1759" t="s">
        <v>3620</v>
      </c>
      <c r="D36" s="374">
        <v>100</v>
      </c>
      <c r="E36" s="1760" t="s">
        <v>3620</v>
      </c>
      <c r="F36" s="400">
        <f>SUMIF(109:109,E36,110:110)-SUMIF(109:109,C36,110:110)+100</f>
        <v>100</v>
      </c>
      <c r="G36" s="1759" t="s">
        <v>3620</v>
      </c>
      <c r="H36" s="374">
        <f>SUMIF(109:109,G36,110:110)-SUMIF(109:109,C36,110:110)+100</f>
        <v>100</v>
      </c>
      <c r="I36" s="1760" t="s">
        <v>3620</v>
      </c>
      <c r="J36" s="374">
        <f>SUMIF(109:109,I36,110:110)-SUMIF(109:109,C36,110:110)+100</f>
        <v>100</v>
      </c>
      <c r="K36" s="365">
        <v>2</v>
      </c>
      <c r="L36" s="2487"/>
      <c r="M36" s="2482"/>
      <c r="N36" s="2482"/>
      <c r="O36" s="2482"/>
      <c r="P36" s="3455"/>
      <c r="Q36" s="1262" t="str">
        <f t="shared" si="11"/>
        <v>公共部分装修</v>
      </c>
      <c r="R36" s="667" t="s">
        <v>18</v>
      </c>
      <c r="S36" s="668">
        <f t="shared" si="12"/>
        <v>100</v>
      </c>
      <c r="T36" s="667" t="s">
        <v>18</v>
      </c>
      <c r="U36" s="668">
        <f t="shared" si="13"/>
        <v>100</v>
      </c>
      <c r="V36" s="667" t="s">
        <v>18</v>
      </c>
      <c r="W36" s="668">
        <f t="shared" si="14"/>
        <v>100</v>
      </c>
      <c r="X36" s="1264"/>
      <c r="Y36" s="3393"/>
      <c r="Z36" s="1263" t="str">
        <f t="shared" si="18"/>
        <v>公共部分装修</v>
      </c>
      <c r="AA36" s="1263">
        <f t="shared" si="15"/>
        <v>1</v>
      </c>
      <c r="AB36" s="1263">
        <f t="shared" si="16"/>
        <v>1</v>
      </c>
      <c r="AC36" s="1263">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1</v>
      </c>
      <c r="L37" s="2483"/>
      <c r="M37" s="2434"/>
      <c r="N37" s="2434"/>
      <c r="O37" s="2434"/>
      <c r="P37" s="3455"/>
      <c r="Q37" s="530" t="str">
        <f t="shared" si="11"/>
        <v>成新度</v>
      </c>
      <c r="R37" s="664" t="s">
        <v>18</v>
      </c>
      <c r="S37" s="665">
        <f t="shared" si="12"/>
        <v>100</v>
      </c>
      <c r="T37" s="664" t="s">
        <v>18</v>
      </c>
      <c r="U37" s="665">
        <f t="shared" si="13"/>
        <v>100</v>
      </c>
      <c r="V37" s="664" t="s">
        <v>18</v>
      </c>
      <c r="W37" s="665">
        <f t="shared" si="14"/>
        <v>100</v>
      </c>
      <c r="X37" s="666"/>
      <c r="Y37" s="3393"/>
      <c r="Z37" s="50" t="str">
        <f t="shared" si="18"/>
        <v>成新度</v>
      </c>
      <c r="AA37" s="50">
        <f t="shared" si="15"/>
        <v>1</v>
      </c>
      <c r="AB37" s="50">
        <f t="shared" si="16"/>
        <v>1</v>
      </c>
      <c r="AC37" s="50">
        <f t="shared" si="17"/>
        <v>1</v>
      </c>
    </row>
    <row r="38" spans="1:29" ht="15">
      <c r="A38" s="409"/>
      <c r="B38" s="364" t="s">
        <v>1702</v>
      </c>
      <c r="C38" s="1759" t="s">
        <v>3621</v>
      </c>
      <c r="D38" s="374">
        <v>100</v>
      </c>
      <c r="E38" s="1760" t="s">
        <v>3621</v>
      </c>
      <c r="F38" s="400">
        <f>SUMIF(114:114,E38,115:115)-SUMIF(114:114,C38,115:115)+100</f>
        <v>100</v>
      </c>
      <c r="G38" s="1759" t="s">
        <v>3621</v>
      </c>
      <c r="H38" s="374">
        <f>SUMIF(114:114,G38,115:115)-SUMIF(114:114,C38,115:115)+100</f>
        <v>100</v>
      </c>
      <c r="I38" s="1760" t="s">
        <v>3621</v>
      </c>
      <c r="J38" s="374">
        <f>SUMIF(114:114,I38,115:115)-SUMIF(114:114,C38,115:115)+100</f>
        <v>100</v>
      </c>
      <c r="K38" s="365">
        <v>2</v>
      </c>
      <c r="L38" s="2487"/>
      <c r="M38" s="2482"/>
      <c r="N38" s="2482"/>
      <c r="O38" s="2482"/>
      <c r="P38" s="3455" t="s">
        <v>1696</v>
      </c>
      <c r="Q38" s="1262" t="str">
        <f t="shared" si="11"/>
        <v>物业管理</v>
      </c>
      <c r="R38" s="667" t="s">
        <v>18</v>
      </c>
      <c r="S38" s="668">
        <f t="shared" si="12"/>
        <v>100</v>
      </c>
      <c r="T38" s="667" t="s">
        <v>18</v>
      </c>
      <c r="U38" s="668">
        <f t="shared" si="13"/>
        <v>100</v>
      </c>
      <c r="V38" s="667" t="s">
        <v>18</v>
      </c>
      <c r="W38" s="668">
        <f t="shared" si="14"/>
        <v>100</v>
      </c>
      <c r="X38" s="1264"/>
      <c r="Y38" s="3393" t="s">
        <v>1696</v>
      </c>
      <c r="Z38" s="1263" t="str">
        <f t="shared" si="18"/>
        <v>物业管理</v>
      </c>
      <c r="AA38" s="1263">
        <f t="shared" si="15"/>
        <v>1</v>
      </c>
      <c r="AB38" s="1263">
        <f t="shared" si="16"/>
        <v>1</v>
      </c>
      <c r="AC38" s="1263">
        <f t="shared" si="17"/>
        <v>1</v>
      </c>
    </row>
    <row r="39" spans="1:29" ht="15">
      <c r="A39" s="409"/>
      <c r="B39" s="364" t="s">
        <v>1703</v>
      </c>
      <c r="C39" s="1759" t="s">
        <v>3534</v>
      </c>
      <c r="D39" s="374">
        <v>100</v>
      </c>
      <c r="E39" s="1760" t="s">
        <v>3534</v>
      </c>
      <c r="F39" s="400">
        <f>SUMIF(116:116,E39,117:117)-SUMIF(116:116,C39,117:117)+100</f>
        <v>100</v>
      </c>
      <c r="G39" s="1759" t="s">
        <v>3534</v>
      </c>
      <c r="H39" s="374">
        <f>SUMIF(116:116,G39,117:117)-SUMIF(116:116,C39,117:117)+100</f>
        <v>100</v>
      </c>
      <c r="I39" s="1760" t="s">
        <v>3534</v>
      </c>
      <c r="J39" s="374">
        <f>SUMIF(116:116,I39,117:117)-SUMIF(116:116,C39,117:117)+100</f>
        <v>100</v>
      </c>
      <c r="K39" s="365">
        <v>1</v>
      </c>
      <c r="L39" s="2487"/>
      <c r="M39" s="2482"/>
      <c r="N39" s="2482"/>
      <c r="O39" s="2482"/>
      <c r="P39" s="3455"/>
      <c r="Q39" s="1262" t="str">
        <f t="shared" si="11"/>
        <v>市政基础设施</v>
      </c>
      <c r="R39" s="667" t="s">
        <v>18</v>
      </c>
      <c r="S39" s="668">
        <f t="shared" si="12"/>
        <v>100</v>
      </c>
      <c r="T39" s="667" t="s">
        <v>18</v>
      </c>
      <c r="U39" s="668">
        <f t="shared" si="13"/>
        <v>100</v>
      </c>
      <c r="V39" s="667" t="s">
        <v>18</v>
      </c>
      <c r="W39" s="668">
        <f t="shared" si="14"/>
        <v>100</v>
      </c>
      <c r="X39" s="1264"/>
      <c r="Y39" s="339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7"/>
      <c r="M40" s="2482"/>
      <c r="N40" s="2482"/>
      <c r="O40" s="2482"/>
      <c r="P40" s="3455"/>
      <c r="Q40" s="1262" t="str">
        <f t="shared" si="11"/>
        <v>房型</v>
      </c>
      <c r="R40" s="667" t="s">
        <v>18</v>
      </c>
      <c r="S40" s="668">
        <f t="shared" si="12"/>
        <v>100</v>
      </c>
      <c r="T40" s="667" t="s">
        <v>18</v>
      </c>
      <c r="U40" s="668">
        <f t="shared" si="13"/>
        <v>100</v>
      </c>
      <c r="V40" s="667" t="s">
        <v>18</v>
      </c>
      <c r="W40" s="668">
        <f t="shared" si="14"/>
        <v>100</v>
      </c>
      <c r="X40" s="1264"/>
      <c r="Y40" s="3393"/>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6"/>
      <c r="M41" s="2488"/>
      <c r="N41" s="2488"/>
      <c r="O41" s="2488"/>
      <c r="P41" s="3455"/>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3">
        <f t="shared" si="15"/>
        <v>1</v>
      </c>
      <c r="AB41" s="1263">
        <f t="shared" si="16"/>
        <v>1</v>
      </c>
      <c r="AC41" s="1263">
        <f t="shared" si="17"/>
        <v>1</v>
      </c>
    </row>
    <row r="42" spans="1:29" ht="15">
      <c r="A42" s="409"/>
      <c r="B42" s="364" t="s">
        <v>1706</v>
      </c>
      <c r="C42" s="1759" t="s">
        <v>3622</v>
      </c>
      <c r="D42" s="374">
        <v>100</v>
      </c>
      <c r="E42" s="1760" t="s">
        <v>3622</v>
      </c>
      <c r="F42" s="400">
        <f>SUMIF(122:122,E42,123:123)-SUMIF(122:122,C42,123:123)+100</f>
        <v>100</v>
      </c>
      <c r="G42" s="1759" t="s">
        <v>3622</v>
      </c>
      <c r="H42" s="374">
        <f>SUMIF(122:122,G42,123:123)-SUMIF(122:122,C42,123:123)+100</f>
        <v>100</v>
      </c>
      <c r="I42" s="1760" t="s">
        <v>3622</v>
      </c>
      <c r="J42" s="374">
        <f>SUMIF(122:122,I42,123:123)-SUMIF(122:122,C42,123:123)+100</f>
        <v>100</v>
      </c>
      <c r="K42" s="365">
        <v>2</v>
      </c>
      <c r="L42" s="2487"/>
      <c r="M42" s="2482"/>
      <c r="N42" s="2482"/>
      <c r="O42" s="2482"/>
      <c r="P42" s="3455"/>
      <c r="Q42" s="1262" t="str">
        <f t="shared" si="11"/>
        <v>内部装修</v>
      </c>
      <c r="R42" s="667" t="s">
        <v>18</v>
      </c>
      <c r="S42" s="668">
        <f t="shared" si="12"/>
        <v>100</v>
      </c>
      <c r="T42" s="667" t="s">
        <v>18</v>
      </c>
      <c r="U42" s="668">
        <f t="shared" si="13"/>
        <v>100</v>
      </c>
      <c r="V42" s="667" t="s">
        <v>18</v>
      </c>
      <c r="W42" s="668">
        <f t="shared" si="14"/>
        <v>100</v>
      </c>
      <c r="X42" s="1264"/>
      <c r="Y42" s="3393"/>
      <c r="Z42" s="1263" t="str">
        <f t="shared" si="18"/>
        <v>内部装修</v>
      </c>
      <c r="AA42" s="1263">
        <f t="shared" si="15"/>
        <v>1</v>
      </c>
      <c r="AB42" s="1263">
        <f t="shared" si="16"/>
        <v>1</v>
      </c>
      <c r="AC42" s="1263">
        <f t="shared" si="17"/>
        <v>1</v>
      </c>
    </row>
    <row r="43" spans="1:29" ht="28.8">
      <c r="A43" s="409"/>
      <c r="B43" s="364" t="s">
        <v>1707</v>
      </c>
      <c r="C43" s="1759" t="s">
        <v>3535</v>
      </c>
      <c r="D43" s="374">
        <v>100</v>
      </c>
      <c r="E43" s="1760" t="s">
        <v>3535</v>
      </c>
      <c r="F43" s="400">
        <f>SUMIF(124:124,E43,125:125)-SUMIF(124:124,C43,125:125)+100</f>
        <v>100</v>
      </c>
      <c r="G43" s="1759" t="s">
        <v>3535</v>
      </c>
      <c r="H43" s="374">
        <f>SUMIF(124:124,G43,125:125)-SUMIF(124:124,C43,125:125)+100</f>
        <v>100</v>
      </c>
      <c r="I43" s="1760" t="s">
        <v>3535</v>
      </c>
      <c r="J43" s="374">
        <f>SUMIF(124:124,I43,125:125)-SUMIF(124:124,C43,125:125)+100</f>
        <v>100</v>
      </c>
      <c r="K43" s="365">
        <v>2</v>
      </c>
      <c r="L43" s="2487"/>
      <c r="M43" s="2482"/>
      <c r="N43" s="2482"/>
      <c r="O43" s="2482"/>
      <c r="P43" s="3455"/>
      <c r="Q43" s="1262" t="str">
        <f t="shared" si="11"/>
        <v>内部装修维护情况</v>
      </c>
      <c r="R43" s="667" t="s">
        <v>18</v>
      </c>
      <c r="S43" s="668">
        <f t="shared" si="12"/>
        <v>100</v>
      </c>
      <c r="T43" s="667" t="s">
        <v>18</v>
      </c>
      <c r="U43" s="668">
        <f t="shared" si="13"/>
        <v>100</v>
      </c>
      <c r="V43" s="667" t="s">
        <v>18</v>
      </c>
      <c r="W43" s="668">
        <f t="shared" si="14"/>
        <v>100</v>
      </c>
      <c r="X43" s="1264"/>
      <c r="Y43" s="3393"/>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3"/>
      <c r="M44" s="2434"/>
      <c r="N44" s="2434"/>
      <c r="O44" s="2434"/>
      <c r="P44" s="3455"/>
      <c r="Q44" s="530">
        <f t="shared" si="11"/>
        <v>111</v>
      </c>
      <c r="R44" s="664" t="s">
        <v>18</v>
      </c>
      <c r="S44" s="665">
        <f t="shared" si="12"/>
        <v>100</v>
      </c>
      <c r="T44" s="664" t="s">
        <v>18</v>
      </c>
      <c r="U44" s="665">
        <f t="shared" si="13"/>
        <v>100</v>
      </c>
      <c r="V44" s="664" t="s">
        <v>18</v>
      </c>
      <c r="W44" s="665">
        <f t="shared" si="14"/>
        <v>100</v>
      </c>
      <c r="X44" s="666"/>
      <c r="Y44" s="3393"/>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7"/>
      <c r="M45" s="2482"/>
      <c r="N45" s="2482"/>
      <c r="O45" s="2482"/>
      <c r="P45" s="3455"/>
      <c r="Q45" s="1262">
        <f t="shared" si="11"/>
        <v>111</v>
      </c>
      <c r="R45" s="667" t="s">
        <v>18</v>
      </c>
      <c r="S45" s="668">
        <f t="shared" si="12"/>
        <v>100</v>
      </c>
      <c r="T45" s="667" t="s">
        <v>18</v>
      </c>
      <c r="U45" s="668">
        <f t="shared" si="13"/>
        <v>100</v>
      </c>
      <c r="V45" s="667" t="s">
        <v>18</v>
      </c>
      <c r="W45" s="668">
        <f t="shared" si="14"/>
        <v>100</v>
      </c>
      <c r="X45" s="1264"/>
      <c r="Y45" s="3393"/>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7"/>
      <c r="M46" s="2482"/>
      <c r="N46" s="2482"/>
      <c r="O46" s="2482"/>
      <c r="P46" s="3456"/>
      <c r="Q46" s="1262">
        <f t="shared" si="11"/>
        <v>111</v>
      </c>
      <c r="R46" s="667" t="s">
        <v>17</v>
      </c>
      <c r="S46" s="668">
        <f t="shared" si="12"/>
        <v>100</v>
      </c>
      <c r="T46" s="667" t="s">
        <v>17</v>
      </c>
      <c r="U46" s="668">
        <f t="shared" si="13"/>
        <v>100</v>
      </c>
      <c r="V46" s="667" t="s">
        <v>17</v>
      </c>
      <c r="W46" s="668">
        <f t="shared" si="14"/>
        <v>100</v>
      </c>
      <c r="X46" s="1264"/>
      <c r="Y46" s="3457"/>
      <c r="Z46" s="1263">
        <f t="shared" si="18"/>
        <v>111</v>
      </c>
      <c r="AA46" s="1263">
        <f t="shared" si="15"/>
        <v>1</v>
      </c>
      <c r="AB46" s="1263">
        <f t="shared" si="16"/>
        <v>1</v>
      </c>
      <c r="AC46" s="1263">
        <f t="shared" si="17"/>
        <v>1</v>
      </c>
    </row>
    <row r="47" spans="1:29" ht="14.4">
      <c r="A47" s="416" t="s">
        <v>1708</v>
      </c>
      <c r="B47" s="417"/>
      <c r="C47" s="1080" t="s">
        <v>16</v>
      </c>
      <c r="D47" s="418"/>
      <c r="E47" s="419">
        <v>37080</v>
      </c>
      <c r="F47" s="420"/>
      <c r="G47" s="421">
        <v>30946</v>
      </c>
      <c r="H47" s="422"/>
      <c r="I47" s="419">
        <v>32483</v>
      </c>
      <c r="J47" s="422"/>
      <c r="K47" s="1766"/>
      <c r="L47" s="2489"/>
      <c r="M47" s="2482"/>
      <c r="N47" s="2482"/>
      <c r="O47" s="2482"/>
      <c r="P47" s="3389" t="str">
        <f>A47</f>
        <v>成交单价（元/平方米）</v>
      </c>
      <c r="Q47" s="3389"/>
      <c r="R47" s="3394">
        <f>E47</f>
        <v>37080</v>
      </c>
      <c r="S47" s="3394"/>
      <c r="T47" s="3394">
        <f>G47</f>
        <v>30946</v>
      </c>
      <c r="U47" s="3394"/>
      <c r="V47" s="3394">
        <f>I47</f>
        <v>32483</v>
      </c>
      <c r="W47" s="3394"/>
      <c r="X47" s="385"/>
      <c r="Y47" s="673"/>
      <c r="Z47" s="385"/>
      <c r="AA47" s="385"/>
      <c r="AB47" s="385"/>
      <c r="AC47" s="385"/>
    </row>
    <row r="48" spans="1:29" ht="15" thickBot="1">
      <c r="A48" s="423" t="s">
        <v>1709</v>
      </c>
      <c r="B48" s="424"/>
      <c r="C48" s="1081">
        <f>R49</f>
        <v>32633</v>
      </c>
      <c r="D48" s="2140" t="s">
        <v>2138</v>
      </c>
      <c r="E48" s="1082">
        <f>R48</f>
        <v>36000</v>
      </c>
      <c r="F48" s="2141"/>
      <c r="G48" s="1081">
        <f>T48</f>
        <v>30045</v>
      </c>
      <c r="H48" s="2141"/>
      <c r="I48" s="1082">
        <f>V48</f>
        <v>31855</v>
      </c>
      <c r="J48" s="2141"/>
      <c r="K48" s="2142">
        <f>F48+H48+J48</f>
        <v>0</v>
      </c>
      <c r="L48" s="2489"/>
      <c r="M48" s="2482"/>
      <c r="N48" s="2482"/>
      <c r="O48" s="2482"/>
      <c r="P48" s="3389" t="str">
        <f>A48</f>
        <v>比较价值（元/平方米）</v>
      </c>
      <c r="Q48" s="3389"/>
      <c r="R48" s="3394">
        <f>IF(F1="售价",ROUND(PRODUCT(R47,AA7:AA46),0),ROUND(PRODUCT(R47,AA7:AA46),1))</f>
        <v>36000</v>
      </c>
      <c r="S48" s="3394"/>
      <c r="T48" s="3394">
        <f>IF(F1="售价",ROUND(PRODUCT(T47,AB7:AB46),0),ROUND(PRODUCT(T47,AB7:AB46),1))</f>
        <v>30045</v>
      </c>
      <c r="U48" s="3394"/>
      <c r="V48" s="3394">
        <f>IF(F1="售价",ROUND(PRODUCT(V47,AC7:AC46),0),ROUND(PRODUCT(V47,AC7:AC46),1))</f>
        <v>31855</v>
      </c>
      <c r="W48" s="3394"/>
      <c r="X48" s="385"/>
      <c r="Y48" s="385"/>
      <c r="Z48" s="385"/>
      <c r="AA48" s="385"/>
      <c r="AB48" s="385"/>
      <c r="AC48" s="385"/>
    </row>
    <row r="49" spans="1:29" ht="15" thickBot="1">
      <c r="A49" s="427" t="s">
        <v>1710</v>
      </c>
      <c r="B49" s="428"/>
      <c r="C49" s="1083">
        <f>R49</f>
        <v>32633</v>
      </c>
      <c r="D49" s="351"/>
      <c r="E49" s="351"/>
      <c r="F49" s="351"/>
      <c r="G49" s="351"/>
      <c r="H49" s="351"/>
      <c r="I49" s="351"/>
      <c r="J49" s="351"/>
      <c r="K49" s="1767"/>
      <c r="L49" s="2489"/>
      <c r="M49" s="2482"/>
      <c r="N49" s="2482"/>
      <c r="O49" s="2482"/>
      <c r="P49" s="3383" t="str">
        <f>A49</f>
        <v>估价对象XX用房的比较价值（楼面单价，元/平方米）</v>
      </c>
      <c r="Q49" s="3384"/>
      <c r="R49" s="3453">
        <f>IF(F1="售价",ROUND(IF(D48="简单平均",AVERAGE(R48:V48),R48*F48+T48*H48+V48*J48),0),ROUND(IF(D48="简单平均",AVERAGE(R48:V48),R48*F48+T48*H48+V48*J48),1))</f>
        <v>32633</v>
      </c>
      <c r="S49" s="3453"/>
      <c r="T49" s="3453"/>
      <c r="U49" s="3453"/>
      <c r="V49" s="3453"/>
      <c r="W49" s="345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f>IF(E47&lt;E48,E48/E47-1,E47/E48-1)</f>
        <v>3.0000000000000027E-2</v>
      </c>
      <c r="F52" s="435" t="str">
        <f>IF(OR(E52&gt;=0.3,E52&lt;=-0.3),"超过30%","")</f>
        <v/>
      </c>
      <c r="G52" s="434">
        <f>IF(G47&lt;G48,G48/G47-1,G47/G48-1)</f>
        <v>2.9988350807122588E-2</v>
      </c>
      <c r="H52" s="435" t="str">
        <f>IF(OR(G52&gt;=0.3,G52&lt;=-0.3),"超过30%","")</f>
        <v/>
      </c>
      <c r="I52" s="434">
        <f>IF(I47&lt;I48,I48/I47-1,I47/I48-1)</f>
        <v>1.9714330560351545E-2</v>
      </c>
      <c r="J52" s="435" t="str">
        <f>IF(OR(I52&gt;=0.3,I52&lt;=-0.3),"超过30%","")</f>
        <v/>
      </c>
      <c r="K52" s="2494"/>
      <c r="L52" s="2490"/>
      <c r="M52" s="2482"/>
      <c r="N52" s="2482"/>
      <c r="O52" s="2482"/>
    </row>
    <row r="53" spans="1:29" ht="13.5" customHeight="1">
      <c r="A53" s="2482"/>
      <c r="B53" s="2482"/>
      <c r="C53" s="432" t="s">
        <v>1712</v>
      </c>
      <c r="D53" s="436"/>
      <c r="E53" s="434">
        <f>IF(E48&lt;G48,G48/E48-1,E48/G48-1)</f>
        <v>0.19820269595606588</v>
      </c>
      <c r="F53" s="435" t="str">
        <f>IF(OR(E53&gt;=0.2,E53&lt;=-0.2),"超过20%","")</f>
        <v/>
      </c>
      <c r="G53" s="434">
        <f>IF(G48&lt;I48,I48/G48-1,G48/I48-1)</f>
        <v>6.0242968880013237E-2</v>
      </c>
      <c r="H53" s="435" t="str">
        <f>IF(OR(G53&gt;=0.2,G53&lt;=-0.2),"超过20%","")</f>
        <v/>
      </c>
      <c r="I53" s="434">
        <f>IF(I48&lt;E48,E48/I48-1,I48/E48-1)</f>
        <v>0.13012086014754365</v>
      </c>
      <c r="J53" s="435" t="str">
        <f>IF(OR(I53&gt;=0.2,I53&lt;=-0.2),"超过20%","")</f>
        <v/>
      </c>
      <c r="K53" s="2494"/>
      <c r="L53" s="2490"/>
      <c r="M53" s="2482"/>
      <c r="N53" s="2482"/>
      <c r="O53" s="2482"/>
    </row>
    <row r="54" spans="1:29" s="437" customFormat="1" ht="13.5" customHeight="1">
      <c r="A54" s="2492"/>
      <c r="B54" s="2492"/>
      <c r="C54" s="432" t="s">
        <v>1713</v>
      </c>
      <c r="D54" s="436"/>
      <c r="E54" s="434">
        <f>IF(E47&lt;G47,G47/E47-1,E47/G47-1)</f>
        <v>0.19821624765720935</v>
      </c>
      <c r="F54" s="435" t="str">
        <f>IF(OR(E54&gt;=0.3,E54&lt;=-0.3),"超过30%","")</f>
        <v/>
      </c>
      <c r="G54" s="434">
        <f>IF(G47&lt;I47,I47/G47-1,G47/I47-1)</f>
        <v>4.966716215342859E-2</v>
      </c>
      <c r="H54" s="435" t="str">
        <f>IF(OR(G54&gt;=0.3,G54&lt;=-0.3),"超过30%","")</f>
        <v/>
      </c>
      <c r="I54" s="434">
        <f>IF(I47&lt;E47,E47/I47-1,I47/E47-1)</f>
        <v>0.14152017978634968</v>
      </c>
      <c r="J54" s="435" t="str">
        <f>IF(OR(I54&gt;=0.3,I54&lt;=-0.3),"超过30%","")</f>
        <v/>
      </c>
      <c r="K54" s="2497"/>
      <c r="L54" s="2491"/>
      <c r="M54" s="2492"/>
      <c r="N54" s="2492"/>
      <c r="O54" s="2492"/>
      <c r="P54" s="1769"/>
    </row>
    <row r="55" spans="1:29" s="437" customFormat="1">
      <c r="A55" s="2492"/>
      <c r="B55" s="2495"/>
      <c r="C55" s="2496"/>
      <c r="D55" s="2492"/>
      <c r="E55" s="2492"/>
      <c r="F55" s="2492"/>
      <c r="G55" s="2492"/>
      <c r="H55" s="2492"/>
      <c r="I55" s="2492"/>
      <c r="J55" s="2492"/>
      <c r="K55" s="2497"/>
      <c r="L55" s="2491"/>
      <c r="M55" s="2492"/>
      <c r="N55" s="2492"/>
      <c r="O55" s="2492"/>
      <c r="P55" s="1769"/>
    </row>
    <row r="56" spans="1:29">
      <c r="A56" s="2482"/>
      <c r="B56" s="2495"/>
      <c r="C56" s="2496"/>
      <c r="D56" s="2482"/>
      <c r="E56" s="2482"/>
      <c r="F56" s="2482"/>
      <c r="G56" s="2482"/>
      <c r="H56" s="2482"/>
      <c r="I56" s="2482"/>
      <c r="J56" s="2482"/>
      <c r="K56" s="2494"/>
      <c r="L56" s="2490"/>
      <c r="M56" s="2482"/>
      <c r="N56" s="2482"/>
      <c r="O56" s="2482"/>
    </row>
    <row r="57" spans="1:29" ht="22.2" thickBot="1">
      <c r="A57" s="658" t="s">
        <v>1714</v>
      </c>
      <c r="B57" s="385"/>
      <c r="C57" s="659"/>
      <c r="D57" s="659"/>
      <c r="E57" s="659"/>
      <c r="F57" s="660"/>
      <c r="G57" s="660"/>
      <c r="H57" s="659"/>
      <c r="I57" s="659"/>
      <c r="J57" s="659"/>
      <c r="K57" s="886"/>
      <c r="L57" s="887"/>
      <c r="M57" s="885"/>
      <c r="N57" s="885"/>
      <c r="O57" s="885"/>
      <c r="P57" s="1770"/>
      <c r="Q57" s="439"/>
    </row>
    <row r="58" spans="1:29" s="442" customFormat="1" ht="14.4">
      <c r="A58" s="440" t="s">
        <v>1715</v>
      </c>
      <c r="B58" s="441"/>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t="str">
        <f>C9</f>
        <v>住宅</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0（含）-0.5</v>
      </c>
      <c r="D67" s="478" t="str">
        <f t="shared" ref="D67:L67" si="20">D68&amp;"（含）"&amp;"-"&amp;E68</f>
        <v>0.5（含）-1</v>
      </c>
      <c r="E67" s="478" t="str">
        <f t="shared" si="20"/>
        <v>1（含）-1.5</v>
      </c>
      <c r="F67" s="478" t="str">
        <f t="shared" si="20"/>
        <v>1.5（含）-2</v>
      </c>
      <c r="G67" s="478" t="str">
        <f t="shared" si="20"/>
        <v>2（含）-2.5</v>
      </c>
      <c r="H67" s="478" t="str">
        <f t="shared" si="20"/>
        <v>2.5（含）-3</v>
      </c>
      <c r="I67" s="478" t="str">
        <f t="shared" si="20"/>
        <v>3（含）-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v>0</v>
      </c>
      <c r="D68" s="480">
        <v>0.5</v>
      </c>
      <c r="E68" s="480">
        <v>1</v>
      </c>
      <c r="F68" s="480">
        <v>1.5</v>
      </c>
      <c r="G68" s="480">
        <v>2</v>
      </c>
      <c r="H68" s="480">
        <v>2.5</v>
      </c>
      <c r="I68" s="480">
        <v>3</v>
      </c>
      <c r="J68" s="480"/>
      <c r="K68" s="481"/>
      <c r="L68" s="482"/>
      <c r="M68" s="483"/>
      <c r="N68" s="878"/>
      <c r="O68" s="878"/>
      <c r="P68" s="1774"/>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97</v>
      </c>
      <c r="E81" s="475">
        <f>D81-$K19</f>
        <v>94</v>
      </c>
      <c r="F81" s="475">
        <f>E81-$K19</f>
        <v>91</v>
      </c>
      <c r="G81" s="475">
        <f>F81-$K19</f>
        <v>88</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27.6">
      <c r="A100" s="379" t="s">
        <v>1694</v>
      </c>
      <c r="B100" s="460" t="s">
        <v>1736</v>
      </c>
      <c r="C100" s="462" t="s">
        <v>3608</v>
      </c>
      <c r="D100" s="462" t="s">
        <v>3609</v>
      </c>
      <c r="E100" s="462" t="s">
        <v>3610</v>
      </c>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79"/>
      <c r="O101" s="879"/>
      <c r="P101" s="1774"/>
      <c r="Q101" s="439"/>
    </row>
    <row r="102" spans="1:17" ht="28.2" thickTop="1">
      <c r="A102" s="367"/>
      <c r="B102" s="469" t="s">
        <v>1737</v>
      </c>
      <c r="C102" s="509" t="str">
        <f>C103&amp;"(含)"&amp;"-"&amp;D103</f>
        <v>0(含)-20000</v>
      </c>
      <c r="D102" s="509" t="str">
        <f t="shared" ref="D102:L102" si="26">D103&amp;"(含)"&amp;"-"&amp;E103</f>
        <v>20000(含)-50000</v>
      </c>
      <c r="E102" s="509" t="str">
        <f t="shared" si="26"/>
        <v>50000(含)-100000</v>
      </c>
      <c r="F102" s="509" t="str">
        <f t="shared" si="26"/>
        <v>100000(含)-200000</v>
      </c>
      <c r="G102" s="509" t="str">
        <f t="shared" si="26"/>
        <v>200000(含)-500000</v>
      </c>
      <c r="H102" s="509" t="str">
        <f t="shared" si="26"/>
        <v>500000(含)-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v>0</v>
      </c>
      <c r="D103" s="6">
        <v>20000</v>
      </c>
      <c r="E103" s="6">
        <v>50000</v>
      </c>
      <c r="F103" s="6">
        <v>100000</v>
      </c>
      <c r="G103" s="6">
        <v>200000</v>
      </c>
      <c r="H103" s="6">
        <v>500000</v>
      </c>
      <c r="I103" s="6"/>
      <c r="J103" s="524"/>
      <c r="K103" s="524"/>
      <c r="L103" s="525"/>
      <c r="M103" s="526"/>
      <c r="N103" s="880"/>
      <c r="O103" s="880"/>
      <c r="P103" s="1775"/>
      <c r="Q103" s="490"/>
    </row>
    <row r="104" spans="1:17" s="408" customFormat="1" ht="14.4" thickBot="1">
      <c r="A104" s="484"/>
      <c r="B104" s="474"/>
      <c r="C104" s="491">
        <v>100</v>
      </c>
      <c r="D104" s="467">
        <v>101</v>
      </c>
      <c r="E104" s="467">
        <v>102</v>
      </c>
      <c r="F104" s="467">
        <v>103</v>
      </c>
      <c r="G104" s="467">
        <v>104</v>
      </c>
      <c r="H104" s="467"/>
      <c r="I104" s="467"/>
      <c r="J104" s="467"/>
      <c r="K104" s="467"/>
      <c r="L104" s="467"/>
      <c r="M104" s="467"/>
      <c r="N104" s="879"/>
      <c r="O104" s="879"/>
      <c r="P104" s="1775"/>
      <c r="Q104" s="490"/>
    </row>
    <row r="105" spans="1:17" ht="15" thickTop="1">
      <c r="A105" s="409"/>
      <c r="B105" s="469" t="s">
        <v>1738</v>
      </c>
      <c r="C105" s="485" t="s">
        <v>3601</v>
      </c>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79"/>
      <c r="O106" s="879"/>
      <c r="P106" s="1774"/>
      <c r="Q106" s="439"/>
    </row>
    <row r="107" spans="1:17" ht="15" thickTop="1">
      <c r="A107" s="409"/>
      <c r="B107" s="469" t="s">
        <v>1739</v>
      </c>
      <c r="C107" s="3182" t="s">
        <v>3611</v>
      </c>
      <c r="D107" s="3182" t="s">
        <v>3612</v>
      </c>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79"/>
      <c r="O108" s="879"/>
      <c r="P108" s="1774"/>
      <c r="Q108" s="439"/>
    </row>
    <row r="109" spans="1:17" ht="15" thickTop="1">
      <c r="A109" s="409"/>
      <c r="B109" s="469" t="s">
        <v>1740</v>
      </c>
      <c r="C109" s="3181" t="s">
        <v>3613</v>
      </c>
      <c r="D109" s="3181" t="s">
        <v>3614</v>
      </c>
      <c r="E109" s="3181" t="s">
        <v>3615</v>
      </c>
      <c r="F109" s="3182" t="s">
        <v>3616</v>
      </c>
      <c r="G109" s="513"/>
      <c r="H109" s="513"/>
      <c r="I109" s="513"/>
      <c r="J109" s="513"/>
      <c r="K109" s="514"/>
      <c r="L109" s="515"/>
      <c r="M109" s="516"/>
      <c r="N109" s="878"/>
      <c r="O109" s="878"/>
      <c r="P109" s="1774"/>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0"/>
      <c r="O113" s="880"/>
      <c r="P113" s="1775"/>
      <c r="Q113" s="490"/>
    </row>
    <row r="114" spans="1:17" ht="15" thickTop="1">
      <c r="A114" s="409"/>
      <c r="B114" s="469" t="s">
        <v>1741</v>
      </c>
      <c r="C114" s="3181" t="s">
        <v>3617</v>
      </c>
      <c r="D114" s="3181" t="s">
        <v>3618</v>
      </c>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79"/>
      <c r="O115" s="879"/>
      <c r="P115" s="1774"/>
      <c r="Q115" s="439"/>
    </row>
    <row r="116" spans="1:17" ht="15" thickTop="1">
      <c r="A116" s="409"/>
      <c r="B116" s="469" t="s">
        <v>1742</v>
      </c>
      <c r="C116" s="485" t="str">
        <f>C82</f>
        <v>七通</v>
      </c>
      <c r="D116" s="485" t="str">
        <f>D82</f>
        <v>六通</v>
      </c>
      <c r="E116" s="485" t="str">
        <f>E82</f>
        <v>五通</v>
      </c>
      <c r="F116" s="485" t="str">
        <f>F82</f>
        <v>四通</v>
      </c>
      <c r="G116" s="485" t="str">
        <f>G82</f>
        <v>三通</v>
      </c>
      <c r="H116" s="513"/>
      <c r="I116" s="513"/>
      <c r="J116" s="513"/>
      <c r="K116" s="514"/>
      <c r="L116" s="515"/>
      <c r="M116" s="516"/>
      <c r="N116" s="878"/>
      <c r="O116" s="878"/>
      <c r="P116" s="1774"/>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3181" t="s">
        <v>3613</v>
      </c>
      <c r="D122" s="3181" t="s">
        <v>3614</v>
      </c>
      <c r="E122" s="3181" t="s">
        <v>3615</v>
      </c>
      <c r="F122" s="3182" t="s">
        <v>3616</v>
      </c>
      <c r="G122" s="513"/>
      <c r="H122" s="513"/>
      <c r="I122" s="513"/>
      <c r="J122" s="513"/>
      <c r="K122" s="514"/>
      <c r="L122" s="515"/>
      <c r="M122" s="516"/>
      <c r="N122" s="878"/>
      <c r="O122" s="878"/>
      <c r="P122" s="1774"/>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19"/>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42993.910000000222</v>
      </c>
      <c r="E3" s="1804"/>
      <c r="F3" s="855"/>
      <c r="G3" s="854"/>
      <c r="H3" s="854"/>
      <c r="I3" s="854"/>
      <c r="J3" s="854"/>
      <c r="K3" s="856"/>
      <c r="L3" s="2498"/>
      <c r="M3" s="2499"/>
      <c r="N3" s="2499"/>
      <c r="O3" s="2499"/>
      <c r="P3" s="1803"/>
      <c r="Q3" s="858"/>
      <c r="R3" s="858"/>
      <c r="S3" s="858"/>
      <c r="T3" s="858"/>
      <c r="U3" s="858"/>
      <c r="V3" s="858"/>
      <c r="W3" s="858"/>
      <c r="X3" s="858"/>
      <c r="Y3" s="858"/>
      <c r="Z3" s="858"/>
      <c r="AA3" s="858"/>
      <c r="AB3" s="858"/>
      <c r="AC3" s="1804"/>
    </row>
    <row r="4" spans="1:29" ht="14.4">
      <c r="A4" s="345" t="s">
        <v>1769</v>
      </c>
      <c r="B4" s="346"/>
      <c r="C4" s="3386" t="s">
        <v>1770</v>
      </c>
      <c r="D4" s="3398"/>
      <c r="E4" s="3399" t="s">
        <v>1771</v>
      </c>
      <c r="F4" s="3400"/>
      <c r="G4" s="3386" t="s">
        <v>1772</v>
      </c>
      <c r="H4" s="3398"/>
      <c r="I4" s="3386" t="s">
        <v>1773</v>
      </c>
      <c r="J4" s="3398"/>
      <c r="K4" s="537" t="s">
        <v>1774</v>
      </c>
      <c r="L4" s="2481"/>
      <c r="M4" s="2482"/>
      <c r="N4" s="2482"/>
      <c r="O4" s="2482"/>
      <c r="P4" s="3401" t="s">
        <v>1775</v>
      </c>
      <c r="Q4" s="3402"/>
      <c r="R4" s="3407" t="s">
        <v>1771</v>
      </c>
      <c r="S4" s="3408"/>
      <c r="T4" s="3407" t="s">
        <v>1772</v>
      </c>
      <c r="U4" s="3408"/>
      <c r="V4" s="3394" t="s">
        <v>1773</v>
      </c>
      <c r="W4" s="3394"/>
      <c r="X4" s="1264"/>
      <c r="Y4" s="3407" t="s">
        <v>1775</v>
      </c>
      <c r="Z4" s="3408"/>
      <c r="AA4" s="3395" t="s">
        <v>1771</v>
      </c>
      <c r="AB4" s="3394" t="s">
        <v>1772</v>
      </c>
      <c r="AC4" s="3395" t="s">
        <v>1773</v>
      </c>
    </row>
    <row r="5" spans="1:29">
      <c r="A5" s="348"/>
      <c r="B5" s="349"/>
      <c r="C5" s="3415" t="s">
        <v>1673</v>
      </c>
      <c r="D5" s="3416"/>
      <c r="E5" s="3422" t="s">
        <v>1674</v>
      </c>
      <c r="F5" s="3423"/>
      <c r="G5" s="3415" t="s">
        <v>1675</v>
      </c>
      <c r="H5" s="3416"/>
      <c r="I5" s="3415" t="s">
        <v>1676</v>
      </c>
      <c r="J5" s="3416"/>
      <c r="K5" s="537"/>
      <c r="L5" s="2481"/>
      <c r="M5" s="2482"/>
      <c r="N5" s="2482"/>
      <c r="O5" s="2482"/>
      <c r="P5" s="3403"/>
      <c r="Q5" s="3404"/>
      <c r="R5" s="3409"/>
      <c r="S5" s="3410"/>
      <c r="T5" s="3409"/>
      <c r="U5" s="3410"/>
      <c r="V5" s="3394"/>
      <c r="W5" s="3394"/>
      <c r="X5" s="1264"/>
      <c r="Y5" s="3409"/>
      <c r="Z5" s="3410"/>
      <c r="AA5" s="3396"/>
      <c r="AB5" s="3394"/>
      <c r="AC5" s="3396"/>
    </row>
    <row r="6" spans="1:29" ht="15" thickBot="1">
      <c r="A6" s="350"/>
      <c r="B6" s="351"/>
      <c r="C6" s="3413" t="s">
        <v>1677</v>
      </c>
      <c r="D6" s="3414"/>
      <c r="E6" s="3420" t="s">
        <v>1677</v>
      </c>
      <c r="F6" s="3421"/>
      <c r="G6" s="3413" t="s">
        <v>1677</v>
      </c>
      <c r="H6" s="3414"/>
      <c r="I6" s="3413" t="s">
        <v>1677</v>
      </c>
      <c r="J6" s="3414"/>
      <c r="K6" s="537" t="s">
        <v>1678</v>
      </c>
      <c r="L6" s="2481"/>
      <c r="M6" s="2482"/>
      <c r="N6" s="2482"/>
      <c r="O6" s="2482"/>
      <c r="P6" s="3405"/>
      <c r="Q6" s="3406"/>
      <c r="R6" s="3409"/>
      <c r="S6" s="3410"/>
      <c r="T6" s="3411"/>
      <c r="U6" s="3412"/>
      <c r="V6" s="3394"/>
      <c r="W6" s="3394"/>
      <c r="X6" s="1264"/>
      <c r="Y6" s="3411"/>
      <c r="Z6" s="3412"/>
      <c r="AA6" s="3397"/>
      <c r="AB6" s="3394"/>
      <c r="AC6" s="3397"/>
    </row>
    <row r="7" spans="1:29" s="102" customFormat="1" ht="15" thickBot="1">
      <c r="A7" s="352" t="s">
        <v>1679</v>
      </c>
      <c r="B7" s="353"/>
      <c r="C7" s="354">
        <f>'数据-取费表'!B2</f>
        <v>45945</v>
      </c>
      <c r="D7" s="355">
        <v>100</v>
      </c>
      <c r="E7" s="356"/>
      <c r="F7" s="357">
        <f>SUMIF(58:58,YEAR(E7)&amp;"-"&amp;MONTH(E7),59:59)</f>
        <v>0</v>
      </c>
      <c r="G7" s="356"/>
      <c r="H7" s="355">
        <f>SUMIF(58:58,YEAR(G7)&amp;"-"&amp;MONTH(G7),59:59)</f>
        <v>0</v>
      </c>
      <c r="I7" s="356"/>
      <c r="J7" s="355">
        <f>SUMIF(58:58,YEAR(I7)&amp;"-"&amp;MONTH(I7),59:59)</f>
        <v>0</v>
      </c>
      <c r="K7" s="38"/>
      <c r="L7" s="2483"/>
      <c r="M7" s="2434"/>
      <c r="N7" s="2434"/>
      <c r="O7" s="2434"/>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3"/>
      <c r="M8" s="2434"/>
      <c r="N8" s="2434"/>
      <c r="O8" s="2434"/>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3"/>
      <c r="M9" s="2434"/>
      <c r="N9" s="2434"/>
      <c r="O9" s="2434"/>
      <c r="P9" s="3388" t="s">
        <v>1686</v>
      </c>
      <c r="Q9" s="530" t="str">
        <f t="shared" ref="Q9:Q15" si="6">B9</f>
        <v>用途</v>
      </c>
      <c r="R9" s="664" t="s">
        <v>14</v>
      </c>
      <c r="S9" s="665">
        <f t="shared" si="0"/>
        <v>100</v>
      </c>
      <c r="T9" s="664" t="s">
        <v>14</v>
      </c>
      <c r="U9" s="665">
        <f t="shared" si="1"/>
        <v>100</v>
      </c>
      <c r="V9" s="664" t="s">
        <v>14</v>
      </c>
      <c r="W9" s="665">
        <f t="shared" si="2"/>
        <v>100</v>
      </c>
      <c r="X9" s="666"/>
      <c r="Y9" s="3289"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7"/>
      <c r="F10" s="364">
        <f>SUMIF(65:65,E10,66:66)-SUMIF(65:65,C10,66:66)+100</f>
        <v>100</v>
      </c>
      <c r="G10" s="3126"/>
      <c r="H10" s="119">
        <f>SUMIF(65:65,G10,66:66)-SUMIF(65:65,C10,66:66)+100</f>
        <v>100</v>
      </c>
      <c r="I10" s="3126"/>
      <c r="J10" s="119">
        <f>SUMIF(65:65,I10,66:66)-SUMIF(65:65,C10,66:66)+100</f>
        <v>100</v>
      </c>
      <c r="K10" s="38"/>
      <c r="L10" s="2484"/>
      <c r="M10" s="2485"/>
      <c r="N10" s="2485"/>
      <c r="O10" s="2485"/>
      <c r="P10" s="3388"/>
      <c r="Q10" s="530" t="str">
        <f t="shared" si="6"/>
        <v>土地使用年限（年）</v>
      </c>
      <c r="R10" s="664" t="s">
        <v>14</v>
      </c>
      <c r="S10" s="665">
        <f t="shared" si="0"/>
        <v>100</v>
      </c>
      <c r="T10" s="664" t="s">
        <v>14</v>
      </c>
      <c r="U10" s="665">
        <f t="shared" si="1"/>
        <v>100</v>
      </c>
      <c r="V10" s="664" t="s">
        <v>14</v>
      </c>
      <c r="W10" s="665">
        <f t="shared" si="2"/>
        <v>100</v>
      </c>
      <c r="X10" s="666"/>
      <c r="Y10" s="328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388"/>
      <c r="Q11" s="530" t="str">
        <f t="shared" si="6"/>
        <v>容积率</v>
      </c>
      <c r="R11" s="664" t="s">
        <v>14</v>
      </c>
      <c r="S11" s="665" t="e">
        <f t="shared" si="0"/>
        <v>#N/A</v>
      </c>
      <c r="T11" s="664" t="s">
        <v>14</v>
      </c>
      <c r="U11" s="665" t="e">
        <f t="shared" si="1"/>
        <v>#N/A</v>
      </c>
      <c r="V11" s="664" t="s">
        <v>14</v>
      </c>
      <c r="W11" s="665" t="e">
        <f t="shared" si="2"/>
        <v>#N/A</v>
      </c>
      <c r="X11" s="666"/>
      <c r="Y11" s="328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4"/>
      <c r="N12" s="2434"/>
      <c r="O12" s="2434"/>
      <c r="P12" s="3388"/>
      <c r="Q12" s="530">
        <f t="shared" si="6"/>
        <v>111</v>
      </c>
      <c r="R12" s="664" t="s">
        <v>14</v>
      </c>
      <c r="S12" s="665">
        <f t="shared" si="0"/>
        <v>100</v>
      </c>
      <c r="T12" s="664" t="s">
        <v>14</v>
      </c>
      <c r="U12" s="665">
        <f t="shared" si="1"/>
        <v>100</v>
      </c>
      <c r="V12" s="664" t="s">
        <v>14</v>
      </c>
      <c r="W12" s="665">
        <f t="shared" si="2"/>
        <v>100</v>
      </c>
      <c r="X12" s="666"/>
      <c r="Y12" s="328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388"/>
      <c r="Q13" s="530">
        <f t="shared" si="6"/>
        <v>111</v>
      </c>
      <c r="R13" s="664" t="s">
        <v>14</v>
      </c>
      <c r="S13" s="665">
        <f t="shared" si="0"/>
        <v>100</v>
      </c>
      <c r="T13" s="664" t="s">
        <v>14</v>
      </c>
      <c r="U13" s="665">
        <f t="shared" si="1"/>
        <v>100</v>
      </c>
      <c r="V13" s="664" t="s">
        <v>14</v>
      </c>
      <c r="W13" s="665">
        <f t="shared" si="2"/>
        <v>100</v>
      </c>
      <c r="X13" s="666"/>
      <c r="Y13" s="3289"/>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388"/>
      <c r="Q14" s="530">
        <f t="shared" si="6"/>
        <v>111</v>
      </c>
      <c r="R14" s="664" t="s">
        <v>14</v>
      </c>
      <c r="S14" s="665">
        <f t="shared" si="0"/>
        <v>100</v>
      </c>
      <c r="T14" s="664" t="s">
        <v>14</v>
      </c>
      <c r="U14" s="665">
        <f t="shared" si="1"/>
        <v>100</v>
      </c>
      <c r="V14" s="664" t="s">
        <v>14</v>
      </c>
      <c r="W14" s="665">
        <f t="shared" si="2"/>
        <v>100</v>
      </c>
      <c r="X14" s="666"/>
      <c r="Y14" s="328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458" t="s">
        <v>1691</v>
      </c>
      <c r="Q15" s="1262" t="str">
        <f t="shared" si="6"/>
        <v>商业繁华度</v>
      </c>
      <c r="R15" s="667" t="s">
        <v>14</v>
      </c>
      <c r="S15" s="668">
        <f t="shared" si="0"/>
        <v>100</v>
      </c>
      <c r="T15" s="667" t="s">
        <v>14</v>
      </c>
      <c r="U15" s="668">
        <f t="shared" si="1"/>
        <v>100</v>
      </c>
      <c r="V15" s="667" t="s">
        <v>14</v>
      </c>
      <c r="W15" s="668">
        <f t="shared" si="2"/>
        <v>100</v>
      </c>
      <c r="X15" s="1264"/>
      <c r="Y15" s="339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7"/>
      <c r="M16" s="2482"/>
      <c r="N16" s="2482"/>
      <c r="O16" s="2482"/>
      <c r="P16" s="3459"/>
      <c r="Q16" s="1262"/>
      <c r="R16" s="667"/>
      <c r="S16" s="668"/>
      <c r="T16" s="667"/>
      <c r="U16" s="668"/>
      <c r="V16" s="667"/>
      <c r="W16" s="668"/>
      <c r="X16" s="1264"/>
      <c r="Y16" s="3391"/>
      <c r="Z16" s="1263"/>
      <c r="AA16" s="1263">
        <v>1</v>
      </c>
      <c r="AB16" s="1263">
        <v>1</v>
      </c>
      <c r="AC16" s="1263">
        <v>1</v>
      </c>
    </row>
    <row r="17" spans="1:29" ht="15">
      <c r="A17" s="367"/>
      <c r="B17" s="390" t="s">
        <v>1259</v>
      </c>
      <c r="C17" s="1753"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459"/>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7"/>
      <c r="M18" s="2482"/>
      <c r="N18" s="2482"/>
      <c r="O18" s="2482"/>
      <c r="P18" s="3459"/>
      <c r="Q18" s="1262"/>
      <c r="R18" s="667"/>
      <c r="S18" s="668"/>
      <c r="T18" s="667"/>
      <c r="U18" s="668"/>
      <c r="V18" s="667"/>
      <c r="W18" s="668"/>
      <c r="X18" s="1264"/>
      <c r="Y18" s="3391"/>
      <c r="Z18" s="1263"/>
      <c r="AA18" s="1263">
        <v>1</v>
      </c>
      <c r="AB18" s="1263">
        <v>1</v>
      </c>
      <c r="AC18" s="1263">
        <v>1</v>
      </c>
    </row>
    <row r="19" spans="1:29" ht="15">
      <c r="A19" s="367"/>
      <c r="B19" s="390" t="s">
        <v>1778</v>
      </c>
      <c r="C19" s="1753" t="str">
        <f>估价对象房地状况!C7</f>
        <v>一般</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459"/>
      <c r="Q19" s="1262" t="str">
        <f>B19</f>
        <v>公共配套设施</v>
      </c>
      <c r="R19" s="667" t="s">
        <v>14</v>
      </c>
      <c r="S19" s="668">
        <f>F19</f>
        <v>100</v>
      </c>
      <c r="T19" s="667" t="s">
        <v>14</v>
      </c>
      <c r="U19" s="668">
        <f>H19</f>
        <v>100</v>
      </c>
      <c r="V19" s="667" t="s">
        <v>14</v>
      </c>
      <c r="W19" s="668">
        <f>J19</f>
        <v>100</v>
      </c>
      <c r="X19" s="1264"/>
      <c r="Y19" s="339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7"/>
      <c r="M20" s="2482"/>
      <c r="N20" s="2482"/>
      <c r="O20" s="2482"/>
      <c r="P20" s="3459"/>
      <c r="Q20" s="1262"/>
      <c r="R20" s="667"/>
      <c r="S20" s="668"/>
      <c r="T20" s="667"/>
      <c r="U20" s="668"/>
      <c r="V20" s="667"/>
      <c r="W20" s="668"/>
      <c r="X20" s="1264"/>
      <c r="Y20" s="3391"/>
      <c r="Z20" s="1263"/>
      <c r="AA20" s="1263">
        <v>1</v>
      </c>
      <c r="AB20" s="1263">
        <v>1</v>
      </c>
      <c r="AC20" s="1263">
        <v>1</v>
      </c>
    </row>
    <row r="21" spans="1:29" ht="15">
      <c r="A21" s="367"/>
      <c r="B21" s="586"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459"/>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7"/>
      <c r="M22" s="2482"/>
      <c r="N22" s="2482"/>
      <c r="O22" s="2482"/>
      <c r="P22" s="3459"/>
      <c r="Q22" s="1262"/>
      <c r="R22" s="667"/>
      <c r="S22" s="668"/>
      <c r="T22" s="667"/>
      <c r="U22" s="668"/>
      <c r="V22" s="667"/>
      <c r="W22" s="668"/>
      <c r="X22" s="1264"/>
      <c r="Y22" s="3391"/>
      <c r="Z22" s="1263"/>
      <c r="AA22" s="1263">
        <v>1</v>
      </c>
      <c r="AB22" s="1263">
        <v>1</v>
      </c>
      <c r="AC22" s="1263">
        <v>1</v>
      </c>
    </row>
    <row r="23" spans="1:29" ht="15">
      <c r="A23" s="367"/>
      <c r="B23" s="390" t="s">
        <v>1261</v>
      </c>
      <c r="C23" s="1805"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459"/>
      <c r="Q23" s="1262" t="str">
        <f>B23</f>
        <v>自然及人文环境</v>
      </c>
      <c r="R23" s="667" t="s">
        <v>14</v>
      </c>
      <c r="S23" s="668">
        <f>F23</f>
        <v>100</v>
      </c>
      <c r="T23" s="667" t="s">
        <v>14</v>
      </c>
      <c r="U23" s="668">
        <f>H23</f>
        <v>100</v>
      </c>
      <c r="V23" s="667" t="s">
        <v>14</v>
      </c>
      <c r="W23" s="668">
        <f>J23</f>
        <v>100</v>
      </c>
      <c r="X23" s="1264"/>
      <c r="Y23" s="339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7"/>
      <c r="M24" s="2482"/>
      <c r="N24" s="2482"/>
      <c r="O24" s="2482"/>
      <c r="P24" s="3459"/>
      <c r="Q24" s="1262"/>
      <c r="R24" s="667"/>
      <c r="S24" s="668"/>
      <c r="T24" s="667"/>
      <c r="U24" s="668"/>
      <c r="V24" s="667"/>
      <c r="W24" s="668"/>
      <c r="X24" s="1264"/>
      <c r="Y24" s="339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59"/>
      <c r="Q25" s="1262" t="str">
        <f t="shared" ref="Q25:Q46" si="11">B25</f>
        <v>临街状况</v>
      </c>
      <c r="R25" s="667" t="s">
        <v>14</v>
      </c>
      <c r="S25" s="668">
        <f>F25</f>
        <v>100</v>
      </c>
      <c r="T25" s="667" t="s">
        <v>14</v>
      </c>
      <c r="U25" s="668">
        <f>H25</f>
        <v>100</v>
      </c>
      <c r="V25" s="667" t="s">
        <v>14</v>
      </c>
      <c r="W25" s="668">
        <f>J25</f>
        <v>100</v>
      </c>
      <c r="X25" s="1264"/>
      <c r="Y25" s="3391"/>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59"/>
      <c r="Q26" s="1262" t="str">
        <f t="shared" si="11"/>
        <v>平面位置/可视性</v>
      </c>
      <c r="R26" s="667" t="s">
        <v>14</v>
      </c>
      <c r="S26" s="668">
        <f>F26</f>
        <v>100</v>
      </c>
      <c r="T26" s="667" t="s">
        <v>14</v>
      </c>
      <c r="U26" s="668">
        <f>H26</f>
        <v>100</v>
      </c>
      <c r="V26" s="667" t="s">
        <v>14</v>
      </c>
      <c r="W26" s="668">
        <f>J26</f>
        <v>100</v>
      </c>
      <c r="X26" s="1264"/>
      <c r="Y26" s="339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3"/>
      <c r="M27" s="2434"/>
      <c r="N27" s="2434"/>
      <c r="O27" s="2434"/>
      <c r="P27" s="3459"/>
      <c r="Q27" s="530" t="str">
        <f t="shared" si="11"/>
        <v>人流量</v>
      </c>
      <c r="R27" s="664" t="s">
        <v>14</v>
      </c>
      <c r="S27" s="665">
        <f>F27</f>
        <v>100</v>
      </c>
      <c r="T27" s="664" t="s">
        <v>14</v>
      </c>
      <c r="U27" s="665">
        <f>H27</f>
        <v>100</v>
      </c>
      <c r="V27" s="664" t="s">
        <v>14</v>
      </c>
      <c r="W27" s="665">
        <f>J27</f>
        <v>100</v>
      </c>
      <c r="X27" s="666"/>
      <c r="Y27" s="339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5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1"/>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59"/>
      <c r="Q29" s="1262">
        <f t="shared" si="11"/>
        <v>111</v>
      </c>
      <c r="R29" s="667" t="s">
        <v>14</v>
      </c>
      <c r="S29" s="668">
        <f t="shared" si="12"/>
        <v>100</v>
      </c>
      <c r="T29" s="667" t="s">
        <v>14</v>
      </c>
      <c r="U29" s="668">
        <f t="shared" si="13"/>
        <v>100</v>
      </c>
      <c r="V29" s="667" t="s">
        <v>14</v>
      </c>
      <c r="W29" s="668">
        <f t="shared" si="14"/>
        <v>100</v>
      </c>
      <c r="X29" s="1264"/>
      <c r="Y29" s="3391"/>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59"/>
      <c r="Q30" s="1262">
        <f t="shared" si="11"/>
        <v>111</v>
      </c>
      <c r="R30" s="667" t="s">
        <v>14</v>
      </c>
      <c r="S30" s="668">
        <f t="shared" si="12"/>
        <v>100</v>
      </c>
      <c r="T30" s="667" t="s">
        <v>14</v>
      </c>
      <c r="U30" s="668">
        <f t="shared" si="13"/>
        <v>100</v>
      </c>
      <c r="V30" s="667" t="s">
        <v>14</v>
      </c>
      <c r="W30" s="668">
        <f t="shared" si="14"/>
        <v>100</v>
      </c>
      <c r="X30" s="1264"/>
      <c r="Y30" s="3391"/>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59"/>
      <c r="Q31" s="1262">
        <f t="shared" si="11"/>
        <v>111</v>
      </c>
      <c r="R31" s="667" t="s">
        <v>14</v>
      </c>
      <c r="S31" s="668">
        <f t="shared" si="12"/>
        <v>100</v>
      </c>
      <c r="T31" s="667" t="s">
        <v>14</v>
      </c>
      <c r="U31" s="668">
        <f t="shared" si="13"/>
        <v>100</v>
      </c>
      <c r="V31" s="667" t="s">
        <v>14</v>
      </c>
      <c r="W31" s="668">
        <f t="shared" si="14"/>
        <v>100</v>
      </c>
      <c r="X31" s="1264"/>
      <c r="Y31" s="339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7"/>
      <c r="M32" s="2482"/>
      <c r="N32" s="2482"/>
      <c r="O32" s="2482"/>
      <c r="P32" s="3454" t="s">
        <v>1696</v>
      </c>
      <c r="Q32" s="1262" t="str">
        <f t="shared" si="11"/>
        <v>商业类型</v>
      </c>
      <c r="R32" s="667" t="s">
        <v>14</v>
      </c>
      <c r="S32" s="668">
        <f t="shared" si="12"/>
        <v>100</v>
      </c>
      <c r="T32" s="667" t="s">
        <v>14</v>
      </c>
      <c r="U32" s="668">
        <f t="shared" si="13"/>
        <v>100</v>
      </c>
      <c r="V32" s="667" t="s">
        <v>14</v>
      </c>
      <c r="W32" s="668">
        <f t="shared" si="14"/>
        <v>100</v>
      </c>
      <c r="X32" s="1264"/>
      <c r="Y32" s="339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455"/>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55"/>
      <c r="Q34" s="1262" t="str">
        <f t="shared" si="11"/>
        <v>建筑结构</v>
      </c>
      <c r="R34" s="667" t="s">
        <v>14</v>
      </c>
      <c r="S34" s="668">
        <f t="shared" si="12"/>
        <v>100</v>
      </c>
      <c r="T34" s="667" t="s">
        <v>14</v>
      </c>
      <c r="U34" s="668">
        <f t="shared" si="13"/>
        <v>100</v>
      </c>
      <c r="V34" s="667" t="s">
        <v>14</v>
      </c>
      <c r="W34" s="668">
        <f t="shared" si="14"/>
        <v>100</v>
      </c>
      <c r="X34" s="1264"/>
      <c r="Y34" s="339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7"/>
      <c r="M35" s="2482"/>
      <c r="N35" s="2482"/>
      <c r="O35" s="2482"/>
      <c r="P35" s="3455"/>
      <c r="Q35" s="1262" t="str">
        <f t="shared" si="11"/>
        <v>公共部分装修</v>
      </c>
      <c r="R35" s="667" t="s">
        <v>14</v>
      </c>
      <c r="S35" s="668">
        <f t="shared" si="12"/>
        <v>100</v>
      </c>
      <c r="T35" s="667" t="s">
        <v>14</v>
      </c>
      <c r="U35" s="668">
        <f t="shared" si="13"/>
        <v>100</v>
      </c>
      <c r="V35" s="667" t="s">
        <v>14</v>
      </c>
      <c r="W35" s="668">
        <f t="shared" si="14"/>
        <v>100</v>
      </c>
      <c r="X35" s="1264"/>
      <c r="Y35" s="339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455"/>
      <c r="Q36" s="1262" t="str">
        <f t="shared" si="11"/>
        <v>成新度</v>
      </c>
      <c r="R36" s="667" t="s">
        <v>14</v>
      </c>
      <c r="S36" s="668" t="e">
        <f t="shared" si="12"/>
        <v>#N/A</v>
      </c>
      <c r="T36" s="667" t="s">
        <v>14</v>
      </c>
      <c r="U36" s="668" t="e">
        <f t="shared" si="13"/>
        <v>#N/A</v>
      </c>
      <c r="V36" s="667" t="s">
        <v>14</v>
      </c>
      <c r="W36" s="668" t="e">
        <f t="shared" si="14"/>
        <v>#N/A</v>
      </c>
      <c r="X36" s="1264"/>
      <c r="Y36" s="339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3"/>
      <c r="M37" s="2434"/>
      <c r="N37" s="2434"/>
      <c r="O37" s="2434"/>
      <c r="P37" s="3455"/>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7"/>
      <c r="M38" s="2482"/>
      <c r="N38" s="2482"/>
      <c r="O38" s="2482"/>
      <c r="P38" s="3455" t="s">
        <v>1696</v>
      </c>
      <c r="Q38" s="1262" t="str">
        <f t="shared" si="11"/>
        <v>业态</v>
      </c>
      <c r="R38" s="667" t="s">
        <v>14</v>
      </c>
      <c r="S38" s="668">
        <f t="shared" si="12"/>
        <v>100</v>
      </c>
      <c r="T38" s="667" t="s">
        <v>14</v>
      </c>
      <c r="U38" s="668">
        <f t="shared" si="13"/>
        <v>100</v>
      </c>
      <c r="V38" s="667" t="s">
        <v>14</v>
      </c>
      <c r="W38" s="668">
        <f t="shared" si="14"/>
        <v>100</v>
      </c>
      <c r="X38" s="1264"/>
      <c r="Y38" s="339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7"/>
      <c r="M39" s="2482"/>
      <c r="N39" s="2482"/>
      <c r="O39" s="2482"/>
      <c r="P39" s="3455"/>
      <c r="Q39" s="1262" t="str">
        <f t="shared" si="11"/>
        <v>层高</v>
      </c>
      <c r="R39" s="667" t="s">
        <v>14</v>
      </c>
      <c r="S39" s="668">
        <f t="shared" si="12"/>
        <v>100</v>
      </c>
      <c r="T39" s="667" t="s">
        <v>14</v>
      </c>
      <c r="U39" s="668">
        <f t="shared" si="13"/>
        <v>100</v>
      </c>
      <c r="V39" s="667" t="s">
        <v>14</v>
      </c>
      <c r="W39" s="668">
        <f t="shared" si="14"/>
        <v>100</v>
      </c>
      <c r="X39" s="1264"/>
      <c r="Y39" s="339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55"/>
      <c r="Q40" s="1262" t="str">
        <f t="shared" si="11"/>
        <v>单套建筑面积</v>
      </c>
      <c r="R40" s="667" t="s">
        <v>14</v>
      </c>
      <c r="S40" s="668">
        <f t="shared" si="12"/>
        <v>100</v>
      </c>
      <c r="T40" s="667" t="s">
        <v>14</v>
      </c>
      <c r="U40" s="668">
        <f t="shared" si="13"/>
        <v>100</v>
      </c>
      <c r="V40" s="667" t="s">
        <v>14</v>
      </c>
      <c r="W40" s="668">
        <f t="shared" si="14"/>
        <v>100</v>
      </c>
      <c r="X40" s="1264"/>
      <c r="Y40" s="339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55"/>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7"/>
      <c r="M42" s="2482"/>
      <c r="N42" s="2482"/>
      <c r="O42" s="2482"/>
      <c r="P42" s="3455"/>
      <c r="Q42" s="1262" t="str">
        <f t="shared" si="11"/>
        <v>内部装修</v>
      </c>
      <c r="R42" s="667" t="s">
        <v>14</v>
      </c>
      <c r="S42" s="668">
        <f t="shared" si="12"/>
        <v>100</v>
      </c>
      <c r="T42" s="667" t="s">
        <v>14</v>
      </c>
      <c r="U42" s="668">
        <f t="shared" si="13"/>
        <v>100</v>
      </c>
      <c r="V42" s="667" t="s">
        <v>14</v>
      </c>
      <c r="W42" s="668">
        <f t="shared" si="14"/>
        <v>100</v>
      </c>
      <c r="X42" s="1264"/>
      <c r="Y42" s="3393"/>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7"/>
      <c r="M43" s="2482"/>
      <c r="N43" s="2482"/>
      <c r="O43" s="2482"/>
      <c r="P43" s="3455"/>
      <c r="Q43" s="1262" t="str">
        <f t="shared" si="11"/>
        <v>内部装修维护情况</v>
      </c>
      <c r="R43" s="667" t="s">
        <v>14</v>
      </c>
      <c r="S43" s="668">
        <f t="shared" si="12"/>
        <v>100</v>
      </c>
      <c r="T43" s="667" t="s">
        <v>14</v>
      </c>
      <c r="U43" s="668">
        <f t="shared" si="13"/>
        <v>100</v>
      </c>
      <c r="V43" s="667" t="s">
        <v>14</v>
      </c>
      <c r="W43" s="668">
        <f t="shared" si="14"/>
        <v>100</v>
      </c>
      <c r="X43" s="1264"/>
      <c r="Y43" s="3393"/>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4"/>
      <c r="N44" s="2434"/>
      <c r="O44" s="2434"/>
      <c r="P44" s="3455"/>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55"/>
      <c r="Q45" s="1262">
        <f t="shared" si="11"/>
        <v>111</v>
      </c>
      <c r="R45" s="667" t="s">
        <v>14</v>
      </c>
      <c r="S45" s="668">
        <f t="shared" si="12"/>
        <v>100</v>
      </c>
      <c r="T45" s="667" t="s">
        <v>14</v>
      </c>
      <c r="U45" s="668">
        <f t="shared" si="13"/>
        <v>100</v>
      </c>
      <c r="V45" s="667" t="s">
        <v>14</v>
      </c>
      <c r="W45" s="668">
        <f t="shared" si="14"/>
        <v>100</v>
      </c>
      <c r="X45" s="1264"/>
      <c r="Y45" s="3393"/>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56"/>
      <c r="Q46" s="1262">
        <f t="shared" si="11"/>
        <v>111</v>
      </c>
      <c r="R46" s="667" t="s">
        <v>14</v>
      </c>
      <c r="S46" s="668">
        <f t="shared" si="12"/>
        <v>100</v>
      </c>
      <c r="T46" s="667" t="s">
        <v>14</v>
      </c>
      <c r="U46" s="668">
        <f t="shared" si="13"/>
        <v>100</v>
      </c>
      <c r="V46" s="667" t="s">
        <v>14</v>
      </c>
      <c r="W46" s="668">
        <f t="shared" si="14"/>
        <v>100</v>
      </c>
      <c r="X46" s="1264"/>
      <c r="Y46" s="3457"/>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89"/>
      <c r="M47" s="2482"/>
      <c r="N47" s="2482"/>
      <c r="O47" s="2482"/>
      <c r="P47" s="3389" t="str">
        <f>A47</f>
        <v>成交单价（元/平方米）</v>
      </c>
      <c r="Q47" s="3389"/>
      <c r="R47" s="3394">
        <f>E47</f>
        <v>0</v>
      </c>
      <c r="S47" s="3394"/>
      <c r="T47" s="3394">
        <f>G47</f>
        <v>0</v>
      </c>
      <c r="U47" s="3394"/>
      <c r="V47" s="3394">
        <f>I47</f>
        <v>0</v>
      </c>
      <c r="W47" s="3394"/>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89"/>
      <c r="M48" s="2482"/>
      <c r="N48" s="2482"/>
      <c r="O48" s="2482"/>
      <c r="P48" s="3389" t="str">
        <f>A48</f>
        <v>比较价值（元/平方米）</v>
      </c>
      <c r="Q48" s="3389"/>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9"/>
      <c r="M49" s="2482"/>
      <c r="N49" s="2482"/>
      <c r="O49" s="2482"/>
      <c r="P49" s="3383" t="str">
        <f>A49</f>
        <v>估价对象XX用房的比较价值（楼面单价，元/平方米）</v>
      </c>
      <c r="Q49" s="3384"/>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8" t="s">
        <v>1798</v>
      </c>
      <c r="B57" s="385"/>
      <c r="C57" s="659"/>
      <c r="D57" s="659"/>
      <c r="E57" s="659"/>
      <c r="F57" s="660"/>
      <c r="G57" s="660"/>
      <c r="H57" s="659"/>
      <c r="I57" s="659"/>
      <c r="J57" s="659"/>
      <c r="K57" s="661"/>
      <c r="L57" s="887"/>
      <c r="M57" s="885"/>
      <c r="N57" s="885"/>
      <c r="O57" s="885"/>
      <c r="P57" s="2502"/>
      <c r="Q57" s="2503"/>
      <c r="R57" s="2482"/>
      <c r="S57" s="2482"/>
      <c r="T57" s="2482"/>
      <c r="U57" s="2482"/>
      <c r="V57" s="2482"/>
      <c r="W57" s="2482"/>
      <c r="X57" s="2482"/>
      <c r="Y57" s="2482"/>
      <c r="Z57" s="2482"/>
      <c r="AA57" s="2482"/>
      <c r="AB57" s="2482"/>
      <c r="AC57" s="2482"/>
    </row>
    <row r="58" spans="1:29" s="442" customFormat="1" ht="14.4">
      <c r="A58" s="440" t="s">
        <v>1679</v>
      </c>
      <c r="B58" s="441"/>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4"/>
      <c r="Q58" s="2505"/>
      <c r="R58" s="2505"/>
      <c r="S58" s="2505"/>
      <c r="T58" s="2505"/>
      <c r="U58" s="2505"/>
      <c r="V58" s="2505"/>
      <c r="W58" s="2505"/>
      <c r="X58" s="2505"/>
      <c r="Y58" s="2505"/>
      <c r="Z58" s="2505"/>
      <c r="AA58" s="2505"/>
      <c r="AB58" s="2505"/>
      <c r="AC58" s="2505"/>
    </row>
    <row r="59" spans="1:29" s="102" customFormat="1">
      <c r="A59" s="443"/>
      <c r="B59" s="444"/>
      <c r="C59" s="1101">
        <v>100</v>
      </c>
      <c r="D59" s="446"/>
      <c r="E59" s="446"/>
      <c r="F59" s="446"/>
      <c r="G59" s="446"/>
      <c r="H59" s="446"/>
      <c r="I59" s="446"/>
      <c r="J59" s="446"/>
      <c r="K59" s="446"/>
      <c r="L59" s="446"/>
      <c r="M59" s="447"/>
      <c r="N59" s="446"/>
      <c r="O59" s="447"/>
      <c r="P59" s="2506"/>
      <c r="Q59" s="2434"/>
      <c r="R59" s="2434"/>
      <c r="S59" s="2434"/>
      <c r="T59" s="2434"/>
      <c r="U59" s="2434"/>
      <c r="V59" s="2434"/>
      <c r="W59" s="2434"/>
      <c r="X59" s="2434"/>
      <c r="Y59" s="2434"/>
      <c r="Z59" s="2434"/>
      <c r="AA59" s="2434"/>
      <c r="AB59" s="2434"/>
      <c r="AC59" s="2434"/>
    </row>
    <row r="60" spans="1:29" s="102" customFormat="1" ht="15" thickBot="1">
      <c r="A60" s="449" t="s">
        <v>1716</v>
      </c>
      <c r="B60" s="450"/>
      <c r="C60" s="451"/>
      <c r="D60" s="452"/>
      <c r="E60" s="452"/>
      <c r="F60" s="452"/>
      <c r="G60" s="452"/>
      <c r="H60" s="452"/>
      <c r="I60" s="452"/>
      <c r="J60" s="452"/>
      <c r="K60" s="452"/>
      <c r="L60" s="452"/>
      <c r="M60" s="453"/>
      <c r="N60" s="452"/>
      <c r="O60" s="453"/>
      <c r="P60" s="2506"/>
      <c r="Q60" s="2503"/>
      <c r="R60" s="2434"/>
      <c r="S60" s="2434"/>
      <c r="T60" s="2434"/>
      <c r="U60" s="2434"/>
      <c r="V60" s="2434"/>
      <c r="W60" s="2434"/>
      <c r="X60" s="2434"/>
      <c r="Y60" s="2434"/>
      <c r="Z60" s="2434"/>
      <c r="AA60" s="2434"/>
      <c r="AB60" s="2434"/>
      <c r="AC60" s="2434"/>
    </row>
    <row r="61" spans="1:29" s="102" customFormat="1" ht="14.4">
      <c r="A61" s="455" t="s">
        <v>1681</v>
      </c>
      <c r="B61" s="444"/>
      <c r="C61" s="456" t="s">
        <v>1776</v>
      </c>
      <c r="D61" s="31"/>
      <c r="E61" s="31"/>
      <c r="F61" s="31"/>
      <c r="G61" s="31"/>
      <c r="H61" s="31"/>
      <c r="I61" s="31"/>
      <c r="J61" s="31"/>
      <c r="K61" s="31"/>
      <c r="L61" s="457"/>
      <c r="M61" s="458"/>
      <c r="N61" s="2515"/>
      <c r="O61" s="2515"/>
      <c r="P61" s="2507"/>
      <c r="Q61" s="2503"/>
      <c r="R61" s="2434"/>
      <c r="S61" s="2434"/>
      <c r="T61" s="2434"/>
      <c r="U61" s="2434"/>
      <c r="V61" s="2434"/>
      <c r="W61" s="2434"/>
      <c r="X61" s="2434"/>
      <c r="Y61" s="2434"/>
      <c r="Z61" s="2434"/>
      <c r="AA61" s="2434"/>
      <c r="AB61" s="2434"/>
      <c r="AC61" s="2434"/>
    </row>
    <row r="62" spans="1:29" s="102" customFormat="1" ht="14.4" thickBot="1">
      <c r="A62" s="455"/>
      <c r="B62" s="444"/>
      <c r="C62" s="445">
        <v>100</v>
      </c>
      <c r="D62" s="446"/>
      <c r="E62" s="446"/>
      <c r="F62" s="446"/>
      <c r="G62" s="446"/>
      <c r="H62" s="446"/>
      <c r="I62" s="446"/>
      <c r="J62" s="446"/>
      <c r="K62" s="446"/>
      <c r="L62" s="446"/>
      <c r="M62" s="448"/>
      <c r="N62" s="2515"/>
      <c r="O62" s="2515"/>
      <c r="P62" s="2506"/>
      <c r="Q62" s="2503"/>
      <c r="R62" s="2434"/>
      <c r="S62" s="2434"/>
      <c r="T62" s="2434"/>
      <c r="U62" s="2434"/>
      <c r="V62" s="2434"/>
      <c r="W62" s="2434"/>
      <c r="X62" s="2434"/>
      <c r="Y62" s="2434"/>
      <c r="Z62" s="2434"/>
      <c r="AA62" s="2434"/>
      <c r="AB62" s="2434"/>
      <c r="AC62" s="2434"/>
    </row>
    <row r="63" spans="1:29" ht="14.4">
      <c r="A63" s="379" t="s">
        <v>1719</v>
      </c>
      <c r="B63" s="460" t="s">
        <v>1685</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1688</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1779</v>
      </c>
      <c r="C82" s="581" t="s">
        <v>1799</v>
      </c>
      <c r="D82" s="581" t="s">
        <v>1800</v>
      </c>
      <c r="E82" s="581" t="s">
        <v>1801</v>
      </c>
      <c r="F82" s="581" t="s">
        <v>1802</v>
      </c>
      <c r="G82" s="581" t="s">
        <v>1803</v>
      </c>
      <c r="H82" s="470"/>
      <c r="I82" s="470"/>
      <c r="J82" s="470"/>
      <c r="K82" s="470"/>
      <c r="L82" s="470"/>
      <c r="M82" s="1062"/>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1804</v>
      </c>
      <c r="C86" s="485"/>
      <c r="D86" s="485"/>
      <c r="E86" s="485"/>
      <c r="F86" s="485"/>
      <c r="G86" s="485"/>
      <c r="H86" s="485"/>
      <c r="I86" s="485"/>
      <c r="J86" s="485"/>
      <c r="K86" s="485"/>
      <c r="L86" s="510"/>
      <c r="M86" s="511"/>
      <c r="N86" s="2515"/>
      <c r="O86" s="2515"/>
      <c r="P86" s="2508"/>
      <c r="Q86" s="2503"/>
      <c r="R86" s="2434"/>
      <c r="S86" s="2434"/>
      <c r="T86" s="2434"/>
      <c r="U86" s="2434"/>
      <c r="V86" s="2434"/>
      <c r="W86" s="2434"/>
      <c r="X86" s="2434"/>
      <c r="Y86" s="2434"/>
      <c r="Z86" s="2434"/>
      <c r="AA86" s="2434"/>
      <c r="AB86" s="2434"/>
      <c r="AC86" s="2434"/>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4"/>
      <c r="S87" s="2434"/>
      <c r="T87" s="2434"/>
      <c r="U87" s="2434"/>
      <c r="V87" s="2434"/>
      <c r="W87" s="2434"/>
      <c r="X87" s="2434"/>
      <c r="Y87" s="2434"/>
      <c r="Z87" s="2434"/>
      <c r="AA87" s="2434"/>
      <c r="AB87" s="2434"/>
      <c r="AC87" s="2434"/>
    </row>
    <row r="88" spans="1:29" s="102" customFormat="1" ht="14.4" thickTop="1">
      <c r="A88" s="370"/>
      <c r="B88" s="469" t="str">
        <f>B26</f>
        <v>平面位置/可视性</v>
      </c>
      <c r="C88" s="485"/>
      <c r="D88" s="485"/>
      <c r="E88" s="485"/>
      <c r="F88" s="1779"/>
      <c r="G88" s="485"/>
      <c r="H88" s="485"/>
      <c r="I88" s="485"/>
      <c r="J88" s="485"/>
      <c r="K88" s="485"/>
      <c r="L88" s="485"/>
      <c r="M88" s="511"/>
      <c r="N88" s="2515"/>
      <c r="O88" s="2515"/>
      <c r="P88" s="2508"/>
      <c r="Q88" s="2503"/>
      <c r="R88" s="2434"/>
      <c r="S88" s="2434"/>
      <c r="T88" s="2434"/>
      <c r="U88" s="2434"/>
      <c r="V88" s="2434"/>
      <c r="W88" s="2434"/>
      <c r="X88" s="2434"/>
      <c r="Y88" s="2434"/>
      <c r="Z88" s="2434"/>
      <c r="AA88" s="2434"/>
      <c r="AB88" s="2434"/>
      <c r="AC88" s="2434"/>
    </row>
    <row r="89" spans="1:29" s="102" customFormat="1" ht="14.4" thickBot="1">
      <c r="A89" s="370"/>
      <c r="B89" s="474"/>
      <c r="C89" s="491"/>
      <c r="D89" s="467"/>
      <c r="E89" s="467"/>
      <c r="F89" s="467"/>
      <c r="G89" s="467"/>
      <c r="H89" s="467"/>
      <c r="I89" s="467"/>
      <c r="J89" s="467"/>
      <c r="K89" s="467"/>
      <c r="L89" s="467"/>
      <c r="M89" s="467"/>
      <c r="N89" s="2517"/>
      <c r="O89" s="2517"/>
      <c r="P89" s="2508"/>
      <c r="Q89" s="2503"/>
      <c r="R89" s="2434"/>
      <c r="S89" s="2434"/>
      <c r="T89" s="2434"/>
      <c r="U89" s="2434"/>
      <c r="V89" s="2434"/>
      <c r="W89" s="2434"/>
      <c r="X89" s="2434"/>
      <c r="Y89" s="2434"/>
      <c r="Z89" s="2434"/>
      <c r="AA89" s="2434"/>
      <c r="AB89" s="2434"/>
      <c r="AC89" s="2434"/>
    </row>
    <row r="90" spans="1:29" s="408" customFormat="1" ht="14.4"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1694</v>
      </c>
      <c r="B100" s="460" t="s">
        <v>1805</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受贵公司委托，我公司对北京市出让国有建设用地使用权及在建建筑物房地产抵押价值进行了预评估。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估价对象为北京市出让国有建设用地使用权及在建建筑物房地产，为所有。根据《国有土地使用证》[]，估价对象（分摊）出让国有建设用地使用权面积为17707.41平方米，建筑面积为42993.9100000002平方米。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17707.41平方米，规划建筑面积为42993.9100000002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2025年10月15日（评估专业人员实地查勘之日）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本次评估采用的主估价方法为成本法和假设开发法。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42993.910000000222</v>
      </c>
      <c r="E3" s="1804"/>
      <c r="F3" s="855"/>
      <c r="G3" s="854"/>
      <c r="H3" s="854"/>
      <c r="I3" s="854"/>
      <c r="J3" s="854"/>
      <c r="K3" s="856"/>
      <c r="L3" s="2498"/>
      <c r="M3" s="2499"/>
      <c r="N3" s="2499"/>
      <c r="O3" s="2499"/>
      <c r="P3" s="341"/>
      <c r="Q3" s="341"/>
      <c r="R3" s="341"/>
      <c r="S3" s="341"/>
      <c r="T3" s="341"/>
      <c r="U3" s="341"/>
      <c r="V3" s="341"/>
      <c r="W3" s="341"/>
      <c r="X3" s="341"/>
      <c r="Y3" s="341"/>
      <c r="Z3" s="341"/>
      <c r="AA3" s="341"/>
      <c r="AB3" s="341"/>
      <c r="AC3" s="663"/>
    </row>
    <row r="4" spans="1:29" ht="14.4">
      <c r="A4" s="345" t="s">
        <v>1769</v>
      </c>
      <c r="B4" s="346"/>
      <c r="C4" s="3386" t="s">
        <v>1770</v>
      </c>
      <c r="D4" s="3398"/>
      <c r="E4" s="3399" t="s">
        <v>1771</v>
      </c>
      <c r="F4" s="3400"/>
      <c r="G4" s="3386" t="s">
        <v>1772</v>
      </c>
      <c r="H4" s="3398"/>
      <c r="I4" s="3386" t="s">
        <v>1773</v>
      </c>
      <c r="J4" s="3398"/>
      <c r="K4" s="537" t="s">
        <v>1774</v>
      </c>
      <c r="L4" s="2481"/>
      <c r="M4" s="2482"/>
      <c r="N4" s="2482"/>
      <c r="O4" s="2482"/>
      <c r="P4" s="3466" t="s">
        <v>1775</v>
      </c>
      <c r="Q4" s="3467"/>
      <c r="R4" s="3470" t="s">
        <v>1771</v>
      </c>
      <c r="S4" s="3471"/>
      <c r="T4" s="3470" t="s">
        <v>1772</v>
      </c>
      <c r="U4" s="3471"/>
      <c r="V4" s="3472" t="s">
        <v>1773</v>
      </c>
      <c r="W4" s="3472"/>
      <c r="X4" s="1808"/>
      <c r="Y4" s="3470" t="s">
        <v>1775</v>
      </c>
      <c r="Z4" s="3471"/>
      <c r="AA4" s="3474" t="s">
        <v>1771</v>
      </c>
      <c r="AB4" s="3474" t="s">
        <v>1772</v>
      </c>
      <c r="AC4" s="3463" t="s">
        <v>1773</v>
      </c>
    </row>
    <row r="5" spans="1:29">
      <c r="A5" s="348"/>
      <c r="B5" s="349"/>
      <c r="C5" s="3415" t="s">
        <v>1673</v>
      </c>
      <c r="D5" s="3416"/>
      <c r="E5" s="3422" t="s">
        <v>1674</v>
      </c>
      <c r="F5" s="3423"/>
      <c r="G5" s="3415" t="s">
        <v>1675</v>
      </c>
      <c r="H5" s="3416"/>
      <c r="I5" s="3415" t="s">
        <v>1676</v>
      </c>
      <c r="J5" s="3416"/>
      <c r="K5" s="537"/>
      <c r="L5" s="2481"/>
      <c r="M5" s="2482"/>
      <c r="N5" s="2482"/>
      <c r="O5" s="2482"/>
      <c r="P5" s="3468"/>
      <c r="Q5" s="3404"/>
      <c r="R5" s="3409"/>
      <c r="S5" s="3410"/>
      <c r="T5" s="3409"/>
      <c r="U5" s="3410"/>
      <c r="V5" s="3394"/>
      <c r="W5" s="3394"/>
      <c r="X5" s="1264"/>
      <c r="Y5" s="3409"/>
      <c r="Z5" s="3410"/>
      <c r="AA5" s="3396"/>
      <c r="AB5" s="3396"/>
      <c r="AC5" s="3464"/>
    </row>
    <row r="6" spans="1:29" ht="15" thickBot="1">
      <c r="A6" s="350"/>
      <c r="B6" s="351"/>
      <c r="C6" s="3413" t="s">
        <v>1677</v>
      </c>
      <c r="D6" s="3414"/>
      <c r="E6" s="3420" t="s">
        <v>1677</v>
      </c>
      <c r="F6" s="3421"/>
      <c r="G6" s="3413" t="s">
        <v>1677</v>
      </c>
      <c r="H6" s="3414"/>
      <c r="I6" s="3413" t="s">
        <v>1677</v>
      </c>
      <c r="J6" s="3414"/>
      <c r="K6" s="537" t="s">
        <v>1678</v>
      </c>
      <c r="L6" s="2481"/>
      <c r="M6" s="2482"/>
      <c r="N6" s="2482"/>
      <c r="O6" s="2482"/>
      <c r="P6" s="3469"/>
      <c r="Q6" s="3406"/>
      <c r="R6" s="3409"/>
      <c r="S6" s="3410"/>
      <c r="T6" s="3411"/>
      <c r="U6" s="3412"/>
      <c r="V6" s="3394"/>
      <c r="W6" s="3394"/>
      <c r="X6" s="1264"/>
      <c r="Y6" s="3411"/>
      <c r="Z6" s="3412"/>
      <c r="AA6" s="3397"/>
      <c r="AB6" s="3397"/>
      <c r="AC6" s="3465"/>
    </row>
    <row r="7" spans="1:29" s="102" customFormat="1" ht="15" thickBot="1">
      <c r="A7" s="352" t="s">
        <v>1679</v>
      </c>
      <c r="B7" s="353"/>
      <c r="C7" s="354">
        <f>'数据-取费表'!B2</f>
        <v>45945</v>
      </c>
      <c r="D7" s="355">
        <v>100</v>
      </c>
      <c r="E7" s="356"/>
      <c r="F7" s="357">
        <f>SUMIF(59:59,YEAR(E7)&amp;"-"&amp;MONTH(E7),60:60)</f>
        <v>0</v>
      </c>
      <c r="G7" s="356"/>
      <c r="H7" s="355">
        <f>SUMIF(59:59,YEAR(G7)&amp;"-"&amp;MONTH(G7),60:60)</f>
        <v>0</v>
      </c>
      <c r="I7" s="356"/>
      <c r="J7" s="355">
        <f>SUMIF(59:59,YEAR(I7)&amp;"-"&amp;MONTH(I7),60:60)</f>
        <v>0</v>
      </c>
      <c r="K7" s="38"/>
      <c r="L7" s="2483"/>
      <c r="M7" s="2434"/>
      <c r="N7" s="2434"/>
      <c r="O7" s="2434"/>
      <c r="P7" s="3473"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3"/>
      <c r="M8" s="2434"/>
      <c r="N8" s="2434"/>
      <c r="O8" s="2434"/>
      <c r="P8" s="3473"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3"/>
      <c r="M9" s="2434"/>
      <c r="N9" s="2434"/>
      <c r="O9" s="2434"/>
      <c r="P9" s="3388" t="s">
        <v>1686</v>
      </c>
      <c r="Q9" s="530" t="str">
        <f t="shared" ref="Q9:Q15" si="6">B9</f>
        <v>用途</v>
      </c>
      <c r="R9" s="664" t="s">
        <v>14</v>
      </c>
      <c r="S9" s="665">
        <f t="shared" si="0"/>
        <v>100</v>
      </c>
      <c r="T9" s="664" t="s">
        <v>14</v>
      </c>
      <c r="U9" s="665">
        <f t="shared" si="1"/>
        <v>100</v>
      </c>
      <c r="V9" s="664" t="s">
        <v>14</v>
      </c>
      <c r="W9" s="665">
        <f t="shared" si="2"/>
        <v>100</v>
      </c>
      <c r="X9" s="666"/>
      <c r="Y9" s="3289" t="s">
        <v>1687</v>
      </c>
      <c r="Z9" s="50" t="str">
        <f t="shared" ref="Z9:Z15" si="7">Q9</f>
        <v>用途</v>
      </c>
      <c r="AA9" s="50">
        <f t="shared" si="3"/>
        <v>1</v>
      </c>
      <c r="AB9" s="50">
        <f t="shared" si="4"/>
        <v>1</v>
      </c>
      <c r="AC9" s="801">
        <f t="shared" si="5"/>
        <v>1</v>
      </c>
    </row>
    <row r="10" spans="1:29" s="366" customFormat="1" ht="28.8">
      <c r="A10" s="363"/>
      <c r="B10" s="364" t="s">
        <v>1688</v>
      </c>
      <c r="C10" s="3126"/>
      <c r="D10" s="119">
        <v>100</v>
      </c>
      <c r="E10" s="3126"/>
      <c r="F10" s="119">
        <f>SUMIF(66:66,E10,67:67)-SUMIF(66:66,C10,67:67)+100</f>
        <v>100</v>
      </c>
      <c r="G10" s="3127"/>
      <c r="H10" s="119">
        <f>SUMIF(66:66,G10,67:67)-SUMIF(66:66,C10,67:67)+100</f>
        <v>100</v>
      </c>
      <c r="I10" s="3126"/>
      <c r="J10" s="119">
        <f>SUMIF(66:66,I10,67:67)-SUMIF(66:66,C10,67:67)+100</f>
        <v>100</v>
      </c>
      <c r="K10" s="38"/>
      <c r="L10" s="2484"/>
      <c r="M10" s="2485"/>
      <c r="N10" s="2485"/>
      <c r="O10" s="2485"/>
      <c r="P10" s="3388"/>
      <c r="Q10" s="530" t="str">
        <f t="shared" si="6"/>
        <v>土地使用年限（年）</v>
      </c>
      <c r="R10" s="664" t="s">
        <v>14</v>
      </c>
      <c r="S10" s="665">
        <f t="shared" si="0"/>
        <v>100</v>
      </c>
      <c r="T10" s="664" t="s">
        <v>14</v>
      </c>
      <c r="U10" s="665">
        <f t="shared" si="1"/>
        <v>100</v>
      </c>
      <c r="V10" s="664" t="s">
        <v>14</v>
      </c>
      <c r="W10" s="665">
        <f t="shared" si="2"/>
        <v>100</v>
      </c>
      <c r="X10" s="666"/>
      <c r="Y10" s="328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388"/>
      <c r="Q11" s="530" t="str">
        <f t="shared" si="6"/>
        <v>容积率</v>
      </c>
      <c r="R11" s="664" t="s">
        <v>14</v>
      </c>
      <c r="S11" s="665">
        <f t="shared" si="0"/>
        <v>100</v>
      </c>
      <c r="T11" s="664" t="s">
        <v>14</v>
      </c>
      <c r="U11" s="665">
        <f t="shared" si="1"/>
        <v>100</v>
      </c>
      <c r="V11" s="664" t="s">
        <v>14</v>
      </c>
      <c r="W11" s="665">
        <f t="shared" si="2"/>
        <v>100</v>
      </c>
      <c r="X11" s="666"/>
      <c r="Y11" s="328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3"/>
      <c r="M12" s="2434"/>
      <c r="N12" s="2434"/>
      <c r="O12" s="2434"/>
      <c r="P12" s="3388"/>
      <c r="Q12" s="530">
        <f t="shared" si="6"/>
        <v>111</v>
      </c>
      <c r="R12" s="664" t="s">
        <v>14</v>
      </c>
      <c r="S12" s="665">
        <f t="shared" si="0"/>
        <v>100</v>
      </c>
      <c r="T12" s="664" t="s">
        <v>14</v>
      </c>
      <c r="U12" s="665">
        <f t="shared" si="1"/>
        <v>100</v>
      </c>
      <c r="V12" s="664" t="s">
        <v>14</v>
      </c>
      <c r="W12" s="665">
        <f t="shared" si="2"/>
        <v>100</v>
      </c>
      <c r="X12" s="666"/>
      <c r="Y12" s="328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388"/>
      <c r="Q13" s="530">
        <f t="shared" si="6"/>
        <v>111</v>
      </c>
      <c r="R13" s="664" t="s">
        <v>14</v>
      </c>
      <c r="S13" s="665">
        <f t="shared" si="0"/>
        <v>100</v>
      </c>
      <c r="T13" s="664" t="s">
        <v>14</v>
      </c>
      <c r="U13" s="665">
        <f t="shared" si="1"/>
        <v>100</v>
      </c>
      <c r="V13" s="664" t="s">
        <v>14</v>
      </c>
      <c r="W13" s="665">
        <f t="shared" si="2"/>
        <v>100</v>
      </c>
      <c r="X13" s="666"/>
      <c r="Y13" s="3289"/>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388"/>
      <c r="Q14" s="530">
        <f t="shared" si="6"/>
        <v>111</v>
      </c>
      <c r="R14" s="664" t="s">
        <v>14</v>
      </c>
      <c r="S14" s="665">
        <f t="shared" si="0"/>
        <v>100</v>
      </c>
      <c r="T14" s="664" t="s">
        <v>14</v>
      </c>
      <c r="U14" s="665">
        <f t="shared" si="1"/>
        <v>100</v>
      </c>
      <c r="V14" s="664" t="s">
        <v>14</v>
      </c>
      <c r="W14" s="665">
        <f t="shared" si="2"/>
        <v>100</v>
      </c>
      <c r="X14" s="666"/>
      <c r="Y14" s="3289"/>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58" t="s">
        <v>1691</v>
      </c>
      <c r="Q15" s="1262" t="str">
        <f t="shared" si="6"/>
        <v>办公集聚程度</v>
      </c>
      <c r="R15" s="667" t="s">
        <v>14</v>
      </c>
      <c r="S15" s="668">
        <f t="shared" si="0"/>
        <v>100</v>
      </c>
      <c r="T15" s="667" t="s">
        <v>14</v>
      </c>
      <c r="U15" s="668">
        <f t="shared" si="1"/>
        <v>100</v>
      </c>
      <c r="V15" s="667" t="s">
        <v>14</v>
      </c>
      <c r="W15" s="668">
        <f t="shared" si="2"/>
        <v>100</v>
      </c>
      <c r="X15" s="1264"/>
      <c r="Y15" s="3390"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7"/>
      <c r="M16" s="2482"/>
      <c r="N16" s="2482"/>
      <c r="O16" s="2482"/>
      <c r="P16" s="3459"/>
      <c r="Q16" s="1262"/>
      <c r="R16" s="667"/>
      <c r="S16" s="668"/>
      <c r="T16" s="667"/>
      <c r="U16" s="668"/>
      <c r="V16" s="667"/>
      <c r="W16" s="668"/>
      <c r="X16" s="1264"/>
      <c r="Y16" s="3391"/>
      <c r="Z16" s="1263"/>
      <c r="AA16" s="1263">
        <v>1</v>
      </c>
      <c r="AB16" s="1263">
        <v>1</v>
      </c>
      <c r="AC16" s="1811">
        <v>1</v>
      </c>
    </row>
    <row r="17" spans="1:29" ht="15">
      <c r="A17" s="367"/>
      <c r="B17" s="556" t="s">
        <v>1259</v>
      </c>
      <c r="C17" s="1812"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59"/>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7"/>
      <c r="M18" s="2482"/>
      <c r="N18" s="2482"/>
      <c r="O18" s="2482"/>
      <c r="P18" s="3459"/>
      <c r="Q18" s="1262"/>
      <c r="R18" s="667"/>
      <c r="S18" s="668"/>
      <c r="T18" s="667"/>
      <c r="U18" s="668"/>
      <c r="V18" s="667"/>
      <c r="W18" s="668"/>
      <c r="X18" s="1264"/>
      <c r="Y18" s="3391"/>
      <c r="Z18" s="1263"/>
      <c r="AA18" s="1263">
        <v>1</v>
      </c>
      <c r="AB18" s="1263">
        <v>1</v>
      </c>
      <c r="AC18" s="1811">
        <v>1</v>
      </c>
    </row>
    <row r="19" spans="1:29" ht="15">
      <c r="A19" s="367"/>
      <c r="B19" s="556" t="s">
        <v>1812</v>
      </c>
      <c r="C19" s="1812"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59"/>
      <c r="Q19" s="1262" t="str">
        <f>B19</f>
        <v>公共配套设施</v>
      </c>
      <c r="R19" s="667" t="s">
        <v>14</v>
      </c>
      <c r="S19" s="668">
        <f>F19</f>
        <v>100</v>
      </c>
      <c r="T19" s="667" t="s">
        <v>14</v>
      </c>
      <c r="U19" s="668">
        <f>H19</f>
        <v>100</v>
      </c>
      <c r="V19" s="667" t="s">
        <v>14</v>
      </c>
      <c r="W19" s="668">
        <f>J19</f>
        <v>100</v>
      </c>
      <c r="X19" s="1264"/>
      <c r="Y19" s="339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7"/>
      <c r="M20" s="2482"/>
      <c r="N20" s="2482"/>
      <c r="O20" s="2482"/>
      <c r="P20" s="3459"/>
      <c r="Q20" s="1262"/>
      <c r="R20" s="667"/>
      <c r="S20" s="668"/>
      <c r="T20" s="667"/>
      <c r="U20" s="668"/>
      <c r="V20" s="667"/>
      <c r="W20" s="668"/>
      <c r="X20" s="1264"/>
      <c r="Y20" s="3391"/>
      <c r="Z20" s="1263"/>
      <c r="AA20" s="1263">
        <v>1</v>
      </c>
      <c r="AB20" s="1263">
        <v>1</v>
      </c>
      <c r="AC20" s="1811">
        <v>1</v>
      </c>
    </row>
    <row r="21" spans="1:29" ht="15">
      <c r="A21" s="367"/>
      <c r="B21" s="557" t="s">
        <v>1813</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59"/>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7"/>
      <c r="M22" s="2482"/>
      <c r="N22" s="2482"/>
      <c r="O22" s="2482"/>
      <c r="P22" s="3459"/>
      <c r="Q22" s="1262"/>
      <c r="R22" s="667"/>
      <c r="S22" s="668"/>
      <c r="T22" s="667"/>
      <c r="U22" s="668"/>
      <c r="V22" s="667"/>
      <c r="W22" s="668"/>
      <c r="X22" s="1264"/>
      <c r="Y22" s="3391"/>
      <c r="Z22" s="1263"/>
      <c r="AA22" s="1263">
        <v>1</v>
      </c>
      <c r="AB22" s="1263">
        <v>1</v>
      </c>
      <c r="AC22" s="1811">
        <v>1</v>
      </c>
    </row>
    <row r="23" spans="1:29" ht="15">
      <c r="A23" s="367"/>
      <c r="B23" s="556" t="s">
        <v>1814</v>
      </c>
      <c r="C23" s="1812"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59"/>
      <c r="Q23" s="1262" t="str">
        <f>B23</f>
        <v>环境质量</v>
      </c>
      <c r="R23" s="667" t="s">
        <v>14</v>
      </c>
      <c r="S23" s="668">
        <f>F23</f>
        <v>100</v>
      </c>
      <c r="T23" s="667" t="s">
        <v>14</v>
      </c>
      <c r="U23" s="668">
        <f>H23</f>
        <v>100</v>
      </c>
      <c r="V23" s="667" t="s">
        <v>14</v>
      </c>
      <c r="W23" s="668">
        <f>J23</f>
        <v>100</v>
      </c>
      <c r="X23" s="1264"/>
      <c r="Y23" s="3391"/>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7"/>
      <c r="M24" s="2482"/>
      <c r="N24" s="2482"/>
      <c r="O24" s="2482"/>
      <c r="P24" s="3459"/>
      <c r="Q24" s="1262"/>
      <c r="R24" s="667"/>
      <c r="S24" s="668"/>
      <c r="T24" s="667"/>
      <c r="U24" s="668"/>
      <c r="V24" s="667"/>
      <c r="W24" s="668"/>
      <c r="X24" s="1264"/>
      <c r="Y24" s="3391"/>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7"/>
      <c r="M25" s="2482"/>
      <c r="N25" s="2482"/>
      <c r="O25" s="2482"/>
      <c r="P25" s="3459"/>
      <c r="Q25" s="1262" t="str">
        <f>B25</f>
        <v>毗邻道路的类型与等级</v>
      </c>
      <c r="R25" s="667" t="s">
        <v>14</v>
      </c>
      <c r="S25" s="668">
        <f>F25</f>
        <v>100</v>
      </c>
      <c r="T25" s="667" t="s">
        <v>14</v>
      </c>
      <c r="U25" s="668">
        <f>H25</f>
        <v>100</v>
      </c>
      <c r="V25" s="667" t="s">
        <v>14</v>
      </c>
      <c r="W25" s="668">
        <f>J25</f>
        <v>100</v>
      </c>
      <c r="X25" s="1264"/>
      <c r="Y25" s="339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7"/>
      <c r="M26" s="2482"/>
      <c r="N26" s="2482"/>
      <c r="O26" s="2482"/>
      <c r="P26" s="3459"/>
      <c r="Q26" s="1262"/>
      <c r="R26" s="667"/>
      <c r="S26" s="668"/>
      <c r="T26" s="667"/>
      <c r="U26" s="668"/>
      <c r="V26" s="667"/>
      <c r="W26" s="668"/>
      <c r="X26" s="1264"/>
      <c r="Y26" s="339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59"/>
      <c r="Q27" s="1262" t="str">
        <f t="shared" ref="Q27:Q47" si="11">B27</f>
        <v>楼层</v>
      </c>
      <c r="R27" s="667" t="s">
        <v>14</v>
      </c>
      <c r="S27" s="668">
        <f>F27</f>
        <v>100</v>
      </c>
      <c r="T27" s="667" t="s">
        <v>14</v>
      </c>
      <c r="U27" s="668">
        <f>H27</f>
        <v>100</v>
      </c>
      <c r="V27" s="667" t="s">
        <v>14</v>
      </c>
      <c r="W27" s="668">
        <f>J27</f>
        <v>100</v>
      </c>
      <c r="X27" s="1264"/>
      <c r="Y27" s="339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4"/>
      <c r="N28" s="2434"/>
      <c r="O28" s="2434"/>
      <c r="P28" s="3459"/>
      <c r="Q28" s="530" t="str">
        <f t="shared" si="11"/>
        <v>朝向</v>
      </c>
      <c r="R28" s="664" t="s">
        <v>14</v>
      </c>
      <c r="S28" s="665">
        <f>F28</f>
        <v>100</v>
      </c>
      <c r="T28" s="664" t="s">
        <v>14</v>
      </c>
      <c r="U28" s="665">
        <f>H28</f>
        <v>100</v>
      </c>
      <c r="V28" s="664" t="s">
        <v>14</v>
      </c>
      <c r="W28" s="665">
        <f>J28</f>
        <v>100</v>
      </c>
      <c r="X28" s="666"/>
      <c r="Y28" s="339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7"/>
      <c r="M29" s="2482"/>
      <c r="N29" s="2482"/>
      <c r="O29" s="2482"/>
      <c r="P29" s="3459"/>
      <c r="Q29" s="1262">
        <f t="shared" si="11"/>
        <v>111</v>
      </c>
      <c r="R29" s="667" t="s">
        <v>14</v>
      </c>
      <c r="S29" s="668">
        <f t="shared" ref="S29:S47" si="12">F29</f>
        <v>100</v>
      </c>
      <c r="T29" s="667" t="s">
        <v>14</v>
      </c>
      <c r="U29" s="668">
        <f t="shared" ref="U29:U47" si="13">H29</f>
        <v>100</v>
      </c>
      <c r="V29" s="667" t="s">
        <v>14</v>
      </c>
      <c r="W29" s="668">
        <f t="shared" ref="W29:W47" si="14">J29</f>
        <v>100</v>
      </c>
      <c r="X29" s="1264"/>
      <c r="Y29" s="339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7"/>
      <c r="M30" s="2482"/>
      <c r="N30" s="2482"/>
      <c r="O30" s="2482"/>
      <c r="P30" s="3459"/>
      <c r="Q30" s="1262">
        <f t="shared" si="11"/>
        <v>111</v>
      </c>
      <c r="R30" s="667" t="s">
        <v>14</v>
      </c>
      <c r="S30" s="668">
        <f t="shared" si="12"/>
        <v>100</v>
      </c>
      <c r="T30" s="667" t="s">
        <v>14</v>
      </c>
      <c r="U30" s="668">
        <f t="shared" si="13"/>
        <v>100</v>
      </c>
      <c r="V30" s="667" t="s">
        <v>14</v>
      </c>
      <c r="W30" s="668">
        <f t="shared" si="14"/>
        <v>100</v>
      </c>
      <c r="X30" s="1264"/>
      <c r="Y30" s="339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7"/>
      <c r="M31" s="2482"/>
      <c r="N31" s="2482"/>
      <c r="O31" s="2482"/>
      <c r="P31" s="3459"/>
      <c r="Q31" s="1262">
        <f t="shared" si="11"/>
        <v>111</v>
      </c>
      <c r="R31" s="667" t="s">
        <v>14</v>
      </c>
      <c r="S31" s="668">
        <f t="shared" si="12"/>
        <v>100</v>
      </c>
      <c r="T31" s="667" t="s">
        <v>14</v>
      </c>
      <c r="U31" s="668">
        <f t="shared" si="13"/>
        <v>100</v>
      </c>
      <c r="V31" s="667" t="s">
        <v>14</v>
      </c>
      <c r="W31" s="668">
        <f t="shared" si="14"/>
        <v>100</v>
      </c>
      <c r="X31" s="1264"/>
      <c r="Y31" s="3391"/>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459"/>
      <c r="Q32" s="1262">
        <f t="shared" si="11"/>
        <v>111</v>
      </c>
      <c r="R32" s="667" t="s">
        <v>14</v>
      </c>
      <c r="S32" s="668">
        <f t="shared" si="12"/>
        <v>100</v>
      </c>
      <c r="T32" s="667" t="s">
        <v>14</v>
      </c>
      <c r="U32" s="668">
        <f t="shared" si="13"/>
        <v>100</v>
      </c>
      <c r="V32" s="667" t="s">
        <v>14</v>
      </c>
      <c r="W32" s="668">
        <f t="shared" si="14"/>
        <v>100</v>
      </c>
      <c r="X32" s="1264"/>
      <c r="Y32" s="339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7"/>
      <c r="M33" s="2482"/>
      <c r="N33" s="2482"/>
      <c r="O33" s="2482"/>
      <c r="P33" s="3454" t="s">
        <v>1696</v>
      </c>
      <c r="Q33" s="1262" t="str">
        <f t="shared" si="11"/>
        <v>建筑类型</v>
      </c>
      <c r="R33" s="667" t="s">
        <v>14</v>
      </c>
      <c r="S33" s="668">
        <f t="shared" si="12"/>
        <v>100</v>
      </c>
      <c r="T33" s="667" t="s">
        <v>14</v>
      </c>
      <c r="U33" s="668">
        <f t="shared" si="13"/>
        <v>100</v>
      </c>
      <c r="V33" s="667" t="s">
        <v>14</v>
      </c>
      <c r="W33" s="668">
        <f t="shared" si="14"/>
        <v>100</v>
      </c>
      <c r="X33" s="1264"/>
      <c r="Y33" s="3393"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55"/>
      <c r="Q34" s="531" t="str">
        <f t="shared" si="11"/>
        <v>项目建筑规模</v>
      </c>
      <c r="R34" s="669" t="s">
        <v>14</v>
      </c>
      <c r="S34" s="670" t="e">
        <f t="shared" si="12"/>
        <v>#N/A</v>
      </c>
      <c r="T34" s="669" t="s">
        <v>14</v>
      </c>
      <c r="U34" s="670" t="e">
        <f t="shared" si="13"/>
        <v>#N/A</v>
      </c>
      <c r="V34" s="669" t="s">
        <v>14</v>
      </c>
      <c r="W34" s="670" t="e">
        <f t="shared" si="14"/>
        <v>#N/A</v>
      </c>
      <c r="X34" s="671"/>
      <c r="Y34" s="3393"/>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55"/>
      <c r="Q35" s="1262" t="str">
        <f t="shared" si="11"/>
        <v>建筑结构</v>
      </c>
      <c r="R35" s="667" t="s">
        <v>14</v>
      </c>
      <c r="S35" s="668">
        <f t="shared" si="12"/>
        <v>100</v>
      </c>
      <c r="T35" s="667" t="s">
        <v>14</v>
      </c>
      <c r="U35" s="668">
        <f t="shared" si="13"/>
        <v>100</v>
      </c>
      <c r="V35" s="667" t="s">
        <v>14</v>
      </c>
      <c r="W35" s="668">
        <f t="shared" si="14"/>
        <v>100</v>
      </c>
      <c r="X35" s="1264"/>
      <c r="Y35" s="339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55"/>
      <c r="Q36" s="1262" t="str">
        <f t="shared" si="11"/>
        <v>公共部分装修</v>
      </c>
      <c r="R36" s="667" t="s">
        <v>14</v>
      </c>
      <c r="S36" s="668">
        <f t="shared" si="12"/>
        <v>100</v>
      </c>
      <c r="T36" s="667" t="s">
        <v>14</v>
      </c>
      <c r="U36" s="668">
        <f t="shared" si="13"/>
        <v>100</v>
      </c>
      <c r="V36" s="667" t="s">
        <v>14</v>
      </c>
      <c r="W36" s="668">
        <f t="shared" si="14"/>
        <v>100</v>
      </c>
      <c r="X36" s="1264"/>
      <c r="Y36" s="3393"/>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55"/>
      <c r="Q37" s="1262" t="str">
        <f t="shared" si="11"/>
        <v>成新度</v>
      </c>
      <c r="R37" s="667" t="s">
        <v>14</v>
      </c>
      <c r="S37" s="668" t="e">
        <f t="shared" si="12"/>
        <v>#N/A</v>
      </c>
      <c r="T37" s="667" t="s">
        <v>14</v>
      </c>
      <c r="U37" s="668" t="e">
        <f t="shared" si="13"/>
        <v>#N/A</v>
      </c>
      <c r="V37" s="667" t="s">
        <v>14</v>
      </c>
      <c r="W37" s="668" t="e">
        <f t="shared" si="14"/>
        <v>#N/A</v>
      </c>
      <c r="X37" s="1264"/>
      <c r="Y37" s="3393"/>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4"/>
      <c r="N38" s="2434"/>
      <c r="O38" s="2434"/>
      <c r="P38" s="3455"/>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55" t="s">
        <v>1696</v>
      </c>
      <c r="Q39" s="1262" t="str">
        <f t="shared" si="11"/>
        <v>物业管理</v>
      </c>
      <c r="R39" s="667" t="s">
        <v>14</v>
      </c>
      <c r="S39" s="668">
        <f t="shared" si="12"/>
        <v>100</v>
      </c>
      <c r="T39" s="667" t="s">
        <v>14</v>
      </c>
      <c r="U39" s="668">
        <f t="shared" si="13"/>
        <v>100</v>
      </c>
      <c r="V39" s="667" t="s">
        <v>14</v>
      </c>
      <c r="W39" s="668">
        <f t="shared" si="14"/>
        <v>100</v>
      </c>
      <c r="X39" s="1264"/>
      <c r="Y39" s="339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55"/>
      <c r="Q40" s="1262" t="str">
        <f t="shared" si="11"/>
        <v>市政基础设施</v>
      </c>
      <c r="R40" s="667" t="s">
        <v>14</v>
      </c>
      <c r="S40" s="668">
        <f t="shared" si="12"/>
        <v>100</v>
      </c>
      <c r="T40" s="667" t="s">
        <v>14</v>
      </c>
      <c r="U40" s="668">
        <f t="shared" si="13"/>
        <v>100</v>
      </c>
      <c r="V40" s="667" t="s">
        <v>14</v>
      </c>
      <c r="W40" s="668">
        <f t="shared" si="14"/>
        <v>100</v>
      </c>
      <c r="X40" s="1264"/>
      <c r="Y40" s="339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55"/>
      <c r="Q41" s="1262" t="str">
        <f t="shared" si="11"/>
        <v>层高</v>
      </c>
      <c r="R41" s="667" t="s">
        <v>14</v>
      </c>
      <c r="S41" s="668">
        <f t="shared" si="12"/>
        <v>100</v>
      </c>
      <c r="T41" s="667" t="s">
        <v>14</v>
      </c>
      <c r="U41" s="668">
        <f t="shared" si="13"/>
        <v>100</v>
      </c>
      <c r="V41" s="667" t="s">
        <v>14</v>
      </c>
      <c r="W41" s="668">
        <f t="shared" si="14"/>
        <v>100</v>
      </c>
      <c r="X41" s="1264"/>
      <c r="Y41" s="339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55"/>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55"/>
      <c r="Q43" s="1262" t="str">
        <f t="shared" si="11"/>
        <v>内部装修</v>
      </c>
      <c r="R43" s="667" t="s">
        <v>14</v>
      </c>
      <c r="S43" s="668">
        <f t="shared" si="12"/>
        <v>100</v>
      </c>
      <c r="T43" s="667" t="s">
        <v>14</v>
      </c>
      <c r="U43" s="668">
        <f t="shared" si="13"/>
        <v>100</v>
      </c>
      <c r="V43" s="667" t="s">
        <v>14</v>
      </c>
      <c r="W43" s="668">
        <f t="shared" si="14"/>
        <v>100</v>
      </c>
      <c r="X43" s="1264"/>
      <c r="Y43" s="3393"/>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7"/>
      <c r="M44" s="2482"/>
      <c r="N44" s="2482"/>
      <c r="O44" s="2482"/>
      <c r="P44" s="3455"/>
      <c r="Q44" s="1262" t="str">
        <f t="shared" si="11"/>
        <v>内部装修维护情况</v>
      </c>
      <c r="R44" s="667" t="s">
        <v>14</v>
      </c>
      <c r="S44" s="668">
        <f t="shared" si="12"/>
        <v>100</v>
      </c>
      <c r="T44" s="667" t="s">
        <v>14</v>
      </c>
      <c r="U44" s="668">
        <f t="shared" si="13"/>
        <v>100</v>
      </c>
      <c r="V44" s="667" t="s">
        <v>14</v>
      </c>
      <c r="W44" s="668">
        <f t="shared" si="14"/>
        <v>100</v>
      </c>
      <c r="X44" s="1264"/>
      <c r="Y44" s="3393"/>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4"/>
      <c r="N45" s="2434"/>
      <c r="O45" s="2434"/>
      <c r="P45" s="3455"/>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55"/>
      <c r="Q46" s="1262">
        <f t="shared" si="11"/>
        <v>111</v>
      </c>
      <c r="R46" s="667" t="s">
        <v>14</v>
      </c>
      <c r="S46" s="668">
        <f t="shared" si="12"/>
        <v>100</v>
      </c>
      <c r="T46" s="667" t="s">
        <v>14</v>
      </c>
      <c r="U46" s="668">
        <f t="shared" si="13"/>
        <v>100</v>
      </c>
      <c r="V46" s="667" t="s">
        <v>14</v>
      </c>
      <c r="W46" s="668">
        <f t="shared" si="14"/>
        <v>100</v>
      </c>
      <c r="X46" s="1264"/>
      <c r="Y46" s="3393"/>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56"/>
      <c r="Q47" s="1262">
        <f t="shared" si="11"/>
        <v>111</v>
      </c>
      <c r="R47" s="667" t="s">
        <v>14</v>
      </c>
      <c r="S47" s="668">
        <f t="shared" si="12"/>
        <v>100</v>
      </c>
      <c r="T47" s="667" t="s">
        <v>14</v>
      </c>
      <c r="U47" s="668">
        <f t="shared" si="13"/>
        <v>100</v>
      </c>
      <c r="V47" s="667" t="s">
        <v>14</v>
      </c>
      <c r="W47" s="668">
        <f t="shared" si="14"/>
        <v>100</v>
      </c>
      <c r="X47" s="1264"/>
      <c r="Y47" s="3457"/>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89"/>
      <c r="M48" s="2482"/>
      <c r="N48" s="2482"/>
      <c r="O48" s="2482"/>
      <c r="P48" s="3388" t="str">
        <f>A48</f>
        <v>成交单价（元/平方米）</v>
      </c>
      <c r="Q48" s="3389"/>
      <c r="R48" s="3394">
        <f>E48</f>
        <v>0</v>
      </c>
      <c r="S48" s="3394"/>
      <c r="T48" s="3394">
        <f>G48</f>
        <v>0</v>
      </c>
      <c r="U48" s="3394"/>
      <c r="V48" s="3394">
        <f>I48</f>
        <v>0</v>
      </c>
      <c r="W48" s="3394"/>
      <c r="X48" s="385"/>
      <c r="Y48" s="673"/>
      <c r="Z48" s="385"/>
      <c r="AA48" s="385"/>
      <c r="AB48" s="385"/>
      <c r="AC48" s="555"/>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89"/>
      <c r="M49" s="2482"/>
      <c r="N49" s="2482"/>
      <c r="O49" s="2482"/>
      <c r="P49" s="3388" t="str">
        <f>A49</f>
        <v>比较价值（元/平方米）</v>
      </c>
      <c r="Q49" s="3389"/>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89"/>
      <c r="M50" s="2482"/>
      <c r="N50" s="2482"/>
      <c r="O50" s="2482"/>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7"/>
      <c r="Y50" s="1797"/>
      <c r="Z50" s="1797"/>
      <c r="AA50" s="1797"/>
      <c r="AB50" s="1797"/>
      <c r="AC50" s="1798"/>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8" t="s">
        <v>1798</v>
      </c>
      <c r="B58" s="385"/>
      <c r="C58" s="659"/>
      <c r="D58" s="659"/>
      <c r="E58" s="659"/>
      <c r="F58" s="660"/>
      <c r="G58" s="660"/>
      <c r="H58" s="659"/>
      <c r="I58" s="659"/>
      <c r="J58" s="659"/>
      <c r="K58" s="661"/>
      <c r="L58" s="887"/>
      <c r="M58" s="885"/>
      <c r="N58" s="2532"/>
      <c r="O58" s="2532"/>
      <c r="P58" s="2521"/>
      <c r="Q58" s="2503"/>
      <c r="R58" s="2482"/>
      <c r="S58" s="2482"/>
      <c r="T58" s="2482"/>
      <c r="U58" s="2482"/>
      <c r="V58" s="2482"/>
      <c r="W58" s="2482"/>
      <c r="X58" s="2482"/>
      <c r="Y58" s="2482"/>
      <c r="Z58" s="2482"/>
      <c r="AA58" s="2482"/>
      <c r="AB58" s="2482"/>
      <c r="AC58" s="2482"/>
    </row>
    <row r="59" spans="1:29" s="442" customFormat="1" ht="14.4">
      <c r="A59" s="440" t="s">
        <v>1679</v>
      </c>
      <c r="B59" s="441"/>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2"/>
      <c r="Q59" s="2505"/>
      <c r="R59" s="2505"/>
      <c r="S59" s="2505"/>
      <c r="T59" s="2505"/>
      <c r="U59" s="2505"/>
      <c r="V59" s="2505"/>
      <c r="W59" s="2505"/>
      <c r="X59" s="2505"/>
      <c r="Y59" s="2505"/>
      <c r="Z59" s="2505"/>
      <c r="AA59" s="2505"/>
      <c r="AB59" s="2505"/>
      <c r="AC59" s="2505"/>
    </row>
    <row r="60" spans="1:29" s="102" customFormat="1">
      <c r="A60" s="443"/>
      <c r="B60" s="444"/>
      <c r="C60" s="1101">
        <v>100</v>
      </c>
      <c r="D60" s="446"/>
      <c r="E60" s="446"/>
      <c r="F60" s="446"/>
      <c r="G60" s="446"/>
      <c r="H60" s="446"/>
      <c r="I60" s="446"/>
      <c r="J60" s="446"/>
      <c r="K60" s="446"/>
      <c r="L60" s="446"/>
      <c r="M60" s="447"/>
      <c r="N60" s="446"/>
      <c r="O60" s="447"/>
      <c r="P60" s="2523"/>
      <c r="Q60" s="2434"/>
      <c r="R60" s="2434"/>
      <c r="S60" s="2434"/>
      <c r="T60" s="2434"/>
      <c r="U60" s="2434"/>
      <c r="V60" s="2434"/>
      <c r="W60" s="2434"/>
      <c r="X60" s="2434"/>
      <c r="Y60" s="2434"/>
      <c r="Z60" s="2434"/>
      <c r="AA60" s="2434"/>
      <c r="AB60" s="2434"/>
      <c r="AC60" s="2434"/>
    </row>
    <row r="61" spans="1:29" s="102" customFormat="1" ht="15" thickBot="1">
      <c r="A61" s="449" t="s">
        <v>1716</v>
      </c>
      <c r="B61" s="450"/>
      <c r="C61" s="451"/>
      <c r="D61" s="452"/>
      <c r="E61" s="452"/>
      <c r="F61" s="452"/>
      <c r="G61" s="452"/>
      <c r="H61" s="452"/>
      <c r="I61" s="452"/>
      <c r="J61" s="452"/>
      <c r="K61" s="452"/>
      <c r="L61" s="452"/>
      <c r="M61" s="453"/>
      <c r="N61" s="452"/>
      <c r="O61" s="453"/>
      <c r="P61" s="2523"/>
      <c r="Q61" s="2503"/>
      <c r="R61" s="2434"/>
      <c r="S61" s="2434"/>
      <c r="T61" s="2434"/>
      <c r="U61" s="2434"/>
      <c r="V61" s="2434"/>
      <c r="W61" s="2434"/>
      <c r="X61" s="2434"/>
      <c r="Y61" s="2434"/>
      <c r="Z61" s="2434"/>
      <c r="AA61" s="2434"/>
      <c r="AB61" s="2434"/>
      <c r="AC61" s="2434"/>
    </row>
    <row r="62" spans="1:29" s="102" customFormat="1" ht="14.4">
      <c r="A62" s="455" t="s">
        <v>1681</v>
      </c>
      <c r="B62" s="444"/>
      <c r="C62" s="456" t="s">
        <v>1776</v>
      </c>
      <c r="D62" s="31"/>
      <c r="E62" s="31"/>
      <c r="F62" s="31"/>
      <c r="G62" s="31"/>
      <c r="H62" s="31"/>
      <c r="I62" s="31"/>
      <c r="J62" s="31"/>
      <c r="K62" s="31"/>
      <c r="L62" s="457"/>
      <c r="M62" s="458"/>
      <c r="N62" s="2515"/>
      <c r="O62" s="2515"/>
      <c r="P62" s="2524"/>
      <c r="Q62" s="2503"/>
      <c r="R62" s="2434"/>
      <c r="S62" s="2434"/>
      <c r="T62" s="2434"/>
      <c r="U62" s="2434"/>
      <c r="V62" s="2434"/>
      <c r="W62" s="2434"/>
      <c r="X62" s="2434"/>
      <c r="Y62" s="2434"/>
      <c r="Z62" s="2434"/>
      <c r="AA62" s="2434"/>
      <c r="AB62" s="2434"/>
      <c r="AC62" s="2434"/>
    </row>
    <row r="63" spans="1:29" s="102" customFormat="1" ht="14.4" thickBot="1">
      <c r="A63" s="455"/>
      <c r="B63" s="444"/>
      <c r="C63" s="445">
        <v>100</v>
      </c>
      <c r="D63" s="446"/>
      <c r="E63" s="446"/>
      <c r="F63" s="446"/>
      <c r="G63" s="446"/>
      <c r="H63" s="446"/>
      <c r="I63" s="446"/>
      <c r="J63" s="446"/>
      <c r="K63" s="446"/>
      <c r="L63" s="446"/>
      <c r="M63" s="448"/>
      <c r="N63" s="2515"/>
      <c r="O63" s="2515"/>
      <c r="P63" s="2523"/>
      <c r="Q63" s="2503"/>
      <c r="R63" s="2434"/>
      <c r="S63" s="2434"/>
      <c r="T63" s="2434"/>
      <c r="U63" s="2434"/>
      <c r="V63" s="2434"/>
      <c r="W63" s="2434"/>
      <c r="X63" s="2434"/>
      <c r="Y63" s="2434"/>
      <c r="Z63" s="2434"/>
      <c r="AA63" s="2434"/>
      <c r="AB63" s="2434"/>
      <c r="AC63" s="2434"/>
    </row>
    <row r="64" spans="1:29" ht="14.4">
      <c r="A64" s="379" t="s">
        <v>1719</v>
      </c>
      <c r="B64" s="460" t="s">
        <v>1685</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1688</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2"/>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1823</v>
      </c>
      <c r="C87" s="485"/>
      <c r="D87" s="485"/>
      <c r="E87" s="485"/>
      <c r="F87" s="485"/>
      <c r="G87" s="485"/>
      <c r="H87" s="485"/>
      <c r="I87" s="485"/>
      <c r="J87" s="485"/>
      <c r="K87" s="485"/>
      <c r="L87" s="510"/>
      <c r="M87" s="511"/>
      <c r="N87" s="2515"/>
      <c r="O87" s="2515"/>
      <c r="P87" s="2525"/>
      <c r="Q87" s="2503"/>
      <c r="R87" s="2434"/>
      <c r="S87" s="2434"/>
      <c r="T87" s="2434"/>
      <c r="U87" s="2434"/>
      <c r="V87" s="2434"/>
      <c r="W87" s="2434"/>
      <c r="X87" s="2434"/>
      <c r="Y87" s="2434"/>
      <c r="Z87" s="2434"/>
      <c r="AA87" s="2434"/>
      <c r="AB87" s="2434"/>
      <c r="AC87" s="2434"/>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4"/>
      <c r="S88" s="2434"/>
      <c r="T88" s="2434"/>
      <c r="U88" s="2434"/>
      <c r="V88" s="2434"/>
      <c r="W88" s="2434"/>
      <c r="X88" s="2434"/>
      <c r="Y88" s="2434"/>
      <c r="Z88" s="2434"/>
      <c r="AA88" s="2434"/>
      <c r="AB88" s="2434"/>
      <c r="AC88" s="2434"/>
    </row>
    <row r="89" spans="1:29" s="102" customFormat="1" ht="14.4" thickTop="1">
      <c r="A89" s="370"/>
      <c r="B89" s="469" t="str">
        <f>B27</f>
        <v>楼层</v>
      </c>
      <c r="C89" s="485"/>
      <c r="D89" s="485"/>
      <c r="E89" s="485"/>
      <c r="F89" s="1779"/>
      <c r="G89" s="485"/>
      <c r="H89" s="485"/>
      <c r="I89" s="485"/>
      <c r="J89" s="485"/>
      <c r="K89" s="485"/>
      <c r="L89" s="485"/>
      <c r="M89" s="511"/>
      <c r="N89" s="2515"/>
      <c r="O89" s="2515"/>
      <c r="P89" s="2525"/>
      <c r="Q89" s="2503"/>
      <c r="R89" s="2434"/>
      <c r="S89" s="2434"/>
      <c r="T89" s="2434"/>
      <c r="U89" s="2434"/>
      <c r="V89" s="2434"/>
      <c r="W89" s="2434"/>
      <c r="X89" s="2434"/>
      <c r="Y89" s="2434"/>
      <c r="Z89" s="2434"/>
      <c r="AA89" s="2434"/>
      <c r="AB89" s="2434"/>
      <c r="AC89" s="2434"/>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4"/>
      <c r="S90" s="2434"/>
      <c r="T90" s="2434"/>
      <c r="U90" s="2434"/>
      <c r="V90" s="2434"/>
      <c r="W90" s="2434"/>
      <c r="X90" s="2434"/>
      <c r="Y90" s="2434"/>
      <c r="Z90" s="2434"/>
      <c r="AA90" s="2434"/>
      <c r="AB90" s="2434"/>
      <c r="AC90" s="2434"/>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1694</v>
      </c>
      <c r="B101" s="460" t="s">
        <v>1736</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513"/>
      <c r="D119" s="513"/>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7" stopIfTrue="1" operator="containsText" text="超过">
      <formula>NOT(ISERROR(SEARCH("超过",F53)))</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G55">
    <cfRule type="expression" dxfId="80" priority="13"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42993.910000000222</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4.4">
      <c r="A4" s="345" t="s">
        <v>1769</v>
      </c>
      <c r="B4" s="346"/>
      <c r="C4" s="3386" t="s">
        <v>1770</v>
      </c>
      <c r="D4" s="3398"/>
      <c r="E4" s="3399" t="s">
        <v>1771</v>
      </c>
      <c r="F4" s="3400"/>
      <c r="G4" s="3386" t="s">
        <v>1772</v>
      </c>
      <c r="H4" s="3398"/>
      <c r="I4" s="3386" t="s">
        <v>1773</v>
      </c>
      <c r="J4" s="3398"/>
      <c r="K4" s="537" t="s">
        <v>1774</v>
      </c>
      <c r="L4" s="859"/>
      <c r="M4" s="860"/>
      <c r="N4" s="860"/>
      <c r="O4" s="860"/>
      <c r="P4" s="3401" t="s">
        <v>1775</v>
      </c>
      <c r="Q4" s="3402"/>
      <c r="R4" s="3407" t="s">
        <v>1771</v>
      </c>
      <c r="S4" s="3408"/>
      <c r="T4" s="3407" t="s">
        <v>1772</v>
      </c>
      <c r="U4" s="3408"/>
      <c r="V4" s="3394" t="s">
        <v>1773</v>
      </c>
      <c r="W4" s="3394"/>
      <c r="X4" s="1264"/>
      <c r="Y4" s="3407" t="s">
        <v>1775</v>
      </c>
      <c r="Z4" s="3408"/>
      <c r="AA4" s="3395" t="s">
        <v>1771</v>
      </c>
      <c r="AB4" s="3396" t="s">
        <v>1772</v>
      </c>
      <c r="AC4" s="3395" t="s">
        <v>1773</v>
      </c>
    </row>
    <row r="5" spans="1:29">
      <c r="A5" s="348"/>
      <c r="B5" s="349"/>
      <c r="C5" s="3415" t="s">
        <v>1673</v>
      </c>
      <c r="D5" s="3416"/>
      <c r="E5" s="3422" t="s">
        <v>1674</v>
      </c>
      <c r="F5" s="3423"/>
      <c r="G5" s="3415" t="s">
        <v>1675</v>
      </c>
      <c r="H5" s="3416"/>
      <c r="I5" s="3415" t="s">
        <v>1676</v>
      </c>
      <c r="J5" s="3416"/>
      <c r="K5" s="537"/>
      <c r="L5" s="859"/>
      <c r="M5" s="860"/>
      <c r="N5" s="860"/>
      <c r="O5" s="860"/>
      <c r="P5" s="3403"/>
      <c r="Q5" s="3404"/>
      <c r="R5" s="3409"/>
      <c r="S5" s="3410"/>
      <c r="T5" s="3409"/>
      <c r="U5" s="3410"/>
      <c r="V5" s="3394"/>
      <c r="W5" s="3394"/>
      <c r="X5" s="1264"/>
      <c r="Y5" s="3409"/>
      <c r="Z5" s="3410"/>
      <c r="AA5" s="3396"/>
      <c r="AB5" s="3396"/>
      <c r="AC5" s="3396"/>
    </row>
    <row r="6" spans="1:29" ht="15" thickBot="1">
      <c r="A6" s="350"/>
      <c r="B6" s="351"/>
      <c r="C6" s="3413" t="s">
        <v>1677</v>
      </c>
      <c r="D6" s="3414"/>
      <c r="E6" s="3420" t="s">
        <v>1677</v>
      </c>
      <c r="F6" s="3421"/>
      <c r="G6" s="3413" t="s">
        <v>1677</v>
      </c>
      <c r="H6" s="3414"/>
      <c r="I6" s="3413" t="s">
        <v>1677</v>
      </c>
      <c r="J6" s="3414"/>
      <c r="K6" s="537" t="s">
        <v>1678</v>
      </c>
      <c r="L6" s="859"/>
      <c r="M6" s="860"/>
      <c r="N6" s="860"/>
      <c r="O6" s="860"/>
      <c r="P6" s="3405"/>
      <c r="Q6" s="3406"/>
      <c r="R6" s="3409"/>
      <c r="S6" s="3410"/>
      <c r="T6" s="3411"/>
      <c r="U6" s="3412"/>
      <c r="V6" s="3394"/>
      <c r="W6" s="3394"/>
      <c r="X6" s="1264"/>
      <c r="Y6" s="3411"/>
      <c r="Z6" s="3412"/>
      <c r="AA6" s="3397"/>
      <c r="AB6" s="3397"/>
      <c r="AC6" s="3397"/>
    </row>
    <row r="7" spans="1:29" s="102" customFormat="1" ht="15" thickBot="1">
      <c r="A7" s="352" t="s">
        <v>1679</v>
      </c>
      <c r="B7" s="353"/>
      <c r="C7" s="354">
        <f>'数据-取费表'!B2</f>
        <v>45945</v>
      </c>
      <c r="D7" s="355">
        <v>100</v>
      </c>
      <c r="E7" s="356"/>
      <c r="F7" s="357">
        <f>SUMIF(52:52,YEAR(E7)&amp;"-"&amp;MONTH(E7),53:53)</f>
        <v>0</v>
      </c>
      <c r="G7" s="356"/>
      <c r="H7" s="355">
        <f>SUMIF(52:52,YEAR(G7)&amp;"-"&amp;MONTH(G7),53:53)</f>
        <v>0</v>
      </c>
      <c r="I7" s="356"/>
      <c r="J7" s="355">
        <f>SUMIF(52:52,YEAR(I7)&amp;"-"&amp;MONTH(I7),53:53)</f>
        <v>0</v>
      </c>
      <c r="K7" s="38"/>
      <c r="L7" s="861"/>
      <c r="M7" s="862"/>
      <c r="N7" s="862"/>
      <c r="O7" s="862"/>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89" t="s">
        <v>1686</v>
      </c>
      <c r="Q9" s="530" t="str">
        <f t="shared" ref="Q9:Q15" si="6">B9</f>
        <v>用途</v>
      </c>
      <c r="R9" s="664" t="s">
        <v>14</v>
      </c>
      <c r="S9" s="665">
        <f t="shared" si="0"/>
        <v>100</v>
      </c>
      <c r="T9" s="664" t="s">
        <v>14</v>
      </c>
      <c r="U9" s="665">
        <f t="shared" si="1"/>
        <v>100</v>
      </c>
      <c r="V9" s="664" t="s">
        <v>14</v>
      </c>
      <c r="W9" s="665">
        <f t="shared" si="2"/>
        <v>100</v>
      </c>
      <c r="X9" s="666"/>
      <c r="Y9" s="3289"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6"/>
      <c r="F10" s="119">
        <f>SUMIF(59:59,E10,60:60)-SUMIF(59:59,C10,60:60)+100</f>
        <v>100</v>
      </c>
      <c r="G10" s="3127"/>
      <c r="H10" s="119">
        <f>SUMIF(59:59,G10,60:60)-SUMIF(59:59,C10,60:60)+100</f>
        <v>100</v>
      </c>
      <c r="I10" s="3126"/>
      <c r="J10" s="119">
        <f>SUMIF(59:59,I10,60:60)-SUMIF(59:59,C10,60:60)+100</f>
        <v>100</v>
      </c>
      <c r="K10" s="38"/>
      <c r="L10" s="864"/>
      <c r="M10" s="865"/>
      <c r="N10" s="865"/>
      <c r="O10" s="866"/>
      <c r="P10" s="3389"/>
      <c r="Q10" s="530" t="str">
        <f t="shared" si="6"/>
        <v>土地使用年限（年）</v>
      </c>
      <c r="R10" s="664" t="s">
        <v>14</v>
      </c>
      <c r="S10" s="665">
        <f t="shared" si="0"/>
        <v>100</v>
      </c>
      <c r="T10" s="664" t="s">
        <v>14</v>
      </c>
      <c r="U10" s="665">
        <f t="shared" si="1"/>
        <v>100</v>
      </c>
      <c r="V10" s="664" t="s">
        <v>14</v>
      </c>
      <c r="W10" s="665">
        <f t="shared" si="2"/>
        <v>100</v>
      </c>
      <c r="X10" s="666"/>
      <c r="Y10" s="328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89"/>
      <c r="Q11" s="530" t="str">
        <f t="shared" si="6"/>
        <v>容积率</v>
      </c>
      <c r="R11" s="664" t="s">
        <v>14</v>
      </c>
      <c r="S11" s="665">
        <f t="shared" si="0"/>
        <v>100</v>
      </c>
      <c r="T11" s="664" t="s">
        <v>14</v>
      </c>
      <c r="U11" s="665">
        <f t="shared" si="1"/>
        <v>100</v>
      </c>
      <c r="V11" s="664" t="s">
        <v>14</v>
      </c>
      <c r="W11" s="665">
        <f t="shared" si="2"/>
        <v>100</v>
      </c>
      <c r="X11" s="666"/>
      <c r="Y11" s="328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89"/>
      <c r="Q12" s="530">
        <f t="shared" si="6"/>
        <v>111</v>
      </c>
      <c r="R12" s="664" t="s">
        <v>14</v>
      </c>
      <c r="S12" s="665">
        <f t="shared" si="0"/>
        <v>100</v>
      </c>
      <c r="T12" s="664" t="s">
        <v>14</v>
      </c>
      <c r="U12" s="665">
        <f t="shared" si="1"/>
        <v>100</v>
      </c>
      <c r="V12" s="664" t="s">
        <v>14</v>
      </c>
      <c r="W12" s="665">
        <f t="shared" si="2"/>
        <v>100</v>
      </c>
      <c r="X12" s="666"/>
      <c r="Y12" s="328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89"/>
      <c r="Q13" s="530">
        <f t="shared" si="6"/>
        <v>111</v>
      </c>
      <c r="R13" s="664" t="s">
        <v>14</v>
      </c>
      <c r="S13" s="665">
        <f t="shared" si="0"/>
        <v>100</v>
      </c>
      <c r="T13" s="664" t="s">
        <v>14</v>
      </c>
      <c r="U13" s="665">
        <f t="shared" si="1"/>
        <v>100</v>
      </c>
      <c r="V13" s="664" t="s">
        <v>14</v>
      </c>
      <c r="W13" s="665">
        <f t="shared" si="2"/>
        <v>100</v>
      </c>
      <c r="X13" s="666"/>
      <c r="Y13" s="3289"/>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89"/>
      <c r="Q14" s="530">
        <f t="shared" si="6"/>
        <v>111</v>
      </c>
      <c r="R14" s="664" t="s">
        <v>14</v>
      </c>
      <c r="S14" s="665">
        <f t="shared" si="0"/>
        <v>100</v>
      </c>
      <c r="T14" s="664" t="s">
        <v>14</v>
      </c>
      <c r="U14" s="665">
        <f t="shared" si="1"/>
        <v>100</v>
      </c>
      <c r="V14" s="664" t="s">
        <v>14</v>
      </c>
      <c r="W14" s="665">
        <f t="shared" si="2"/>
        <v>100</v>
      </c>
      <c r="X14" s="666"/>
      <c r="Y14" s="3289"/>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0" t="s">
        <v>1691</v>
      </c>
      <c r="Q15" s="1262" t="str">
        <f t="shared" si="6"/>
        <v>产业集聚程度</v>
      </c>
      <c r="R15" s="667" t="s">
        <v>14</v>
      </c>
      <c r="S15" s="668">
        <f t="shared" si="0"/>
        <v>100</v>
      </c>
      <c r="T15" s="667" t="s">
        <v>14</v>
      </c>
      <c r="U15" s="668">
        <f t="shared" si="1"/>
        <v>100</v>
      </c>
      <c r="V15" s="667" t="s">
        <v>14</v>
      </c>
      <c r="W15" s="668">
        <f t="shared" si="2"/>
        <v>100</v>
      </c>
      <c r="X15" s="1264"/>
      <c r="Y15" s="339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91"/>
      <c r="Q16" s="1262"/>
      <c r="R16" s="667"/>
      <c r="S16" s="668"/>
      <c r="T16" s="667"/>
      <c r="U16" s="668"/>
      <c r="V16" s="667"/>
      <c r="W16" s="668"/>
      <c r="X16" s="1264"/>
      <c r="Y16" s="3391"/>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1"/>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91"/>
      <c r="Q18" s="1262"/>
      <c r="R18" s="667"/>
      <c r="S18" s="668"/>
      <c r="T18" s="667"/>
      <c r="U18" s="668"/>
      <c r="V18" s="667"/>
      <c r="W18" s="668"/>
      <c r="X18" s="1264"/>
      <c r="Y18" s="3391"/>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1"/>
      <c r="Q19" s="1262" t="str">
        <f>B19</f>
        <v>公共配套设施</v>
      </c>
      <c r="R19" s="667" t="s">
        <v>14</v>
      </c>
      <c r="S19" s="668">
        <f>F19</f>
        <v>100</v>
      </c>
      <c r="T19" s="667" t="s">
        <v>14</v>
      </c>
      <c r="U19" s="668">
        <f>H19</f>
        <v>100</v>
      </c>
      <c r="V19" s="667" t="s">
        <v>14</v>
      </c>
      <c r="W19" s="668">
        <f>J19</f>
        <v>100</v>
      </c>
      <c r="X19" s="1264"/>
      <c r="Y19" s="339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91"/>
      <c r="Q20" s="1262"/>
      <c r="R20" s="667"/>
      <c r="S20" s="668"/>
      <c r="T20" s="667"/>
      <c r="U20" s="668"/>
      <c r="V20" s="667"/>
      <c r="W20" s="668"/>
      <c r="X20" s="1264"/>
      <c r="Y20" s="3391"/>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1"/>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91"/>
      <c r="Q22" s="1262"/>
      <c r="R22" s="667"/>
      <c r="S22" s="668"/>
      <c r="T22" s="667"/>
      <c r="U22" s="668"/>
      <c r="V22" s="667"/>
      <c r="W22" s="668"/>
      <c r="X22" s="1264"/>
      <c r="Y22" s="3391"/>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1"/>
      <c r="Q23" s="1262" t="str">
        <f>B23</f>
        <v>环境质量</v>
      </c>
      <c r="R23" s="667" t="s">
        <v>14</v>
      </c>
      <c r="S23" s="668">
        <f>F23</f>
        <v>100</v>
      </c>
      <c r="T23" s="667" t="s">
        <v>14</v>
      </c>
      <c r="U23" s="668">
        <f>H23</f>
        <v>100</v>
      </c>
      <c r="V23" s="667" t="s">
        <v>14</v>
      </c>
      <c r="W23" s="668">
        <f>J23</f>
        <v>100</v>
      </c>
      <c r="X23" s="1264"/>
      <c r="Y23" s="339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91"/>
      <c r="Q24" s="1262"/>
      <c r="R24" s="667"/>
      <c r="S24" s="668"/>
      <c r="T24" s="667"/>
      <c r="U24" s="668"/>
      <c r="V24" s="667"/>
      <c r="W24" s="668"/>
      <c r="X24" s="1264"/>
      <c r="Y24" s="3391"/>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1"/>
      <c r="Q25" s="1262">
        <f>B25</f>
        <v>111</v>
      </c>
      <c r="R25" s="667" t="s">
        <v>14</v>
      </c>
      <c r="S25" s="668">
        <f>F25</f>
        <v>100</v>
      </c>
      <c r="T25" s="667" t="s">
        <v>14</v>
      </c>
      <c r="U25" s="668">
        <f>H25</f>
        <v>100</v>
      </c>
      <c r="V25" s="667" t="s">
        <v>14</v>
      </c>
      <c r="W25" s="668">
        <f>J25</f>
        <v>100</v>
      </c>
      <c r="X25" s="1264"/>
      <c r="Y25" s="3391"/>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1"/>
      <c r="Q26" s="1262">
        <f t="shared" ref="Q26:Q40" si="11">B26</f>
        <v>111</v>
      </c>
      <c r="R26" s="667" t="s">
        <v>14</v>
      </c>
      <c r="S26" s="668">
        <f>F26</f>
        <v>100</v>
      </c>
      <c r="T26" s="667" t="s">
        <v>14</v>
      </c>
      <c r="U26" s="668">
        <f>H26</f>
        <v>100</v>
      </c>
      <c r="V26" s="667" t="s">
        <v>14</v>
      </c>
      <c r="W26" s="668">
        <f>J26</f>
        <v>100</v>
      </c>
      <c r="X26" s="1264"/>
      <c r="Y26" s="3391"/>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1"/>
      <c r="Q27" s="530">
        <f t="shared" si="11"/>
        <v>111</v>
      </c>
      <c r="R27" s="664" t="s">
        <v>14</v>
      </c>
      <c r="S27" s="665">
        <f>F27</f>
        <v>100</v>
      </c>
      <c r="T27" s="664" t="s">
        <v>14</v>
      </c>
      <c r="U27" s="665">
        <f>H27</f>
        <v>100</v>
      </c>
      <c r="V27" s="664" t="s">
        <v>14</v>
      </c>
      <c r="W27" s="665">
        <f>J27</f>
        <v>100</v>
      </c>
      <c r="X27" s="666"/>
      <c r="Y27" s="3391"/>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1"/>
      <c r="Q28" s="1262">
        <f t="shared" si="11"/>
        <v>111</v>
      </c>
      <c r="R28" s="667" t="s">
        <v>14</v>
      </c>
      <c r="S28" s="668">
        <f t="shared" ref="S28:S40" si="12">F28</f>
        <v>100</v>
      </c>
      <c r="T28" s="667" t="s">
        <v>14</v>
      </c>
      <c r="U28" s="668">
        <f t="shared" ref="U28:U40" si="13">H28</f>
        <v>100</v>
      </c>
      <c r="V28" s="667" t="s">
        <v>14</v>
      </c>
      <c r="W28" s="668">
        <f t="shared" ref="W28:W40" si="14">J28</f>
        <v>100</v>
      </c>
      <c r="X28" s="1264"/>
      <c r="Y28" s="3391"/>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392" t="s">
        <v>1696</v>
      </c>
      <c r="Q29" s="1262" t="str">
        <f t="shared" si="11"/>
        <v>建筑类型</v>
      </c>
      <c r="R29" s="667" t="s">
        <v>14</v>
      </c>
      <c r="S29" s="668">
        <f t="shared" si="12"/>
        <v>100</v>
      </c>
      <c r="T29" s="667" t="s">
        <v>14</v>
      </c>
      <c r="U29" s="668">
        <f t="shared" si="13"/>
        <v>100</v>
      </c>
      <c r="V29" s="667" t="s">
        <v>14</v>
      </c>
      <c r="W29" s="668">
        <f t="shared" si="14"/>
        <v>100</v>
      </c>
      <c r="X29" s="1264"/>
      <c r="Y29" s="339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93"/>
      <c r="Q31" s="1262" t="str">
        <f t="shared" si="11"/>
        <v>建筑结构</v>
      </c>
      <c r="R31" s="667" t="s">
        <v>14</v>
      </c>
      <c r="S31" s="668">
        <f t="shared" si="12"/>
        <v>100</v>
      </c>
      <c r="T31" s="667" t="s">
        <v>14</v>
      </c>
      <c r="U31" s="668">
        <f t="shared" si="13"/>
        <v>100</v>
      </c>
      <c r="V31" s="667" t="s">
        <v>14</v>
      </c>
      <c r="W31" s="668">
        <f t="shared" si="14"/>
        <v>100</v>
      </c>
      <c r="X31" s="1264"/>
      <c r="Y31" s="339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93"/>
      <c r="Q32" s="1262" t="str">
        <f t="shared" si="11"/>
        <v>公共部分装修</v>
      </c>
      <c r="R32" s="667" t="s">
        <v>14</v>
      </c>
      <c r="S32" s="668">
        <f t="shared" si="12"/>
        <v>100</v>
      </c>
      <c r="T32" s="667" t="s">
        <v>14</v>
      </c>
      <c r="U32" s="668">
        <f t="shared" si="13"/>
        <v>100</v>
      </c>
      <c r="V32" s="667" t="s">
        <v>14</v>
      </c>
      <c r="W32" s="668">
        <f t="shared" si="14"/>
        <v>100</v>
      </c>
      <c r="X32" s="1264"/>
      <c r="Y32" s="339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93"/>
      <c r="Q33" s="1262" t="str">
        <f t="shared" si="11"/>
        <v>成新度</v>
      </c>
      <c r="R33" s="667" t="s">
        <v>14</v>
      </c>
      <c r="S33" s="668" t="e">
        <f t="shared" si="12"/>
        <v>#N/A</v>
      </c>
      <c r="T33" s="667" t="s">
        <v>14</v>
      </c>
      <c r="U33" s="668" t="e">
        <f t="shared" si="13"/>
        <v>#N/A</v>
      </c>
      <c r="V33" s="667" t="s">
        <v>14</v>
      </c>
      <c r="W33" s="668" t="e">
        <f t="shared" si="14"/>
        <v>#N/A</v>
      </c>
      <c r="X33" s="1264"/>
      <c r="Y33" s="339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93" t="s">
        <v>1696</v>
      </c>
      <c r="Q35" s="1262" t="str">
        <f t="shared" si="11"/>
        <v>市政基础设施</v>
      </c>
      <c r="R35" s="667" t="s">
        <v>14</v>
      </c>
      <c r="S35" s="668">
        <f t="shared" si="12"/>
        <v>100</v>
      </c>
      <c r="T35" s="667" t="s">
        <v>14</v>
      </c>
      <c r="U35" s="668">
        <f t="shared" si="13"/>
        <v>100</v>
      </c>
      <c r="V35" s="667" t="s">
        <v>14</v>
      </c>
      <c r="W35" s="668">
        <f t="shared" si="14"/>
        <v>100</v>
      </c>
      <c r="X35" s="1264"/>
      <c r="Y35" s="339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93"/>
      <c r="Q36" s="1262" t="str">
        <f t="shared" si="11"/>
        <v>内部装修</v>
      </c>
      <c r="R36" s="667" t="s">
        <v>14</v>
      </c>
      <c r="S36" s="668">
        <f t="shared" si="12"/>
        <v>100</v>
      </c>
      <c r="T36" s="667" t="s">
        <v>14</v>
      </c>
      <c r="U36" s="668">
        <f t="shared" si="13"/>
        <v>100</v>
      </c>
      <c r="V36" s="667" t="s">
        <v>14</v>
      </c>
      <c r="W36" s="668">
        <f t="shared" si="14"/>
        <v>100</v>
      </c>
      <c r="X36" s="1264"/>
      <c r="Y36" s="339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93"/>
      <c r="Q37" s="1262" t="str">
        <f t="shared" si="11"/>
        <v>内部装修状况</v>
      </c>
      <c r="R37" s="667" t="s">
        <v>14</v>
      </c>
      <c r="S37" s="668">
        <f t="shared" si="12"/>
        <v>100</v>
      </c>
      <c r="T37" s="667" t="s">
        <v>14</v>
      </c>
      <c r="U37" s="668">
        <f t="shared" si="13"/>
        <v>100</v>
      </c>
      <c r="V37" s="667" t="s">
        <v>14</v>
      </c>
      <c r="W37" s="668">
        <f t="shared" si="14"/>
        <v>100</v>
      </c>
      <c r="X37" s="1264"/>
      <c r="Y37" s="3393"/>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93"/>
      <c r="Q39" s="1262">
        <f t="shared" si="11"/>
        <v>111</v>
      </c>
      <c r="R39" s="667" t="s">
        <v>14</v>
      </c>
      <c r="S39" s="668">
        <f t="shared" si="12"/>
        <v>100</v>
      </c>
      <c r="T39" s="667" t="s">
        <v>14</v>
      </c>
      <c r="U39" s="668">
        <f t="shared" si="13"/>
        <v>100</v>
      </c>
      <c r="V39" s="667" t="s">
        <v>14</v>
      </c>
      <c r="W39" s="668">
        <f t="shared" si="14"/>
        <v>100</v>
      </c>
      <c r="X39" s="1264"/>
      <c r="Y39" s="3393"/>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57"/>
      <c r="Q40" s="1262">
        <f t="shared" si="11"/>
        <v>111</v>
      </c>
      <c r="R40" s="667" t="s">
        <v>14</v>
      </c>
      <c r="S40" s="668">
        <f t="shared" si="12"/>
        <v>100</v>
      </c>
      <c r="T40" s="667" t="s">
        <v>14</v>
      </c>
      <c r="U40" s="668">
        <f t="shared" si="13"/>
        <v>100</v>
      </c>
      <c r="V40" s="667" t="s">
        <v>14</v>
      </c>
      <c r="W40" s="668">
        <f t="shared" si="14"/>
        <v>100</v>
      </c>
      <c r="X40" s="1264"/>
      <c r="Y40" s="3457"/>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2"/>
      <c r="M41" s="860"/>
      <c r="N41" s="860"/>
      <c r="O41" s="860"/>
      <c r="P41" s="3389" t="str">
        <f>A41</f>
        <v>成交单价（元/平方米）</v>
      </c>
      <c r="Q41" s="3389"/>
      <c r="R41" s="3394">
        <f>E41</f>
        <v>0</v>
      </c>
      <c r="S41" s="3394"/>
      <c r="T41" s="3394">
        <f>G41</f>
        <v>0</v>
      </c>
      <c r="U41" s="3394"/>
      <c r="V41" s="3394">
        <f>I41</f>
        <v>0</v>
      </c>
      <c r="W41" s="3394"/>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89" t="str">
        <f>A42</f>
        <v>比较价值（元/平方米）</v>
      </c>
      <c r="Q42" s="3389"/>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2"/>
      <c r="M43" s="860"/>
      <c r="N43" s="860"/>
      <c r="O43" s="860"/>
      <c r="P43" s="3383" t="str">
        <f>A43</f>
        <v>估价对象XX用房的比较价值（楼面单价，元/平方米）</v>
      </c>
      <c r="Q43" s="3384"/>
      <c r="R43" s="3453" t="e">
        <f>IF(F1="售价",ROUND(IF(D42="简单平均",AVERAGE(R42:V42),R42*F42+T42*H42+V42*J42),0),ROUND(IF(D42="简单平均",AVERAGE(R42:V42),R42*F42+T42*H42+V42*J42),1))</f>
        <v>#DIV/0!</v>
      </c>
      <c r="S43" s="3453"/>
      <c r="T43" s="3453"/>
      <c r="U43" s="3453"/>
      <c r="V43" s="3453"/>
      <c r="W43" s="3453"/>
      <c r="X43" s="385"/>
      <c r="Y43" s="385"/>
      <c r="Z43" s="385"/>
      <c r="AA43" s="385"/>
      <c r="AB43" s="385"/>
      <c r="AC43" s="385"/>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5"/>
      <c r="M46" s="860"/>
      <c r="N46" s="860"/>
      <c r="O46" s="860"/>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5"/>
      <c r="M47" s="860"/>
      <c r="N47" s="860"/>
      <c r="O47" s="860"/>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5"/>
      <c r="M48" s="873"/>
      <c r="N48" s="873"/>
      <c r="O48" s="873"/>
    </row>
    <row r="49" spans="1:17" s="437"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2.2" thickBot="1">
      <c r="A51" s="658" t="s">
        <v>1798</v>
      </c>
      <c r="B51" s="385"/>
      <c r="C51" s="659"/>
      <c r="D51" s="659"/>
      <c r="E51" s="659"/>
      <c r="F51" s="660"/>
      <c r="G51" s="660"/>
      <c r="H51" s="659"/>
      <c r="I51" s="659"/>
      <c r="J51" s="659"/>
      <c r="K51" s="886"/>
      <c r="L51" s="887"/>
      <c r="M51" s="885"/>
      <c r="N51" s="885"/>
      <c r="O51" s="885"/>
      <c r="P51" s="438"/>
      <c r="Q51" s="439"/>
    </row>
    <row r="52" spans="1:17" s="442" customFormat="1" ht="14.4">
      <c r="A52" s="440" t="s">
        <v>1679</v>
      </c>
      <c r="B52" s="441"/>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3"/>
      <c r="O54" s="2534"/>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F7:F40 H7:H40 J7:J40">
    <cfRule type="cellIs" dxfId="70" priority="1" operator="notEqual">
      <formula>100</formula>
    </cfRule>
  </conditionalFormatting>
  <conditionalFormatting sqref="F42">
    <cfRule type="expression" dxfId="69" priority="4">
      <formula>$D$42="简单平均"</formula>
    </cfRule>
  </conditionalFormatting>
  <conditionalFormatting sqref="F46:F48 H46:H48">
    <cfRule type="containsText" dxfId="68" priority="17" stopIfTrue="1" operator="containsText" text="超过">
      <formula>NOT(ISERROR(SEARCH("超过",F46)))</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G48">
    <cfRule type="expression" dxfId="65" priority="13" stopIfTrue="1">
      <formula>$H$48="超过30%"</formula>
    </cfRule>
  </conditionalFormatting>
  <conditionalFormatting sqref="H42">
    <cfRule type="expression" dxfId="64" priority="3">
      <formula>$D$42="简单平均"</formula>
    </cfRule>
  </conditionalFormatting>
  <conditionalFormatting sqref="I46">
    <cfRule type="expression" dxfId="63" priority="7" stopIfTrue="1">
      <formula>$J$46="超过30%"</formula>
    </cfRule>
  </conditionalFormatting>
  <conditionalFormatting sqref="I47">
    <cfRule type="expression" dxfId="62" priority="6" stopIfTrue="1">
      <formula>$J$47="超过20%"</formula>
    </cfRule>
  </conditionalFormatting>
  <conditionalFormatting sqref="I48">
    <cfRule type="expression" dxfId="61" priority="5" stopIfTrue="1">
      <formula>$J$48="超过30%"</formula>
    </cfRule>
  </conditionalFormatting>
  <conditionalFormatting sqref="J42">
    <cfRule type="expression" dxfId="60" priority="2">
      <formula>$D$42="简单平均"</formula>
    </cfRule>
  </conditionalFormatting>
  <conditionalFormatting sqref="J46:J48">
    <cfRule type="containsText" dxfId="5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3" zoomScale="85" zoomScaleNormal="60" zoomScaleSheetLayoutView="85" workbookViewId="0">
      <selection activeCell="C34" sqref="C34"/>
    </sheetView>
  </sheetViews>
  <sheetFormatPr defaultColWidth="9" defaultRowHeight="13.8"/>
  <cols>
    <col min="1" max="1" width="10.44140625" style="347" customWidth="1"/>
    <col min="2" max="2" width="15.77734375" style="347" customWidth="1"/>
    <col min="3" max="3" width="16.77734375" style="347" customWidth="1"/>
    <col min="4" max="4" width="12.21875" style="347" customWidth="1"/>
    <col min="5" max="5" width="16.109375" style="347" customWidth="1"/>
    <col min="6" max="6" width="12.21875" style="347" customWidth="1"/>
    <col min="7" max="7" width="16" style="347" customWidth="1"/>
    <col min="8" max="8" width="12.21875" style="347" customWidth="1"/>
    <col min="9" max="9" width="16.332031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3322</v>
      </c>
      <c r="C1" s="1140" t="s">
        <v>1662</v>
      </c>
      <c r="D1" s="1141" t="s">
        <v>3322</v>
      </c>
      <c r="E1" s="3125" t="s">
        <v>3623</v>
      </c>
      <c r="F1" s="1734" t="s">
        <v>3624</v>
      </c>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IF(B37="元/平方米",ROUND(C39*D3/10000,0),ROUND(F3*C39/10000,0)),IF(B37="元/平方米",ROUND(C39*D3/10000,0),ROUND(F3*C39/10000,0))-D2),IF(E1="单套模式",IF(C2="——",IF(B37="元/平方米",ROUND(C39*D3/10000,0),ROUND(F3*C39/10000,0)),IF(B37="元/平方米",ROUND(C39*D3/10000,0),ROUND(F3*C39/10000,0))-D2)))</f>
        <v>3419</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8"/>
      <c r="M2" s="2499"/>
      <c r="N2" s="2499"/>
      <c r="O2" s="2499"/>
      <c r="P2" s="1085"/>
      <c r="Q2" s="341"/>
      <c r="R2" s="341"/>
      <c r="S2" s="341"/>
      <c r="T2" s="341"/>
      <c r="U2" s="341"/>
      <c r="V2" s="341"/>
      <c r="W2" s="341"/>
      <c r="X2" s="341"/>
      <c r="Y2" s="341"/>
      <c r="Z2" s="341"/>
      <c r="AA2" s="341"/>
      <c r="AB2" s="341"/>
      <c r="AC2" s="663"/>
    </row>
    <row r="3" spans="1:29" s="342" customFormat="1" ht="28.5" customHeight="1" thickBot="1">
      <c r="A3" s="195" t="s">
        <v>1464</v>
      </c>
      <c r="B3" s="536">
        <f>IF(AND(C2="——",B37="元/平方米"),C39,ROUND(B2*10000/D3,0))</f>
        <v>8241</v>
      </c>
      <c r="C3" s="344" t="s">
        <v>1768</v>
      </c>
      <c r="D3" s="343">
        <f>SUMIF('数据-汇总表'!$C19:$C33,D1,'数据-汇总表'!$E19:$E33)</f>
        <v>4148.920000000021</v>
      </c>
      <c r="E3" s="344" t="s">
        <v>1832</v>
      </c>
      <c r="F3" s="343">
        <f>SUMIF('数据-取费表'!A5:A15,D1,'数据-取费表'!AH5:AH15)</f>
        <v>305</v>
      </c>
      <c r="G3" s="854"/>
      <c r="H3" s="854"/>
      <c r="I3" s="854"/>
      <c r="J3" s="854"/>
      <c r="K3" s="856"/>
      <c r="L3" s="2498"/>
      <c r="M3" s="2499">
        <f>IF(C2="——",IF(B37="元/平方米",ROUND(C39*D3/10000,0),ROUND(F3*C39/10000,0)),IF(B37="元/平方米",ROUND(C39*D3/10000,0),ROUND(F3*C39/10000,0))-D2)</f>
        <v>3419</v>
      </c>
      <c r="N3" s="2499"/>
      <c r="O3" s="2499"/>
      <c r="P3" s="1085"/>
      <c r="Q3" s="341"/>
      <c r="R3" s="341"/>
      <c r="S3" s="341"/>
      <c r="T3" s="341"/>
      <c r="U3" s="341"/>
      <c r="V3" s="341"/>
      <c r="W3" s="341"/>
      <c r="X3" s="341"/>
      <c r="Y3" s="341"/>
      <c r="Z3" s="341"/>
      <c r="AA3" s="341"/>
      <c r="AB3" s="676"/>
      <c r="AC3" s="663"/>
    </row>
    <row r="4" spans="1:29" ht="14.4">
      <c r="A4" s="345" t="s">
        <v>1769</v>
      </c>
      <c r="B4" s="346"/>
      <c r="C4" s="3386" t="s">
        <v>1770</v>
      </c>
      <c r="D4" s="3398"/>
      <c r="E4" s="3399" t="s">
        <v>1771</v>
      </c>
      <c r="F4" s="3400"/>
      <c r="G4" s="3386" t="s">
        <v>1772</v>
      </c>
      <c r="H4" s="3398"/>
      <c r="I4" s="3386" t="s">
        <v>1773</v>
      </c>
      <c r="J4" s="3398"/>
      <c r="K4" s="537" t="s">
        <v>1774</v>
      </c>
      <c r="L4" s="2481"/>
      <c r="M4" s="2482"/>
      <c r="N4" s="2482"/>
      <c r="O4" s="2482"/>
      <c r="P4" s="3401" t="s">
        <v>1775</v>
      </c>
      <c r="Q4" s="3402"/>
      <c r="R4" s="3407" t="s">
        <v>1771</v>
      </c>
      <c r="S4" s="3408"/>
      <c r="T4" s="3407" t="s">
        <v>1772</v>
      </c>
      <c r="U4" s="3408"/>
      <c r="V4" s="3394" t="s">
        <v>1773</v>
      </c>
      <c r="W4" s="3394"/>
      <c r="X4" s="1264"/>
      <c r="Y4" s="3407" t="s">
        <v>1775</v>
      </c>
      <c r="Z4" s="3408"/>
      <c r="AA4" s="3395" t="s">
        <v>1771</v>
      </c>
      <c r="AB4" s="3396" t="s">
        <v>1772</v>
      </c>
      <c r="AC4" s="3395" t="s">
        <v>1773</v>
      </c>
    </row>
    <row r="5" spans="1:29">
      <c r="A5" s="348"/>
      <c r="B5" s="349"/>
      <c r="C5" s="3415" t="s">
        <v>1673</v>
      </c>
      <c r="D5" s="3416"/>
      <c r="E5" s="3422" t="s">
        <v>3625</v>
      </c>
      <c r="F5" s="3423"/>
      <c r="G5" s="3415" t="s">
        <v>3606</v>
      </c>
      <c r="H5" s="3416"/>
      <c r="I5" s="3415" t="s">
        <v>3626</v>
      </c>
      <c r="J5" s="3416"/>
      <c r="K5" s="537"/>
      <c r="L5" s="2481"/>
      <c r="M5" s="2482"/>
      <c r="N5" s="2482"/>
      <c r="O5" s="2482"/>
      <c r="P5" s="3403"/>
      <c r="Q5" s="3404"/>
      <c r="R5" s="3409"/>
      <c r="S5" s="3410"/>
      <c r="T5" s="3409"/>
      <c r="U5" s="3410"/>
      <c r="V5" s="3394"/>
      <c r="W5" s="3394"/>
      <c r="X5" s="1264"/>
      <c r="Y5" s="3409"/>
      <c r="Z5" s="3410"/>
      <c r="AA5" s="3396"/>
      <c r="AB5" s="3396"/>
      <c r="AC5" s="3396"/>
    </row>
    <row r="6" spans="1:29" ht="15" thickBot="1">
      <c r="A6" s="350"/>
      <c r="B6" s="351"/>
      <c r="C6" s="3413" t="s">
        <v>1677</v>
      </c>
      <c r="D6" s="3414"/>
      <c r="E6" s="3420" t="s">
        <v>3607</v>
      </c>
      <c r="F6" s="3421"/>
      <c r="G6" s="3413" t="s">
        <v>3607</v>
      </c>
      <c r="H6" s="3414"/>
      <c r="I6" s="3413" t="s">
        <v>3607</v>
      </c>
      <c r="J6" s="3414"/>
      <c r="K6" s="537" t="s">
        <v>1678</v>
      </c>
      <c r="L6" s="2481"/>
      <c r="M6" s="2482"/>
      <c r="N6" s="2482"/>
      <c r="O6" s="2482"/>
      <c r="P6" s="3405"/>
      <c r="Q6" s="3406"/>
      <c r="R6" s="3409"/>
      <c r="S6" s="3410"/>
      <c r="T6" s="3411"/>
      <c r="U6" s="3412"/>
      <c r="V6" s="3394"/>
      <c r="W6" s="3394"/>
      <c r="X6" s="1264"/>
      <c r="Y6" s="3411"/>
      <c r="Z6" s="3412"/>
      <c r="AA6" s="3397"/>
      <c r="AB6" s="3397"/>
      <c r="AC6" s="3397"/>
    </row>
    <row r="7" spans="1:29" s="102" customFormat="1" ht="15" thickBot="1">
      <c r="A7" s="352" t="s">
        <v>1679</v>
      </c>
      <c r="B7" s="353"/>
      <c r="C7" s="354">
        <f>'数据-取费表'!B2</f>
        <v>45945</v>
      </c>
      <c r="D7" s="355">
        <v>100</v>
      </c>
      <c r="E7" s="356">
        <v>45931</v>
      </c>
      <c r="F7" s="357">
        <f>SUMIF(48:48,YEAR(E7)&amp;"-"&amp;MONTH(E7),49:49)</f>
        <v>100</v>
      </c>
      <c r="G7" s="356">
        <v>45931</v>
      </c>
      <c r="H7" s="355">
        <f>SUMIF(48:48,YEAR(G7)&amp;"-"&amp;MONTH(G7),49:49)</f>
        <v>100</v>
      </c>
      <c r="I7" s="356">
        <v>45931</v>
      </c>
      <c r="J7" s="355">
        <f>SUMIF(48:48,YEAR(I7)&amp;"-"&amp;MONTH(I7),49:49)</f>
        <v>100</v>
      </c>
      <c r="K7" s="38"/>
      <c r="L7" s="2483"/>
      <c r="M7" s="2434"/>
      <c r="N7" s="2434"/>
      <c r="O7" s="2434"/>
      <c r="P7" s="3417" t="s">
        <v>1680</v>
      </c>
      <c r="Q7" s="3419"/>
      <c r="R7" s="664" t="s">
        <v>14</v>
      </c>
      <c r="S7" s="665">
        <f t="shared" ref="S7:S14" si="0">F7</f>
        <v>100</v>
      </c>
      <c r="T7" s="664" t="s">
        <v>14</v>
      </c>
      <c r="U7" s="665">
        <f t="shared" ref="U7:U14" si="1">H7</f>
        <v>100</v>
      </c>
      <c r="V7" s="664" t="s">
        <v>14</v>
      </c>
      <c r="W7" s="665">
        <f t="shared" ref="W7:W14" si="2">J7</f>
        <v>100</v>
      </c>
      <c r="X7" s="666"/>
      <c r="Y7" s="3417" t="s">
        <v>1680</v>
      </c>
      <c r="Z7" s="3418"/>
      <c r="AA7" s="50">
        <f>D7/F7</f>
        <v>1</v>
      </c>
      <c r="AB7" s="50">
        <f>D7/H7</f>
        <v>1</v>
      </c>
      <c r="AC7" s="50">
        <f>D7/J7</f>
        <v>1</v>
      </c>
    </row>
    <row r="8" spans="1:29" s="102" customFormat="1" ht="15" thickBot="1">
      <c r="A8" s="352" t="s">
        <v>1681</v>
      </c>
      <c r="B8" s="353"/>
      <c r="C8" s="358" t="s">
        <v>3629</v>
      </c>
      <c r="D8" s="355">
        <v>100</v>
      </c>
      <c r="E8" s="358" t="s">
        <v>3538</v>
      </c>
      <c r="F8" s="357">
        <f>SUMIF(51:51,E8,52:52)-SUMIF(51:51,C8,52:52)+100</f>
        <v>100</v>
      </c>
      <c r="G8" s="358" t="s">
        <v>3538</v>
      </c>
      <c r="H8" s="355">
        <f>SUMIF(51:51,G8,52:52)-SUMIF(51:51,C8,52:52)+100</f>
        <v>100</v>
      </c>
      <c r="I8" s="358" t="s">
        <v>3538</v>
      </c>
      <c r="J8" s="355">
        <f>SUMIF(51:51,I8,52:52)-SUMIF(51:51,C8,52:52)+100</f>
        <v>100</v>
      </c>
      <c r="K8" s="38"/>
      <c r="L8" s="2483"/>
      <c r="M8" s="2434"/>
      <c r="N8" s="2434"/>
      <c r="O8" s="2434"/>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ht="14.4">
      <c r="A9" s="57" t="s">
        <v>1684</v>
      </c>
      <c r="B9" s="564" t="s">
        <v>1685</v>
      </c>
      <c r="C9" s="360" t="s">
        <v>3322</v>
      </c>
      <c r="D9" s="59">
        <v>100</v>
      </c>
      <c r="E9" s="362" t="s">
        <v>3322</v>
      </c>
      <c r="F9" s="59">
        <f>SUMIF(53:53,E9,54:54)-SUMIF(53:53,C9,54:54)+100</f>
        <v>100</v>
      </c>
      <c r="G9" s="362" t="s">
        <v>3322</v>
      </c>
      <c r="H9" s="59">
        <f>SUMIF(53:53,G9,54:54)-SUMIF(53:53,C9,54:54)+100</f>
        <v>100</v>
      </c>
      <c r="I9" s="362" t="s">
        <v>3322</v>
      </c>
      <c r="J9" s="59">
        <f>SUMIF(53:53,I9,54:54)-SUMIF(53:53,C9,54:54)+100</f>
        <v>100</v>
      </c>
      <c r="K9" s="38"/>
      <c r="L9" s="2483"/>
      <c r="M9" s="2434"/>
      <c r="N9" s="2434"/>
      <c r="O9" s="2434"/>
      <c r="P9" s="3389" t="s">
        <v>1686</v>
      </c>
      <c r="Q9" s="530" t="str">
        <f t="shared" ref="Q9:Q14" si="6">B9</f>
        <v>用途</v>
      </c>
      <c r="R9" s="664" t="s">
        <v>14</v>
      </c>
      <c r="S9" s="665">
        <f t="shared" si="0"/>
        <v>100</v>
      </c>
      <c r="T9" s="664" t="s">
        <v>14</v>
      </c>
      <c r="U9" s="665">
        <f t="shared" si="1"/>
        <v>100</v>
      </c>
      <c r="V9" s="664" t="s">
        <v>14</v>
      </c>
      <c r="W9" s="665">
        <f t="shared" si="2"/>
        <v>100</v>
      </c>
      <c r="X9" s="666"/>
      <c r="Y9" s="3289" t="s">
        <v>1687</v>
      </c>
      <c r="Z9" s="50" t="str">
        <f t="shared" ref="Z9:Z14" si="7">Q9</f>
        <v>用途</v>
      </c>
      <c r="AA9" s="50">
        <f t="shared" si="3"/>
        <v>1</v>
      </c>
      <c r="AB9" s="50">
        <f t="shared" si="4"/>
        <v>1</v>
      </c>
      <c r="AC9" s="50">
        <f t="shared" si="5"/>
        <v>1</v>
      </c>
    </row>
    <row r="10" spans="1:29" s="366" customFormat="1" ht="28.8">
      <c r="A10" s="565"/>
      <c r="B10" s="566" t="s">
        <v>1688</v>
      </c>
      <c r="C10" s="3126"/>
      <c r="D10" s="119">
        <v>100</v>
      </c>
      <c r="E10" s="3191"/>
      <c r="F10" s="119">
        <f>SUMIF(55:55,E10,56:56)-SUMIF(55:55,C10,56:56)+100</f>
        <v>100</v>
      </c>
      <c r="G10" s="3191"/>
      <c r="H10" s="119">
        <f>SUMIF(55:55,G10,56:56)-SUMIF(55:55,C10,56:56)+100</f>
        <v>100</v>
      </c>
      <c r="I10" s="3191"/>
      <c r="J10" s="119">
        <f>SUMIF(55:55,I10,56:56)-SUMIF(55:55,C10,56:56)+100</f>
        <v>100</v>
      </c>
      <c r="K10" s="38"/>
      <c r="L10" s="2484"/>
      <c r="M10" s="2485"/>
      <c r="N10" s="2485"/>
      <c r="O10" s="2485"/>
      <c r="P10" s="3389"/>
      <c r="Q10" s="530" t="str">
        <f t="shared" si="6"/>
        <v>土地使用年限（年）</v>
      </c>
      <c r="R10" s="664" t="s">
        <v>14</v>
      </c>
      <c r="S10" s="665">
        <f t="shared" si="0"/>
        <v>100</v>
      </c>
      <c r="T10" s="664" t="s">
        <v>14</v>
      </c>
      <c r="U10" s="665">
        <f t="shared" si="1"/>
        <v>100</v>
      </c>
      <c r="V10" s="664" t="s">
        <v>14</v>
      </c>
      <c r="W10" s="665">
        <f t="shared" si="2"/>
        <v>100</v>
      </c>
      <c r="X10" s="666"/>
      <c r="Y10" s="328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389"/>
      <c r="Q11" s="530">
        <f t="shared" si="6"/>
        <v>111</v>
      </c>
      <c r="R11" s="664" t="s">
        <v>14</v>
      </c>
      <c r="S11" s="665">
        <f t="shared" si="0"/>
        <v>100</v>
      </c>
      <c r="T11" s="664" t="s">
        <v>14</v>
      </c>
      <c r="U11" s="665">
        <f t="shared" si="1"/>
        <v>100</v>
      </c>
      <c r="V11" s="664" t="s">
        <v>14</v>
      </c>
      <c r="W11" s="665">
        <f t="shared" si="2"/>
        <v>100</v>
      </c>
      <c r="X11" s="666"/>
      <c r="Y11" s="328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4"/>
      <c r="N12" s="2434"/>
      <c r="O12" s="2434"/>
      <c r="P12" s="3389"/>
      <c r="Q12" s="530">
        <f t="shared" si="6"/>
        <v>111</v>
      </c>
      <c r="R12" s="664" t="s">
        <v>14</v>
      </c>
      <c r="S12" s="665">
        <f t="shared" si="0"/>
        <v>100</v>
      </c>
      <c r="T12" s="664" t="s">
        <v>14</v>
      </c>
      <c r="U12" s="665">
        <f t="shared" si="1"/>
        <v>100</v>
      </c>
      <c r="V12" s="664" t="s">
        <v>14</v>
      </c>
      <c r="W12" s="665">
        <f t="shared" si="2"/>
        <v>100</v>
      </c>
      <c r="X12" s="666"/>
      <c r="Y12" s="328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389"/>
      <c r="Q13" s="530">
        <f t="shared" si="6"/>
        <v>111</v>
      </c>
      <c r="R13" s="664" t="s">
        <v>14</v>
      </c>
      <c r="S13" s="665">
        <f t="shared" si="0"/>
        <v>100</v>
      </c>
      <c r="T13" s="664" t="s">
        <v>14</v>
      </c>
      <c r="U13" s="665">
        <f t="shared" si="1"/>
        <v>100</v>
      </c>
      <c r="V13" s="664" t="s">
        <v>14</v>
      </c>
      <c r="W13" s="665">
        <f t="shared" si="2"/>
        <v>100</v>
      </c>
      <c r="X13" s="666"/>
      <c r="Y13" s="3289"/>
      <c r="Z13" s="50">
        <f t="shared" si="7"/>
        <v>111</v>
      </c>
      <c r="AA13" s="50">
        <f t="shared" si="3"/>
        <v>1</v>
      </c>
      <c r="AB13" s="50">
        <f t="shared" si="4"/>
        <v>1</v>
      </c>
      <c r="AC13" s="50">
        <f t="shared" si="5"/>
        <v>1</v>
      </c>
    </row>
    <row r="14" spans="1:29" ht="15">
      <c r="A14" s="345" t="s">
        <v>1690</v>
      </c>
      <c r="B14" s="554" t="s">
        <v>1833</v>
      </c>
      <c r="C14" s="1818" t="str">
        <f>IF(B1="工业",估价对象房地状况!G4,估价对象房地状况!C6)</f>
        <v>一般</v>
      </c>
      <c r="D14" s="380">
        <v>100</v>
      </c>
      <c r="E14" s="381"/>
      <c r="F14" s="382">
        <f>SUMIF(63:63,E15,64:64)-SUMIF(63:63,C15,64:64)+100</f>
        <v>100</v>
      </c>
      <c r="G14" s="381"/>
      <c r="H14" s="380">
        <f>SUMIF(63:63,G15,64:64)-SUMIF(63:63,C15,64:64)+100</f>
        <v>100</v>
      </c>
      <c r="I14" s="381"/>
      <c r="J14" s="380">
        <f>SUMIF(63:63,I15,64:64)-SUMIF(63:63,C15,64:64)+100</f>
        <v>100</v>
      </c>
      <c r="K14" s="540"/>
      <c r="L14" s="2487"/>
      <c r="M14" s="2482"/>
      <c r="N14" s="2482"/>
      <c r="O14" s="2482"/>
      <c r="P14" s="3390" t="s">
        <v>1691</v>
      </c>
      <c r="Q14" s="1262" t="str">
        <f t="shared" si="6"/>
        <v>交通便捷度</v>
      </c>
      <c r="R14" s="667" t="s">
        <v>14</v>
      </c>
      <c r="S14" s="668">
        <f t="shared" si="0"/>
        <v>100</v>
      </c>
      <c r="T14" s="667" t="s">
        <v>14</v>
      </c>
      <c r="U14" s="668">
        <f t="shared" si="1"/>
        <v>100</v>
      </c>
      <c r="V14" s="667" t="s">
        <v>14</v>
      </c>
      <c r="W14" s="668">
        <f t="shared" si="2"/>
        <v>100</v>
      </c>
      <c r="X14" s="1264"/>
      <c r="Y14" s="3390" t="s">
        <v>1691</v>
      </c>
      <c r="Z14" s="1263" t="str">
        <f t="shared" si="7"/>
        <v>交通便捷度</v>
      </c>
      <c r="AA14" s="1263">
        <f t="shared" si="3"/>
        <v>1</v>
      </c>
      <c r="AB14" s="1263">
        <f t="shared" si="4"/>
        <v>1</v>
      </c>
      <c r="AC14" s="1263">
        <f t="shared" si="5"/>
        <v>1</v>
      </c>
    </row>
    <row r="15" spans="1:29" ht="15">
      <c r="A15" s="348"/>
      <c r="B15" s="571"/>
      <c r="C15" s="386" t="s">
        <v>3532</v>
      </c>
      <c r="D15" s="387"/>
      <c r="E15" s="386" t="s">
        <v>3532</v>
      </c>
      <c r="F15" s="388"/>
      <c r="G15" s="386" t="s">
        <v>3532</v>
      </c>
      <c r="H15" s="389"/>
      <c r="I15" s="386" t="s">
        <v>3532</v>
      </c>
      <c r="J15" s="387"/>
      <c r="K15" s="541"/>
      <c r="L15" s="2487"/>
      <c r="M15" s="2482"/>
      <c r="N15" s="2482"/>
      <c r="O15" s="2482"/>
      <c r="P15" s="3391"/>
      <c r="Q15" s="1262"/>
      <c r="R15" s="667"/>
      <c r="S15" s="668"/>
      <c r="T15" s="667"/>
      <c r="U15" s="668"/>
      <c r="V15" s="667"/>
      <c r="W15" s="668"/>
      <c r="X15" s="1264"/>
      <c r="Y15" s="3391"/>
      <c r="Z15" s="1263"/>
      <c r="AA15" s="1263">
        <v>1</v>
      </c>
      <c r="AB15" s="1263">
        <v>1</v>
      </c>
      <c r="AC15" s="1263">
        <v>1</v>
      </c>
    </row>
    <row r="16" spans="1:29" ht="15">
      <c r="A16" s="348"/>
      <c r="B16" s="556" t="s">
        <v>1812</v>
      </c>
      <c r="C16" s="1753" t="str">
        <f>IF(B1="工业",估价对象房地状况!G5,估价对象房地状况!C7)</f>
        <v>一般</v>
      </c>
      <c r="D16" s="394">
        <v>100</v>
      </c>
      <c r="E16" s="398"/>
      <c r="F16" s="397">
        <f>SUMIF(65:65,E17,66:66)-SUMIF(65:65,C17,66:66)+100</f>
        <v>100</v>
      </c>
      <c r="G16" s="398"/>
      <c r="H16" s="394">
        <f>SUMIF(65:65,G17,66:66)-SUMIF(65:65,C17,66:66)+100</f>
        <v>100</v>
      </c>
      <c r="I16" s="398"/>
      <c r="J16" s="394">
        <f>SUMIF(65:65,I17,66:66)-SUMIF(65:65,C17,66:66)+100</f>
        <v>100</v>
      </c>
      <c r="K16" s="540"/>
      <c r="L16" s="2487"/>
      <c r="M16" s="2482"/>
      <c r="N16" s="2482"/>
      <c r="O16" s="2482"/>
      <c r="P16" s="3391"/>
      <c r="Q16" s="1262" t="str">
        <f>B16</f>
        <v>公共配套设施</v>
      </c>
      <c r="R16" s="667" t="s">
        <v>14</v>
      </c>
      <c r="S16" s="668">
        <f>F16</f>
        <v>100</v>
      </c>
      <c r="T16" s="667" t="s">
        <v>14</v>
      </c>
      <c r="U16" s="668">
        <f>H16</f>
        <v>100</v>
      </c>
      <c r="V16" s="667" t="s">
        <v>14</v>
      </c>
      <c r="W16" s="668">
        <f>J16</f>
        <v>100</v>
      </c>
      <c r="X16" s="1264"/>
      <c r="Y16" s="3391"/>
      <c r="Z16" s="1263" t="str">
        <f>Q16</f>
        <v>公共配套设施</v>
      </c>
      <c r="AA16" s="1263">
        <f t="shared" si="3"/>
        <v>1</v>
      </c>
      <c r="AB16" s="1263">
        <f t="shared" si="4"/>
        <v>1</v>
      </c>
      <c r="AC16" s="1263">
        <f t="shared" si="5"/>
        <v>1</v>
      </c>
    </row>
    <row r="17" spans="1:29" ht="15">
      <c r="A17" s="348"/>
      <c r="B17" s="401"/>
      <c r="C17" s="386" t="s">
        <v>3532</v>
      </c>
      <c r="D17" s="387"/>
      <c r="E17" s="386" t="s">
        <v>3532</v>
      </c>
      <c r="F17" s="388"/>
      <c r="G17" s="386" t="s">
        <v>3532</v>
      </c>
      <c r="H17" s="387"/>
      <c r="I17" s="386" t="s">
        <v>3532</v>
      </c>
      <c r="J17" s="387"/>
      <c r="K17" s="541"/>
      <c r="L17" s="2487"/>
      <c r="M17" s="2482"/>
      <c r="N17" s="2482"/>
      <c r="O17" s="2482"/>
      <c r="P17" s="3391"/>
      <c r="Q17" s="1262"/>
      <c r="R17" s="667"/>
      <c r="S17" s="668"/>
      <c r="T17" s="667"/>
      <c r="U17" s="668"/>
      <c r="V17" s="667"/>
      <c r="W17" s="668"/>
      <c r="X17" s="1264"/>
      <c r="Y17" s="3391"/>
      <c r="Z17" s="1263"/>
      <c r="AA17" s="1263">
        <v>1</v>
      </c>
      <c r="AB17" s="1263">
        <v>1</v>
      </c>
      <c r="AC17" s="1263">
        <v>1</v>
      </c>
    </row>
    <row r="18" spans="1:29" ht="15">
      <c r="A18" s="348"/>
      <c r="B18" s="557" t="s">
        <v>1813</v>
      </c>
      <c r="C18" s="1753" t="str">
        <f>IF(B1="工业",估价对象房地状况!G6,估价对象房地状况!C8)</f>
        <v>七通</v>
      </c>
      <c r="D18" s="389">
        <v>100</v>
      </c>
      <c r="E18" s="398"/>
      <c r="F18" s="397">
        <f>SUMIF(67:67,E19,68:68)-SUMIF(67:67,C19,68:68)+100</f>
        <v>100</v>
      </c>
      <c r="G18" s="398"/>
      <c r="H18" s="394">
        <f>SUMIF(67:67,G19,68:68)-SUMIF(67:67,C19,68:68)+100</f>
        <v>100</v>
      </c>
      <c r="I18" s="398"/>
      <c r="J18" s="394">
        <f>SUMIF(67:67,I19,68:68)-SUMIF(67:67,C19,68:68)+100</f>
        <v>100</v>
      </c>
      <c r="K18" s="540"/>
      <c r="L18" s="2487"/>
      <c r="M18" s="2482"/>
      <c r="N18" s="2482"/>
      <c r="O18" s="2482"/>
      <c r="P18" s="3391"/>
      <c r="Q18" s="1262" t="str">
        <f>B18</f>
        <v>基础设施水平</v>
      </c>
      <c r="R18" s="667" t="s">
        <v>14</v>
      </c>
      <c r="S18" s="668">
        <f>F18</f>
        <v>100</v>
      </c>
      <c r="T18" s="667" t="s">
        <v>14</v>
      </c>
      <c r="U18" s="668">
        <f>H18</f>
        <v>100</v>
      </c>
      <c r="V18" s="667" t="s">
        <v>14</v>
      </c>
      <c r="W18" s="668">
        <f>J18</f>
        <v>100</v>
      </c>
      <c r="X18" s="1264"/>
      <c r="Y18" s="3391"/>
      <c r="Z18" s="1263" t="str">
        <f>Q18</f>
        <v>基础设施水平</v>
      </c>
      <c r="AA18" s="1263">
        <f t="shared" ref="AA18" si="8">D18/F18</f>
        <v>1</v>
      </c>
      <c r="AB18" s="1263">
        <f t="shared" ref="AB18" si="9">D18/H18</f>
        <v>1</v>
      </c>
      <c r="AC18" s="1263">
        <f t="shared" ref="AC18" si="10">D18/J18</f>
        <v>1</v>
      </c>
    </row>
    <row r="19" spans="1:29" ht="15">
      <c r="A19" s="348"/>
      <c r="B19" s="557"/>
      <c r="C19" s="1754" t="s">
        <v>3534</v>
      </c>
      <c r="D19" s="389"/>
      <c r="E19" s="1754" t="s">
        <v>3534</v>
      </c>
      <c r="F19" s="392"/>
      <c r="G19" s="1754" t="s">
        <v>3534</v>
      </c>
      <c r="H19" s="387"/>
      <c r="I19" s="1754" t="s">
        <v>3534</v>
      </c>
      <c r="J19" s="387"/>
      <c r="K19" s="1063"/>
      <c r="L19" s="2487"/>
      <c r="M19" s="2482"/>
      <c r="N19" s="2482"/>
      <c r="O19" s="2482"/>
      <c r="P19" s="3391"/>
      <c r="Q19" s="1262"/>
      <c r="R19" s="667"/>
      <c r="S19" s="668"/>
      <c r="T19" s="667"/>
      <c r="U19" s="668"/>
      <c r="V19" s="667"/>
      <c r="W19" s="668"/>
      <c r="X19" s="1264"/>
      <c r="Y19" s="3391"/>
      <c r="Z19" s="1263"/>
      <c r="AA19" s="1263">
        <v>1</v>
      </c>
      <c r="AB19" s="1263">
        <v>1</v>
      </c>
      <c r="AC19" s="1263">
        <v>1</v>
      </c>
    </row>
    <row r="20" spans="1:29" ht="15">
      <c r="A20" s="348"/>
      <c r="B20" s="556" t="s">
        <v>1834</v>
      </c>
      <c r="C20" s="1753" t="str">
        <f>IF(B1="工业",估价对象房地状况!G7,估价对象房地状况!C9)</f>
        <v>一般</v>
      </c>
      <c r="D20" s="394">
        <v>100</v>
      </c>
      <c r="E20" s="391"/>
      <c r="F20" s="397">
        <f>SUMIF(69:69,E21,70:70)-SUMIF(69:69,C21,70:70)+100</f>
        <v>100</v>
      </c>
      <c r="G20" s="391"/>
      <c r="H20" s="389">
        <f>SUMIF(69:69,G21,70:70)-SUMIF(69:69,C21,70:70)+100</f>
        <v>100</v>
      </c>
      <c r="I20" s="391"/>
      <c r="J20" s="389">
        <f>SUMIF(69:69,I21,70:70)-SUMIF(69:69,C21,70:70)+100</f>
        <v>100</v>
      </c>
      <c r="K20" s="540"/>
      <c r="L20" s="2487"/>
      <c r="M20" s="2482"/>
      <c r="N20" s="2482"/>
      <c r="O20" s="2482"/>
      <c r="P20" s="3391"/>
      <c r="Q20" s="1262" t="str">
        <f>B20</f>
        <v>自然及人文环境</v>
      </c>
      <c r="R20" s="667" t="s">
        <v>14</v>
      </c>
      <c r="S20" s="668">
        <f>F20</f>
        <v>100</v>
      </c>
      <c r="T20" s="667" t="s">
        <v>14</v>
      </c>
      <c r="U20" s="668">
        <f>H20</f>
        <v>100</v>
      </c>
      <c r="V20" s="667" t="s">
        <v>14</v>
      </c>
      <c r="W20" s="668">
        <f>J20</f>
        <v>100</v>
      </c>
      <c r="X20" s="1264"/>
      <c r="Y20" s="3391"/>
      <c r="Z20" s="1263" t="str">
        <f>Q20</f>
        <v>自然及人文环境</v>
      </c>
      <c r="AA20" s="1263">
        <f t="shared" si="3"/>
        <v>1</v>
      </c>
      <c r="AB20" s="1263">
        <f t="shared" si="4"/>
        <v>1</v>
      </c>
      <c r="AC20" s="1263">
        <f t="shared" si="5"/>
        <v>1</v>
      </c>
    </row>
    <row r="21" spans="1:29" ht="15">
      <c r="A21" s="348"/>
      <c r="B21" s="401"/>
      <c r="C21" s="386" t="s">
        <v>3532</v>
      </c>
      <c r="D21" s="387"/>
      <c r="E21" s="386" t="s">
        <v>3532</v>
      </c>
      <c r="F21" s="388"/>
      <c r="G21" s="386" t="s">
        <v>3532</v>
      </c>
      <c r="H21" s="387"/>
      <c r="I21" s="386" t="s">
        <v>3532</v>
      </c>
      <c r="J21" s="387"/>
      <c r="K21" s="541"/>
      <c r="L21" s="2487"/>
      <c r="M21" s="2482"/>
      <c r="N21" s="2482"/>
      <c r="O21" s="2482"/>
      <c r="P21" s="3391"/>
      <c r="Q21" s="1262"/>
      <c r="R21" s="667"/>
      <c r="S21" s="668"/>
      <c r="T21" s="667"/>
      <c r="U21" s="668"/>
      <c r="V21" s="667"/>
      <c r="W21" s="668"/>
      <c r="X21" s="1264"/>
      <c r="Y21" s="339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391"/>
      <c r="Q22" s="1262" t="str">
        <f>B22</f>
        <v>楼层</v>
      </c>
      <c r="R22" s="667" t="s">
        <v>14</v>
      </c>
      <c r="S22" s="668">
        <f>F22</f>
        <v>100</v>
      </c>
      <c r="T22" s="667" t="s">
        <v>14</v>
      </c>
      <c r="U22" s="668">
        <f>H22</f>
        <v>100</v>
      </c>
      <c r="V22" s="667" t="s">
        <v>14</v>
      </c>
      <c r="W22" s="668">
        <f>J22</f>
        <v>100</v>
      </c>
      <c r="X22" s="1264"/>
      <c r="Y22" s="339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391"/>
      <c r="Q23" s="1262">
        <f>B23</f>
        <v>111</v>
      </c>
      <c r="R23" s="667" t="s">
        <v>14</v>
      </c>
      <c r="S23" s="668">
        <f>F23</f>
        <v>100</v>
      </c>
      <c r="T23" s="667" t="s">
        <v>14</v>
      </c>
      <c r="U23" s="668">
        <f>H23</f>
        <v>100</v>
      </c>
      <c r="V23" s="667" t="s">
        <v>14</v>
      </c>
      <c r="W23" s="668">
        <f>J23</f>
        <v>100</v>
      </c>
      <c r="X23" s="1264"/>
      <c r="Y23" s="339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391"/>
      <c r="Q24" s="1262">
        <f t="shared" ref="Q24:Q36" si="11">B24</f>
        <v>111</v>
      </c>
      <c r="R24" s="667" t="s">
        <v>14</v>
      </c>
      <c r="S24" s="668">
        <f>F24</f>
        <v>100</v>
      </c>
      <c r="T24" s="667" t="s">
        <v>14</v>
      </c>
      <c r="U24" s="668">
        <f>H24</f>
        <v>100</v>
      </c>
      <c r="V24" s="667" t="s">
        <v>14</v>
      </c>
      <c r="W24" s="668">
        <f>J24</f>
        <v>100</v>
      </c>
      <c r="X24" s="1264"/>
      <c r="Y24" s="3391"/>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4"/>
      <c r="N25" s="2434"/>
      <c r="O25" s="2434"/>
      <c r="P25" s="3391"/>
      <c r="Q25" s="530">
        <f t="shared" si="11"/>
        <v>111</v>
      </c>
      <c r="R25" s="664" t="s">
        <v>14</v>
      </c>
      <c r="S25" s="665">
        <f>F25</f>
        <v>100</v>
      </c>
      <c r="T25" s="664" t="s">
        <v>14</v>
      </c>
      <c r="U25" s="665">
        <f>H25</f>
        <v>100</v>
      </c>
      <c r="V25" s="664" t="s">
        <v>14</v>
      </c>
      <c r="W25" s="665">
        <f>J25</f>
        <v>100</v>
      </c>
      <c r="X25" s="666"/>
      <c r="Y25" s="3391"/>
      <c r="Z25" s="50">
        <f>Q25</f>
        <v>111</v>
      </c>
      <c r="AA25" s="1263">
        <f>D25/F25</f>
        <v>1</v>
      </c>
      <c r="AB25" s="1263">
        <f>D25/H25</f>
        <v>1</v>
      </c>
      <c r="AC25" s="1263">
        <f>D25/J25</f>
        <v>1</v>
      </c>
    </row>
    <row r="26" spans="1:29" ht="30">
      <c r="A26" s="574" t="s">
        <v>1694</v>
      </c>
      <c r="B26" s="59" t="s">
        <v>1836</v>
      </c>
      <c r="C26" s="1819" t="str">
        <f>B1</f>
        <v>车库</v>
      </c>
      <c r="D26" s="387">
        <v>100</v>
      </c>
      <c r="E26" s="386" t="s">
        <v>3322</v>
      </c>
      <c r="F26" s="388">
        <f>SUMIF(79:79,E26,80:80)-SUMIF(79:79,C26,80:80)+100</f>
        <v>100</v>
      </c>
      <c r="G26" s="386" t="s">
        <v>3322</v>
      </c>
      <c r="H26" s="387">
        <f>SUMIF(79:79,G26,80:80)-SUMIF(79:79,C26,80:80)+100</f>
        <v>100</v>
      </c>
      <c r="I26" s="386" t="s">
        <v>3322</v>
      </c>
      <c r="J26" s="387">
        <f>SUMIF(79:79,I26,80:80)-SUMIF(79:79,C26,80:80)+100</f>
        <v>100</v>
      </c>
      <c r="K26" s="538"/>
      <c r="L26" s="2487"/>
      <c r="M26" s="2482"/>
      <c r="N26" s="2482"/>
      <c r="O26" s="2482"/>
      <c r="P26" s="3392" t="s">
        <v>1696</v>
      </c>
      <c r="Q26" s="1262" t="str">
        <f t="shared" si="11"/>
        <v>配套类型</v>
      </c>
      <c r="R26" s="667" t="s">
        <v>14</v>
      </c>
      <c r="S26" s="668">
        <f t="shared" ref="S26:S36" si="12">F26</f>
        <v>100</v>
      </c>
      <c r="T26" s="667" t="s">
        <v>14</v>
      </c>
      <c r="U26" s="668">
        <f t="shared" ref="U26:U36" si="13">H26</f>
        <v>100</v>
      </c>
      <c r="V26" s="667" t="s">
        <v>14</v>
      </c>
      <c r="W26" s="668">
        <f t="shared" ref="W26:W36" si="14">J26</f>
        <v>100</v>
      </c>
      <c r="X26" s="1264"/>
      <c r="Y26" s="3393" t="s">
        <v>1696</v>
      </c>
      <c r="Z26" s="1263" t="str">
        <f t="shared" ref="Z26:Z36" si="15">Q26</f>
        <v>配套类型</v>
      </c>
      <c r="AA26" s="1263">
        <f t="shared" si="3"/>
        <v>1</v>
      </c>
      <c r="AB26" s="1263">
        <f t="shared" si="4"/>
        <v>1</v>
      </c>
      <c r="AC26" s="1263">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3">
        <f t="shared" si="3"/>
        <v>1</v>
      </c>
      <c r="AB27" s="1263">
        <f t="shared" si="4"/>
        <v>1</v>
      </c>
      <c r="AC27" s="1263">
        <f t="shared" si="5"/>
        <v>1</v>
      </c>
    </row>
    <row r="28" spans="1:29" ht="15">
      <c r="A28" s="577"/>
      <c r="B28" s="119" t="s">
        <v>1838</v>
      </c>
      <c r="C28" s="399" t="s">
        <v>3620</v>
      </c>
      <c r="D28" s="374">
        <v>100</v>
      </c>
      <c r="E28" s="399" t="s">
        <v>3620</v>
      </c>
      <c r="F28" s="400">
        <f>SUMIF(83:83,E28,84:84)-SUMIF(83:83,C28,84:84)+100</f>
        <v>100</v>
      </c>
      <c r="G28" s="399" t="s">
        <v>3620</v>
      </c>
      <c r="H28" s="374">
        <f>SUMIF(83:83,G28,84:84)-SUMIF(83:83,C28,84:84)+100</f>
        <v>100</v>
      </c>
      <c r="I28" s="399" t="s">
        <v>3620</v>
      </c>
      <c r="J28" s="374">
        <f>SUMIF(83:83,I28,84:84)-SUMIF(83:83,C28,84:84)+100</f>
        <v>100</v>
      </c>
      <c r="K28" s="538"/>
      <c r="L28" s="2487"/>
      <c r="M28" s="2482"/>
      <c r="N28" s="2482"/>
      <c r="O28" s="2482"/>
      <c r="P28" s="3393"/>
      <c r="Q28" s="1262" t="str">
        <f t="shared" si="11"/>
        <v>公共部分装修</v>
      </c>
      <c r="R28" s="667" t="s">
        <v>14</v>
      </c>
      <c r="S28" s="668">
        <f t="shared" si="12"/>
        <v>100</v>
      </c>
      <c r="T28" s="667" t="s">
        <v>14</v>
      </c>
      <c r="U28" s="668">
        <f t="shared" si="13"/>
        <v>100</v>
      </c>
      <c r="V28" s="667" t="s">
        <v>14</v>
      </c>
      <c r="W28" s="668">
        <f t="shared" si="14"/>
        <v>100</v>
      </c>
      <c r="X28" s="1264"/>
      <c r="Y28" s="3393"/>
      <c r="Z28" s="1263" t="str">
        <f t="shared" si="15"/>
        <v>公共部分装修</v>
      </c>
      <c r="AA28" s="1263">
        <f t="shared" si="3"/>
        <v>1</v>
      </c>
      <c r="AB28" s="1263">
        <f t="shared" si="4"/>
        <v>1</v>
      </c>
      <c r="AC28" s="1263">
        <f t="shared" si="5"/>
        <v>1</v>
      </c>
    </row>
    <row r="29" spans="1:29" ht="15">
      <c r="A29" s="577"/>
      <c r="B29" s="119" t="s">
        <v>1839</v>
      </c>
      <c r="C29" s="407">
        <v>100</v>
      </c>
      <c r="D29" s="374">
        <v>100</v>
      </c>
      <c r="E29" s="407">
        <v>100</v>
      </c>
      <c r="F29" s="400">
        <f>LOOKUP(E29,86:86,87:87)-LOOKUP(C29,86:86,87:87)+100</f>
        <v>100</v>
      </c>
      <c r="G29" s="407">
        <v>100</v>
      </c>
      <c r="H29" s="400">
        <f>LOOKUP(G29,86:86,87:87)-LOOKUP(C29,86:86,87:87)+100</f>
        <v>100</v>
      </c>
      <c r="I29" s="407">
        <v>100</v>
      </c>
      <c r="J29" s="374">
        <f>LOOKUP(I29,86:86,87:87)-LOOKUP(C29,86:86,87:87)+100</f>
        <v>100</v>
      </c>
      <c r="K29" s="538"/>
      <c r="L29" s="2487"/>
      <c r="M29" s="2482"/>
      <c r="N29" s="2482"/>
      <c r="O29" s="2482"/>
      <c r="P29" s="3393"/>
      <c r="Q29" s="1262" t="str">
        <f t="shared" si="11"/>
        <v>成新率</v>
      </c>
      <c r="R29" s="667" t="s">
        <v>14</v>
      </c>
      <c r="S29" s="668">
        <f t="shared" si="12"/>
        <v>100</v>
      </c>
      <c r="T29" s="667" t="s">
        <v>14</v>
      </c>
      <c r="U29" s="668">
        <f t="shared" si="13"/>
        <v>100</v>
      </c>
      <c r="V29" s="667" t="s">
        <v>14</v>
      </c>
      <c r="W29" s="668">
        <f t="shared" si="14"/>
        <v>100</v>
      </c>
      <c r="X29" s="1264"/>
      <c r="Y29" s="3393"/>
      <c r="Z29" s="1263" t="str">
        <f t="shared" si="15"/>
        <v>成新率</v>
      </c>
      <c r="AA29" s="1263">
        <f t="shared" si="3"/>
        <v>1</v>
      </c>
      <c r="AB29" s="1263">
        <f t="shared" si="4"/>
        <v>1</v>
      </c>
      <c r="AC29" s="1263">
        <f t="shared" si="5"/>
        <v>1</v>
      </c>
    </row>
    <row r="30" spans="1:29" ht="15">
      <c r="A30" s="577"/>
      <c r="B30" s="119" t="s">
        <v>1840</v>
      </c>
      <c r="C30" s="578" t="s">
        <v>3621</v>
      </c>
      <c r="D30" s="374">
        <v>100</v>
      </c>
      <c r="E30" s="578" t="s">
        <v>3621</v>
      </c>
      <c r="F30" s="400">
        <f>SUMIF(88:88,E30,89:89)-SUMIF(88:88,C30,89:89)+100</f>
        <v>100</v>
      </c>
      <c r="G30" s="578" t="s">
        <v>3621</v>
      </c>
      <c r="H30" s="374">
        <f>SUMIF(88:88,E30,89:89)-SUMIF(88:88,C30,89:89)+100</f>
        <v>100</v>
      </c>
      <c r="I30" s="578" t="s">
        <v>3621</v>
      </c>
      <c r="J30" s="374">
        <f>SUMIF(88:88,E30,89:89)-SUMIF(88:88,C30,89:89)+100</f>
        <v>100</v>
      </c>
      <c r="K30" s="538"/>
      <c r="L30" s="2487"/>
      <c r="M30" s="2482"/>
      <c r="N30" s="2482"/>
      <c r="O30" s="2482"/>
      <c r="P30" s="3393"/>
      <c r="Q30" s="1262" t="str">
        <f t="shared" si="11"/>
        <v>物业等级</v>
      </c>
      <c r="R30" s="667" t="s">
        <v>14</v>
      </c>
      <c r="S30" s="668">
        <f t="shared" si="12"/>
        <v>100</v>
      </c>
      <c r="T30" s="667" t="s">
        <v>14</v>
      </c>
      <c r="U30" s="668">
        <f t="shared" si="13"/>
        <v>100</v>
      </c>
      <c r="V30" s="667" t="s">
        <v>14</v>
      </c>
      <c r="W30" s="668">
        <f t="shared" si="14"/>
        <v>100</v>
      </c>
      <c r="X30" s="1264"/>
      <c r="Y30" s="3393"/>
      <c r="Z30" s="1263" t="str">
        <f t="shared" si="15"/>
        <v>物业等级</v>
      </c>
      <c r="AA30" s="1263">
        <f t="shared" si="3"/>
        <v>1</v>
      </c>
      <c r="AB30" s="1263">
        <f t="shared" si="4"/>
        <v>1</v>
      </c>
      <c r="AC30" s="1263">
        <f t="shared" si="5"/>
        <v>1</v>
      </c>
    </row>
    <row r="31" spans="1:29" s="102" customFormat="1" ht="15">
      <c r="A31" s="579"/>
      <c r="B31" s="119" t="s">
        <v>1841</v>
      </c>
      <c r="C31" s="407">
        <v>12.72</v>
      </c>
      <c r="D31" s="119">
        <v>100</v>
      </c>
      <c r="E31" s="407">
        <v>12.24</v>
      </c>
      <c r="F31" s="400">
        <f>LOOKUP(E31,91:91,92:92)-LOOKUP(C31,91:91,92:92)+100</f>
        <v>100</v>
      </c>
      <c r="G31" s="407">
        <v>12.72</v>
      </c>
      <c r="H31" s="374">
        <f>LOOKUP(G31,91:91,92:92)-LOOKUP(C31,91:91,92:92)+100</f>
        <v>100</v>
      </c>
      <c r="I31" s="407">
        <v>12.83</v>
      </c>
      <c r="J31" s="374">
        <f>LOOKUP(I31,91:91,92:92)-LOOKUP(C31,91:91,92:92)+100</f>
        <v>100</v>
      </c>
      <c r="K31" s="538"/>
      <c r="L31" s="2483"/>
      <c r="M31" s="2434"/>
      <c r="N31" s="2434"/>
      <c r="O31" s="2434"/>
      <c r="P31" s="3393"/>
      <c r="Q31" s="530" t="str">
        <f t="shared" si="11"/>
        <v>停车位面积</v>
      </c>
      <c r="R31" s="664" t="s">
        <v>14</v>
      </c>
      <c r="S31" s="665">
        <f t="shared" si="12"/>
        <v>100</v>
      </c>
      <c r="T31" s="664" t="s">
        <v>14</v>
      </c>
      <c r="U31" s="665">
        <f t="shared" si="13"/>
        <v>100</v>
      </c>
      <c r="V31" s="664" t="s">
        <v>14</v>
      </c>
      <c r="W31" s="665">
        <f t="shared" si="14"/>
        <v>100</v>
      </c>
      <c r="X31" s="666"/>
      <c r="Y31" s="3393"/>
      <c r="Z31" s="50" t="str">
        <f t="shared" si="15"/>
        <v>停车位面积</v>
      </c>
      <c r="AA31" s="50">
        <f t="shared" si="3"/>
        <v>1</v>
      </c>
      <c r="AB31" s="50">
        <f t="shared" si="4"/>
        <v>1</v>
      </c>
      <c r="AC31" s="50">
        <f t="shared" si="5"/>
        <v>1</v>
      </c>
    </row>
    <row r="32" spans="1:29" ht="15">
      <c r="A32" s="577"/>
      <c r="B32" s="119" t="s">
        <v>1842</v>
      </c>
      <c r="C32" s="399" t="s">
        <v>3627</v>
      </c>
      <c r="D32" s="374">
        <v>100</v>
      </c>
      <c r="E32" s="399" t="s">
        <v>3627</v>
      </c>
      <c r="F32" s="400">
        <f>SUMIF(93:93,E32,94:94)-SUMIF(93:93,C32,94:94)+100</f>
        <v>100</v>
      </c>
      <c r="G32" s="399" t="s">
        <v>3627</v>
      </c>
      <c r="H32" s="374">
        <f>SUMIF(93:93,G32,94:94)-SUMIF(93:93,C32,94:94)+100</f>
        <v>100</v>
      </c>
      <c r="I32" s="399" t="s">
        <v>3627</v>
      </c>
      <c r="J32" s="374">
        <f>SUMIF(93:93,I32,94:94)-SUMIF(93:93,C32,94:94)+100</f>
        <v>100</v>
      </c>
      <c r="K32" s="538"/>
      <c r="L32" s="2487"/>
      <c r="M32" s="2482"/>
      <c r="N32" s="2482"/>
      <c r="O32" s="2482"/>
      <c r="P32" s="3393" t="s">
        <v>1696</v>
      </c>
      <c r="Q32" s="1262" t="str">
        <f t="shared" si="11"/>
        <v>车位类型</v>
      </c>
      <c r="R32" s="667" t="s">
        <v>14</v>
      </c>
      <c r="S32" s="668">
        <f t="shared" si="12"/>
        <v>100</v>
      </c>
      <c r="T32" s="667" t="s">
        <v>14</v>
      </c>
      <c r="U32" s="668">
        <f t="shared" si="13"/>
        <v>100</v>
      </c>
      <c r="V32" s="667" t="s">
        <v>14</v>
      </c>
      <c r="W32" s="668">
        <f t="shared" si="14"/>
        <v>100</v>
      </c>
      <c r="X32" s="1264"/>
      <c r="Y32" s="3393" t="s">
        <v>1696</v>
      </c>
      <c r="Z32" s="1263" t="str">
        <f t="shared" si="15"/>
        <v>车位类型</v>
      </c>
      <c r="AA32" s="1263">
        <f t="shared" si="3"/>
        <v>1</v>
      </c>
      <c r="AB32" s="1263">
        <f t="shared" si="4"/>
        <v>1</v>
      </c>
      <c r="AC32" s="1263">
        <f t="shared" si="5"/>
        <v>1</v>
      </c>
    </row>
    <row r="33" spans="1:29" ht="15">
      <c r="A33" s="577"/>
      <c r="B33" s="119" t="s">
        <v>1843</v>
      </c>
      <c r="C33" s="399" t="s">
        <v>3628</v>
      </c>
      <c r="D33" s="374">
        <v>100</v>
      </c>
      <c r="E33" s="399" t="s">
        <v>3628</v>
      </c>
      <c r="F33" s="400">
        <f>SUMIF(95:95,E33,96:96)-SUMIF(95:95,C33,96:96)+100</f>
        <v>100</v>
      </c>
      <c r="G33" s="399" t="s">
        <v>3628</v>
      </c>
      <c r="H33" s="374">
        <f>SUMIF(95:95,G33,96:96)-SUMIF(95:95,C33,96:96)+100</f>
        <v>100</v>
      </c>
      <c r="I33" s="399" t="s">
        <v>3628</v>
      </c>
      <c r="J33" s="374">
        <f>SUMIF(95:95,I33,96:96)-SUMIF(95:95,C33,96:96)+100</f>
        <v>100</v>
      </c>
      <c r="K33" s="538"/>
      <c r="L33" s="2487"/>
      <c r="M33" s="2482"/>
      <c r="N33" s="2482"/>
      <c r="O33" s="2482"/>
      <c r="P33" s="3393"/>
      <c r="Q33" s="1262" t="str">
        <f t="shared" si="11"/>
        <v>是否直接入户</v>
      </c>
      <c r="R33" s="667" t="s">
        <v>14</v>
      </c>
      <c r="S33" s="668">
        <f t="shared" si="12"/>
        <v>100</v>
      </c>
      <c r="T33" s="667" t="s">
        <v>14</v>
      </c>
      <c r="U33" s="668">
        <f t="shared" si="13"/>
        <v>100</v>
      </c>
      <c r="V33" s="667" t="s">
        <v>14</v>
      </c>
      <c r="W33" s="668">
        <f t="shared" si="14"/>
        <v>100</v>
      </c>
      <c r="X33" s="1264"/>
      <c r="Y33" s="339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393"/>
      <c r="Q36" s="1262">
        <f t="shared" si="11"/>
        <v>111</v>
      </c>
      <c r="R36" s="667" t="s">
        <v>14</v>
      </c>
      <c r="S36" s="668">
        <f t="shared" si="12"/>
        <v>100</v>
      </c>
      <c r="T36" s="667" t="s">
        <v>14</v>
      </c>
      <c r="U36" s="668">
        <f t="shared" si="13"/>
        <v>100</v>
      </c>
      <c r="V36" s="667" t="s">
        <v>14</v>
      </c>
      <c r="W36" s="668">
        <f t="shared" si="14"/>
        <v>100</v>
      </c>
      <c r="X36" s="1264"/>
      <c r="Y36" s="3393"/>
      <c r="Z36" s="1263">
        <f t="shared" si="15"/>
        <v>111</v>
      </c>
      <c r="AA36" s="1263">
        <f t="shared" si="3"/>
        <v>1</v>
      </c>
      <c r="AB36" s="1263">
        <f t="shared" si="4"/>
        <v>1</v>
      </c>
      <c r="AC36" s="1263">
        <f t="shared" si="5"/>
        <v>1</v>
      </c>
    </row>
    <row r="37" spans="1:29" ht="14.4">
      <c r="A37" s="416" t="s">
        <v>1844</v>
      </c>
      <c r="B37" s="1820" t="s">
        <v>3633</v>
      </c>
      <c r="C37" s="1080" t="s">
        <v>0</v>
      </c>
      <c r="D37" s="418"/>
      <c r="E37" s="421">
        <f>ROUND(E40/E41*10000,0)</f>
        <v>107645</v>
      </c>
      <c r="F37" s="420"/>
      <c r="G37" s="421">
        <f>ROUND(G40/G41*10000,0)</f>
        <v>109318</v>
      </c>
      <c r="H37" s="422"/>
      <c r="I37" s="421">
        <f>ROUND(I40/I41*10000,0)</f>
        <v>119368</v>
      </c>
      <c r="J37" s="422"/>
      <c r="K37" s="545"/>
      <c r="L37" s="2489"/>
      <c r="M37" s="2482"/>
      <c r="N37" s="2482"/>
      <c r="O37" s="2482"/>
      <c r="P37" s="3389" t="str">
        <f>A37</f>
        <v>成交单价</v>
      </c>
      <c r="Q37" s="3389"/>
      <c r="R37" s="3394">
        <f>E37</f>
        <v>107645</v>
      </c>
      <c r="S37" s="3394"/>
      <c r="T37" s="3394">
        <f>G37</f>
        <v>109318</v>
      </c>
      <c r="U37" s="3394"/>
      <c r="V37" s="3394">
        <f>I37</f>
        <v>119368</v>
      </c>
      <c r="W37" s="3394"/>
      <c r="X37" s="385"/>
      <c r="Y37" s="673"/>
      <c r="Z37" s="385"/>
      <c r="AA37" s="385"/>
      <c r="AB37" s="385"/>
      <c r="AC37" s="385"/>
    </row>
    <row r="38" spans="1:29" ht="15" thickBot="1">
      <c r="A38" s="423" t="s">
        <v>1845</v>
      </c>
      <c r="B38" s="424" t="str">
        <f>B37</f>
        <v>元/车位</v>
      </c>
      <c r="C38" s="1081">
        <f>R39</f>
        <v>112110</v>
      </c>
      <c r="D38" s="2140" t="s">
        <v>2138</v>
      </c>
      <c r="E38" s="1082">
        <f>R38</f>
        <v>107645</v>
      </c>
      <c r="F38" s="2141"/>
      <c r="G38" s="1081">
        <f>T38</f>
        <v>109318</v>
      </c>
      <c r="H38" s="2141"/>
      <c r="I38" s="1082">
        <f>V38</f>
        <v>119368</v>
      </c>
      <c r="J38" s="2141"/>
      <c r="K38" s="2143">
        <f>F38+H38+J38</f>
        <v>0</v>
      </c>
      <c r="L38" s="2489"/>
      <c r="M38" s="2482"/>
      <c r="N38" s="2482"/>
      <c r="O38" s="2482"/>
      <c r="P38" s="3389" t="str">
        <f>A38</f>
        <v>比较价值（元/平方米）</v>
      </c>
      <c r="Q38" s="3389"/>
      <c r="R38" s="3394">
        <f>IF(F1="售价",ROUND(PRODUCT(R37,AA7:AA36),0),ROUND(PRODUCT(R37,AA7:AA36),1))</f>
        <v>107645</v>
      </c>
      <c r="S38" s="3394"/>
      <c r="T38" s="3394">
        <f>IF(F1="售价",ROUND(PRODUCT(T37,AB7:AB36),0),ROUND(PRODUCT(T37,AB7:AB36),1))</f>
        <v>109318</v>
      </c>
      <c r="U38" s="3394"/>
      <c r="V38" s="3394">
        <f>IF(F1="售价",ROUND(PRODUCT(V37,AC7:AC36),0),ROUND(PRODUCT(V37,AC7:AC36),1))</f>
        <v>119368</v>
      </c>
      <c r="W38" s="3394"/>
      <c r="X38" s="385"/>
      <c r="Y38" s="385"/>
      <c r="Z38" s="385"/>
      <c r="AA38" s="385"/>
      <c r="AB38" s="385"/>
      <c r="AC38" s="385"/>
    </row>
    <row r="39" spans="1:29" ht="15" thickBot="1">
      <c r="A39" s="427" t="s">
        <v>1846</v>
      </c>
      <c r="B39" s="428"/>
      <c r="C39" s="351">
        <f>R39</f>
        <v>112110</v>
      </c>
      <c r="D39" s="351"/>
      <c r="E39" s="351"/>
      <c r="F39" s="351"/>
      <c r="G39" s="351"/>
      <c r="H39" s="351"/>
      <c r="I39" s="351"/>
      <c r="J39" s="351"/>
      <c r="K39" s="546"/>
      <c r="L39" s="2489"/>
      <c r="M39" s="2482"/>
      <c r="N39" s="2482"/>
      <c r="O39" s="2482"/>
      <c r="P39" s="3383" t="str">
        <f>A39</f>
        <v>估价对象XX用房的比较价值（楼面单价，元/平方米）</v>
      </c>
      <c r="Q39" s="3384"/>
      <c r="R39" s="3475">
        <f>IF(F1="售价",ROUND(IF(D38="简单平均",AVERAGE(R38:W38),R38*F38+T38*H38+V38*J38),0),ROUND(IF(D38="简单平均",AVERAGE(R38:V38),R38*F38+T38*H38+V38*J38),1))</f>
        <v>112110</v>
      </c>
      <c r="S39" s="3475"/>
      <c r="T39" s="3475"/>
      <c r="U39" s="3475"/>
      <c r="V39" s="3475"/>
      <c r="W39" s="3475"/>
      <c r="X39" s="385"/>
      <c r="Y39" s="385"/>
      <c r="Z39" s="385"/>
      <c r="AA39" s="385"/>
      <c r="AB39" s="385"/>
      <c r="AC39" s="385"/>
    </row>
    <row r="40" spans="1:29">
      <c r="A40" s="2482"/>
      <c r="B40" s="2482"/>
      <c r="C40" s="2482"/>
      <c r="D40" s="2482"/>
      <c r="E40" s="2482">
        <v>2680.36</v>
      </c>
      <c r="F40" s="2482"/>
      <c r="G40" s="2482">
        <v>1038.52</v>
      </c>
      <c r="H40" s="2482"/>
      <c r="I40" s="2482">
        <v>1145.93</v>
      </c>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v>249</v>
      </c>
      <c r="F41" s="2482"/>
      <c r="G41" s="2482">
        <v>95</v>
      </c>
      <c r="H41" s="2482"/>
      <c r="I41" s="2482">
        <v>96</v>
      </c>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f>IF(E38&lt;G38,G38/E38-1,E38/G38-1)</f>
        <v>1.5541827302707922E-2</v>
      </c>
      <c r="F43" s="435" t="str">
        <f>IF(OR(E43&gt;=0.2,E43&lt;=-0.2),"超过20%","")</f>
        <v/>
      </c>
      <c r="G43" s="434">
        <f>IF(G38&lt;I38,I38/G38-1,G38/I38-1)</f>
        <v>9.1933624837629679E-2</v>
      </c>
      <c r="H43" s="435" t="str">
        <f>IF(OR(G43&gt;=0.2,G43&lt;=-0.2),"超过20%","")</f>
        <v/>
      </c>
      <c r="I43" s="434">
        <f>IF(I38&lt;E38,E38/I38-1,I38/E38-1)</f>
        <v>0.1089042686608761</v>
      </c>
      <c r="J43" s="435" t="str">
        <f>IF(OR(I43&gt;=0.2,I43&lt;=-0.2),"超过20%","")</f>
        <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f>IF(E37&lt;G37,G37/E37-1,E37/G37-1)</f>
        <v>1.5541827302707922E-2</v>
      </c>
      <c r="F44" s="435" t="str">
        <f>IF(OR(E44&gt;=0.3,E44&lt;=-0.3),"超过30%","")</f>
        <v/>
      </c>
      <c r="G44" s="434">
        <f>IF(G37&lt;I37,I37/G37-1,G37/I37-1)</f>
        <v>9.1933624837629679E-2</v>
      </c>
      <c r="H44" s="435" t="str">
        <f>IF(OR(G44&gt;=0.3,G44&lt;=-0.3),"超过30%","")</f>
        <v/>
      </c>
      <c r="I44" s="434">
        <f>IF(I37&lt;E37,E37/I37-1,I37/E37-1)</f>
        <v>0.1089042686608761</v>
      </c>
      <c r="J44" s="435" t="str">
        <f>IF(OR(I44&gt;=0.3,I44&lt;=-0.3),"超过30%","")</f>
        <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6" t="s">
        <v>1850</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2" customFormat="1" ht="14.4">
      <c r="A48" s="440" t="s">
        <v>1851</v>
      </c>
      <c r="B48" s="441"/>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2"/>
      <c r="Q48" s="2505"/>
      <c r="R48" s="2505"/>
      <c r="S48" s="2505"/>
      <c r="T48" s="2505"/>
      <c r="U48" s="2505"/>
      <c r="V48" s="2505"/>
      <c r="W48" s="2505"/>
      <c r="X48" s="2505"/>
      <c r="Y48" s="2505"/>
      <c r="Z48" s="2505"/>
      <c r="AA48" s="2505"/>
      <c r="AB48" s="2505"/>
      <c r="AC48" s="2505"/>
    </row>
    <row r="49" spans="1:29" s="102" customFormat="1">
      <c r="A49" s="443"/>
      <c r="B49" s="444"/>
      <c r="C49" s="1096">
        <v>100</v>
      </c>
      <c r="D49" s="446"/>
      <c r="E49" s="446"/>
      <c r="F49" s="446"/>
      <c r="G49" s="446"/>
      <c r="H49" s="446"/>
      <c r="I49" s="446"/>
      <c r="J49" s="446"/>
      <c r="K49" s="446"/>
      <c r="L49" s="446"/>
      <c r="M49" s="447"/>
      <c r="N49" s="446"/>
      <c r="O49" s="447"/>
      <c r="P49" s="2523"/>
      <c r="Q49" s="2434"/>
      <c r="R49" s="2434"/>
      <c r="S49" s="2434"/>
      <c r="T49" s="2434"/>
      <c r="U49" s="2434"/>
      <c r="V49" s="2434"/>
      <c r="W49" s="2434"/>
      <c r="X49" s="2434"/>
      <c r="Y49" s="2434"/>
      <c r="Z49" s="2434"/>
      <c r="AA49" s="2434"/>
      <c r="AB49" s="2434"/>
      <c r="AC49" s="2434"/>
    </row>
    <row r="50" spans="1:29" s="102" customFormat="1" ht="15" thickBot="1">
      <c r="A50" s="449" t="s">
        <v>1716</v>
      </c>
      <c r="B50" s="450"/>
      <c r="C50" s="451"/>
      <c r="D50" s="452"/>
      <c r="E50" s="452"/>
      <c r="F50" s="452"/>
      <c r="G50" s="452"/>
      <c r="H50" s="452"/>
      <c r="I50" s="452"/>
      <c r="J50" s="452"/>
      <c r="K50" s="452"/>
      <c r="L50" s="452"/>
      <c r="M50" s="453"/>
      <c r="N50" s="452"/>
      <c r="O50" s="453"/>
      <c r="P50" s="2523"/>
      <c r="Q50" s="2503"/>
      <c r="R50" s="2434"/>
      <c r="S50" s="2434"/>
      <c r="T50" s="2434"/>
      <c r="U50" s="2434"/>
      <c r="V50" s="2434"/>
      <c r="W50" s="2434"/>
      <c r="X50" s="2434"/>
      <c r="Y50" s="2434"/>
      <c r="Z50" s="2434"/>
      <c r="AA50" s="2434"/>
      <c r="AB50" s="2434"/>
      <c r="AC50" s="2434"/>
    </row>
    <row r="51" spans="1:29" s="102" customFormat="1" ht="14.4">
      <c r="A51" s="455" t="s">
        <v>1681</v>
      </c>
      <c r="B51" s="444"/>
      <c r="C51" s="456" t="s">
        <v>1776</v>
      </c>
      <c r="D51" s="31"/>
      <c r="E51" s="31"/>
      <c r="F51" s="31"/>
      <c r="G51" s="31"/>
      <c r="H51" s="31"/>
      <c r="I51" s="31"/>
      <c r="J51" s="31"/>
      <c r="K51" s="31"/>
      <c r="L51" s="457"/>
      <c r="M51" s="458"/>
      <c r="N51" s="2515"/>
      <c r="O51" s="2515"/>
      <c r="P51" s="2524"/>
      <c r="Q51" s="2503"/>
      <c r="R51" s="2434"/>
      <c r="S51" s="2434"/>
      <c r="T51" s="2434"/>
      <c r="U51" s="2434"/>
      <c r="V51" s="2434"/>
      <c r="W51" s="2434"/>
      <c r="X51" s="2434"/>
      <c r="Y51" s="2434"/>
      <c r="Z51" s="2434"/>
      <c r="AA51" s="2434"/>
      <c r="AB51" s="2434"/>
      <c r="AC51" s="2434"/>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4"/>
      <c r="S52" s="2434"/>
      <c r="T52" s="2434"/>
      <c r="U52" s="2434"/>
      <c r="V52" s="2434"/>
      <c r="W52" s="2434"/>
      <c r="X52" s="2434"/>
      <c r="Y52" s="2434"/>
      <c r="Z52" s="2434"/>
      <c r="AA52" s="2434"/>
      <c r="AB52" s="2434"/>
      <c r="AC52" s="2434"/>
    </row>
    <row r="53" spans="1:29" ht="14.4">
      <c r="A53" s="379" t="s">
        <v>1719</v>
      </c>
      <c r="B53" s="460" t="s">
        <v>1685</v>
      </c>
      <c r="C53" s="461" t="str">
        <f>C9</f>
        <v>车库</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1813</v>
      </c>
      <c r="C67" s="581" t="s">
        <v>1799</v>
      </c>
      <c r="D67" s="581" t="s">
        <v>1800</v>
      </c>
      <c r="E67" s="581" t="s">
        <v>1801</v>
      </c>
      <c r="F67" s="581" t="s">
        <v>1802</v>
      </c>
      <c r="G67" s="581" t="s">
        <v>1803</v>
      </c>
      <c r="H67" s="470"/>
      <c r="I67" s="470"/>
      <c r="J67" s="470"/>
      <c r="K67" s="470"/>
      <c r="L67" s="470"/>
      <c r="M67" s="1062"/>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4"/>
      <c r="S73" s="2434"/>
      <c r="T73" s="2434"/>
      <c r="U73" s="2434"/>
      <c r="V73" s="2434"/>
      <c r="W73" s="2434"/>
      <c r="X73" s="2434"/>
      <c r="Y73" s="2434"/>
      <c r="Z73" s="2434"/>
      <c r="AA73" s="2434"/>
      <c r="AB73" s="2434"/>
      <c r="AC73" s="2434"/>
    </row>
    <row r="74" spans="1:29" s="102" customFormat="1" ht="14.4" thickBot="1">
      <c r="A74" s="370"/>
      <c r="B74" s="474"/>
      <c r="C74" s="491"/>
      <c r="D74" s="467"/>
      <c r="E74" s="467"/>
      <c r="F74" s="467"/>
      <c r="G74" s="467"/>
      <c r="H74" s="467"/>
      <c r="I74" s="467"/>
      <c r="J74" s="467"/>
      <c r="K74" s="467"/>
      <c r="L74" s="467"/>
      <c r="M74" s="468"/>
      <c r="N74" s="2517"/>
      <c r="O74" s="2517"/>
      <c r="P74" s="2525"/>
      <c r="Q74" s="2503"/>
      <c r="R74" s="2434"/>
      <c r="S74" s="2434"/>
      <c r="T74" s="2434"/>
      <c r="U74" s="2434"/>
      <c r="V74" s="2434"/>
      <c r="W74" s="2434"/>
      <c r="X74" s="2434"/>
      <c r="Y74" s="2434"/>
      <c r="Z74" s="2434"/>
      <c r="AA74" s="2434"/>
      <c r="AB74" s="2434"/>
      <c r="AC74" s="2434"/>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4"/>
      <c r="S75" s="2434"/>
      <c r="T75" s="2434"/>
      <c r="U75" s="2434"/>
      <c r="V75" s="2434"/>
      <c r="W75" s="2434"/>
      <c r="X75" s="2434"/>
      <c r="Y75" s="2434"/>
      <c r="Z75" s="2434"/>
      <c r="AA75" s="2434"/>
      <c r="AB75" s="2434"/>
      <c r="AC75" s="2434"/>
    </row>
    <row r="76" spans="1:29" s="102" customFormat="1" ht="14.4" thickBot="1">
      <c r="A76" s="370"/>
      <c r="B76" s="474"/>
      <c r="C76" s="491"/>
      <c r="D76" s="467"/>
      <c r="E76" s="467"/>
      <c r="F76" s="467"/>
      <c r="G76" s="467"/>
      <c r="H76" s="467"/>
      <c r="I76" s="467"/>
      <c r="J76" s="467"/>
      <c r="K76" s="467"/>
      <c r="L76" s="467"/>
      <c r="M76" s="468"/>
      <c r="N76" s="2517"/>
      <c r="O76" s="2517"/>
      <c r="P76" s="2525"/>
      <c r="Q76" s="2503"/>
      <c r="R76" s="2434"/>
      <c r="S76" s="2434"/>
      <c r="T76" s="2434"/>
      <c r="U76" s="2434"/>
      <c r="V76" s="2434"/>
      <c r="W76" s="2434"/>
      <c r="X76" s="2434"/>
      <c r="Y76" s="2434"/>
      <c r="Z76" s="2434"/>
      <c r="AA76" s="2434"/>
      <c r="AB76" s="2434"/>
      <c r="AC76" s="2434"/>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1740</v>
      </c>
      <c r="C83" s="3181" t="s">
        <v>3613</v>
      </c>
      <c r="D83" s="3181" t="s">
        <v>3614</v>
      </c>
      <c r="E83" s="3182" t="s">
        <v>3615</v>
      </c>
      <c r="F83" s="3182" t="s">
        <v>3616</v>
      </c>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v>0</v>
      </c>
      <c r="D91" s="6">
        <v>20</v>
      </c>
      <c r="E91" s="6">
        <v>30</v>
      </c>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v>100</v>
      </c>
      <c r="D92" s="467">
        <f>C92-1</f>
        <v>99</v>
      </c>
      <c r="E92" s="467">
        <f t="shared" ref="E92" si="22">D92-1</f>
        <v>98</v>
      </c>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1858</v>
      </c>
      <c r="C93" s="3181" t="s">
        <v>3630</v>
      </c>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1859</v>
      </c>
      <c r="C95" s="3180" t="s">
        <v>3631</v>
      </c>
      <c r="D95" s="3180" t="s">
        <v>3632</v>
      </c>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8" priority="13" stopIfTrue="1">
      <formula>$F$42="超过30%"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F7:F36 H7:H36 J7:J36">
    <cfRule type="cellIs" dxfId="55" priority="1" operator="notEqual">
      <formula>100</formula>
    </cfRule>
  </conditionalFormatting>
  <conditionalFormatting sqref="F38">
    <cfRule type="expression" dxfId="54" priority="4">
      <formula>$D$38="简单平均"</formula>
    </cfRule>
  </conditionalFormatting>
  <conditionalFormatting sqref="F42:F44 H42:H44 J42:J44">
    <cfRule type="containsText" dxfId="53" priority="14" stopIfTrue="1" operator="containsText" text="超过">
      <formula>NOT(ISERROR(SEARCH("超过",F42)))</formula>
    </cfRule>
  </conditionalFormatting>
  <conditionalFormatting sqref="G42">
    <cfRule type="expression" dxfId="52" priority="9" stopIfTrue="1">
      <formula>$H$52+$H$42="超过30%"</formula>
    </cfRule>
  </conditionalFormatting>
  <conditionalFormatting sqref="G43">
    <cfRule type="expression" dxfId="51" priority="8" stopIfTrue="1">
      <formula>$H$43="超过20%"</formula>
    </cfRule>
  </conditionalFormatting>
  <conditionalFormatting sqref="G44">
    <cfRule type="expression" dxfId="50" priority="12" stopIfTrue="1">
      <formula>$H$54+$H$44="超过30%"</formula>
    </cfRule>
  </conditionalFormatting>
  <conditionalFormatting sqref="H38">
    <cfRule type="expression" dxfId="49" priority="3">
      <formula>$D$38="简单平均"</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J38">
    <cfRule type="expression" dxfId="4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3323</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1769</v>
      </c>
      <c r="B4" s="346"/>
      <c r="C4" s="3386" t="s">
        <v>1770</v>
      </c>
      <c r="D4" s="3398"/>
      <c r="E4" s="3399" t="s">
        <v>1771</v>
      </c>
      <c r="F4" s="3400"/>
      <c r="G4" s="3386" t="s">
        <v>1772</v>
      </c>
      <c r="H4" s="3398"/>
      <c r="I4" s="3386" t="s">
        <v>1773</v>
      </c>
      <c r="J4" s="3398"/>
      <c r="K4" s="537" t="s">
        <v>1774</v>
      </c>
      <c r="L4" s="2481"/>
      <c r="M4" s="2482"/>
      <c r="N4" s="2482"/>
      <c r="O4" s="2482"/>
      <c r="P4" s="3401" t="s">
        <v>1775</v>
      </c>
      <c r="Q4" s="3402"/>
      <c r="R4" s="3407" t="s">
        <v>1771</v>
      </c>
      <c r="S4" s="3408"/>
      <c r="T4" s="3407" t="s">
        <v>1772</v>
      </c>
      <c r="U4" s="3408"/>
      <c r="V4" s="3394" t="s">
        <v>1773</v>
      </c>
      <c r="W4" s="3394"/>
      <c r="X4" s="1264"/>
      <c r="Y4" s="3407" t="s">
        <v>1775</v>
      </c>
      <c r="Z4" s="3408"/>
      <c r="AA4" s="3395" t="s">
        <v>1771</v>
      </c>
      <c r="AB4" s="3396" t="s">
        <v>1772</v>
      </c>
      <c r="AC4" s="3395" t="s">
        <v>1773</v>
      </c>
    </row>
    <row r="5" spans="1:29">
      <c r="A5" s="348"/>
      <c r="B5" s="349"/>
      <c r="C5" s="3415" t="s">
        <v>1673</v>
      </c>
      <c r="D5" s="3416"/>
      <c r="E5" s="3422" t="s">
        <v>1674</v>
      </c>
      <c r="F5" s="3423"/>
      <c r="G5" s="3415" t="s">
        <v>1675</v>
      </c>
      <c r="H5" s="3416"/>
      <c r="I5" s="3415" t="s">
        <v>1676</v>
      </c>
      <c r="J5" s="3416"/>
      <c r="K5" s="537"/>
      <c r="L5" s="2481"/>
      <c r="M5" s="2482"/>
      <c r="N5" s="2482"/>
      <c r="O5" s="2482"/>
      <c r="P5" s="3403"/>
      <c r="Q5" s="3404"/>
      <c r="R5" s="3409"/>
      <c r="S5" s="3410"/>
      <c r="T5" s="3409"/>
      <c r="U5" s="3410"/>
      <c r="V5" s="3394"/>
      <c r="W5" s="3394"/>
      <c r="X5" s="1264"/>
      <c r="Y5" s="3409"/>
      <c r="Z5" s="3410"/>
      <c r="AA5" s="3396"/>
      <c r="AB5" s="3396"/>
      <c r="AC5" s="3396"/>
    </row>
    <row r="6" spans="1:29" ht="15" thickBot="1">
      <c r="A6" s="350"/>
      <c r="B6" s="351"/>
      <c r="C6" s="3413" t="s">
        <v>1677</v>
      </c>
      <c r="D6" s="3414"/>
      <c r="E6" s="3420" t="s">
        <v>1677</v>
      </c>
      <c r="F6" s="3421"/>
      <c r="G6" s="3413" t="s">
        <v>1677</v>
      </c>
      <c r="H6" s="3414"/>
      <c r="I6" s="3413" t="s">
        <v>1677</v>
      </c>
      <c r="J6" s="3414"/>
      <c r="K6" s="537" t="s">
        <v>1678</v>
      </c>
      <c r="L6" s="2481"/>
      <c r="M6" s="2482"/>
      <c r="N6" s="2482"/>
      <c r="O6" s="2482"/>
      <c r="P6" s="3405"/>
      <c r="Q6" s="3406"/>
      <c r="R6" s="3409"/>
      <c r="S6" s="3410"/>
      <c r="T6" s="3411"/>
      <c r="U6" s="3412"/>
      <c r="V6" s="3394"/>
      <c r="W6" s="3394"/>
      <c r="X6" s="1264"/>
      <c r="Y6" s="3411"/>
      <c r="Z6" s="3412"/>
      <c r="AA6" s="3397"/>
      <c r="AB6" s="3397"/>
      <c r="AC6" s="3397"/>
    </row>
    <row r="7" spans="1:29" s="102" customFormat="1" ht="15" thickBot="1">
      <c r="A7" s="352" t="s">
        <v>1679</v>
      </c>
      <c r="B7" s="353"/>
      <c r="C7" s="354">
        <f>'数据-取费表'!B2</f>
        <v>45945</v>
      </c>
      <c r="D7" s="355">
        <v>100</v>
      </c>
      <c r="E7" s="356"/>
      <c r="F7" s="357">
        <f>SUMIF(46:46,YEAR(E7)&amp;"-"&amp;MONTH(E7),47:47)</f>
        <v>0</v>
      </c>
      <c r="G7" s="1821"/>
      <c r="H7" s="355">
        <f>SUMIF(46:46,YEAR(G7)&amp;"-"&amp;MONTH(G7),47:47)</f>
        <v>0</v>
      </c>
      <c r="I7" s="356"/>
      <c r="J7" s="355">
        <f>SUMIF(46:46,YEAR(I7)&amp;"-"&amp;MONTH(I7),47:47)</f>
        <v>0</v>
      </c>
      <c r="K7" s="38"/>
      <c r="L7" s="2483"/>
      <c r="M7" s="2434"/>
      <c r="N7" s="2434"/>
      <c r="O7" s="2434"/>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4"/>
      <c r="N8" s="2434"/>
      <c r="O8" s="2434"/>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4"/>
      <c r="N9" s="2434"/>
      <c r="O9" s="2535"/>
      <c r="P9" s="3389" t="s">
        <v>1686</v>
      </c>
      <c r="Q9" s="530" t="str">
        <f t="shared" ref="Q9:Q14" si="6">B9</f>
        <v>用途</v>
      </c>
      <c r="R9" s="664" t="s">
        <v>14</v>
      </c>
      <c r="S9" s="665">
        <f t="shared" si="0"/>
        <v>100</v>
      </c>
      <c r="T9" s="664" t="s">
        <v>14</v>
      </c>
      <c r="U9" s="665">
        <f t="shared" si="1"/>
        <v>100</v>
      </c>
      <c r="V9" s="664" t="s">
        <v>14</v>
      </c>
      <c r="W9" s="665">
        <f t="shared" si="2"/>
        <v>100</v>
      </c>
      <c r="X9" s="666"/>
      <c r="Y9" s="3289" t="s">
        <v>1687</v>
      </c>
      <c r="Z9" s="50" t="str">
        <f t="shared" ref="Z9:Z14" si="7">Q9</f>
        <v>用途</v>
      </c>
      <c r="AA9" s="50">
        <f t="shared" si="3"/>
        <v>1</v>
      </c>
      <c r="AB9" s="50">
        <f t="shared" si="4"/>
        <v>1</v>
      </c>
      <c r="AC9" s="50">
        <f t="shared" si="5"/>
        <v>1</v>
      </c>
    </row>
    <row r="10" spans="1:29" s="366" customFormat="1" ht="28.8">
      <c r="A10" s="363"/>
      <c r="B10" s="364" t="s">
        <v>1688</v>
      </c>
      <c r="C10" s="3126"/>
      <c r="D10" s="119">
        <v>100</v>
      </c>
      <c r="E10" s="3126"/>
      <c r="F10" s="364">
        <f>SUMIF(53:53,E10,54:54)-SUMIF(53:53,C10,54:54)+100</f>
        <v>100</v>
      </c>
      <c r="G10" s="3126"/>
      <c r="H10" s="119">
        <f>SUMIF(53:53,G10,54:54)-SUMIF(53:53,C10,54:54)+100</f>
        <v>100</v>
      </c>
      <c r="I10" s="3126"/>
      <c r="J10" s="119">
        <f>SUMIF(53:53,I10,54:54)-SUMIF(53:53,C10,54:54)+100</f>
        <v>100</v>
      </c>
      <c r="K10" s="38"/>
      <c r="L10" s="2484"/>
      <c r="M10" s="2485"/>
      <c r="N10" s="2485"/>
      <c r="O10" s="2536"/>
      <c r="P10" s="3389"/>
      <c r="Q10" s="530" t="str">
        <f t="shared" si="6"/>
        <v>土地使用年限（年）</v>
      </c>
      <c r="R10" s="664" t="s">
        <v>14</v>
      </c>
      <c r="S10" s="665">
        <f t="shared" si="0"/>
        <v>100</v>
      </c>
      <c r="T10" s="664" t="s">
        <v>14</v>
      </c>
      <c r="U10" s="665">
        <f t="shared" si="1"/>
        <v>100</v>
      </c>
      <c r="V10" s="664" t="s">
        <v>14</v>
      </c>
      <c r="W10" s="665">
        <f t="shared" si="2"/>
        <v>100</v>
      </c>
      <c r="X10" s="666"/>
      <c r="Y10" s="328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389"/>
      <c r="Q11" s="530">
        <f t="shared" si="6"/>
        <v>111</v>
      </c>
      <c r="R11" s="664" t="s">
        <v>14</v>
      </c>
      <c r="S11" s="665">
        <f t="shared" si="0"/>
        <v>100</v>
      </c>
      <c r="T11" s="664" t="s">
        <v>14</v>
      </c>
      <c r="U11" s="665">
        <f t="shared" si="1"/>
        <v>100</v>
      </c>
      <c r="V11" s="664" t="s">
        <v>14</v>
      </c>
      <c r="W11" s="665">
        <f t="shared" si="2"/>
        <v>100</v>
      </c>
      <c r="X11" s="666"/>
      <c r="Y11" s="328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4"/>
      <c r="N12" s="2434"/>
      <c r="O12" s="2535"/>
      <c r="P12" s="3389"/>
      <c r="Q12" s="530">
        <f t="shared" si="6"/>
        <v>111</v>
      </c>
      <c r="R12" s="664" t="s">
        <v>14</v>
      </c>
      <c r="S12" s="665">
        <f t="shared" si="0"/>
        <v>100</v>
      </c>
      <c r="T12" s="664" t="s">
        <v>14</v>
      </c>
      <c r="U12" s="665">
        <f t="shared" si="1"/>
        <v>100</v>
      </c>
      <c r="V12" s="664" t="s">
        <v>14</v>
      </c>
      <c r="W12" s="665">
        <f t="shared" si="2"/>
        <v>100</v>
      </c>
      <c r="X12" s="666"/>
      <c r="Y12" s="328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7"/>
      <c r="M13" s="2482"/>
      <c r="N13" s="2482"/>
      <c r="O13" s="2537"/>
      <c r="P13" s="3389"/>
      <c r="Q13" s="530">
        <f t="shared" si="6"/>
        <v>111</v>
      </c>
      <c r="R13" s="664" t="s">
        <v>14</v>
      </c>
      <c r="S13" s="665">
        <f t="shared" si="0"/>
        <v>100</v>
      </c>
      <c r="T13" s="664" t="s">
        <v>14</v>
      </c>
      <c r="U13" s="665">
        <f t="shared" si="1"/>
        <v>100</v>
      </c>
      <c r="V13" s="664" t="s">
        <v>14</v>
      </c>
      <c r="W13" s="665">
        <f t="shared" si="2"/>
        <v>100</v>
      </c>
      <c r="X13" s="666"/>
      <c r="Y13" s="3289"/>
      <c r="Z13" s="50">
        <f t="shared" si="7"/>
        <v>111</v>
      </c>
      <c r="AA13" s="50">
        <f t="shared" si="3"/>
        <v>1</v>
      </c>
      <c r="AB13" s="50">
        <f t="shared" si="4"/>
        <v>1</v>
      </c>
      <c r="AC13" s="50">
        <f t="shared" si="5"/>
        <v>1</v>
      </c>
    </row>
    <row r="14" spans="1:29" ht="15">
      <c r="A14" s="379" t="s">
        <v>1690</v>
      </c>
      <c r="B14" s="58" t="s">
        <v>1833</v>
      </c>
      <c r="C14" s="1818"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390" t="s">
        <v>1691</v>
      </c>
      <c r="Q14" s="1262" t="str">
        <f t="shared" si="6"/>
        <v>交通便捷度</v>
      </c>
      <c r="R14" s="667" t="s">
        <v>14</v>
      </c>
      <c r="S14" s="668">
        <f t="shared" si="0"/>
        <v>100</v>
      </c>
      <c r="T14" s="667" t="s">
        <v>14</v>
      </c>
      <c r="U14" s="668">
        <f t="shared" si="1"/>
        <v>100</v>
      </c>
      <c r="V14" s="667" t="s">
        <v>14</v>
      </c>
      <c r="W14" s="668">
        <f t="shared" si="2"/>
        <v>100</v>
      </c>
      <c r="X14" s="1264"/>
      <c r="Y14" s="339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391"/>
      <c r="Q15" s="1262"/>
      <c r="R15" s="667"/>
      <c r="S15" s="668"/>
      <c r="T15" s="667"/>
      <c r="U15" s="668"/>
      <c r="V15" s="667"/>
      <c r="W15" s="668"/>
      <c r="X15" s="1264"/>
      <c r="Y15" s="3391"/>
      <c r="Z15" s="1263"/>
      <c r="AA15" s="1263">
        <v>1</v>
      </c>
      <c r="AB15" s="1263">
        <v>1</v>
      </c>
      <c r="AC15" s="1263">
        <v>1</v>
      </c>
    </row>
    <row r="16" spans="1:29" ht="15">
      <c r="A16" s="367"/>
      <c r="B16" s="390" t="s">
        <v>1812</v>
      </c>
      <c r="C16" s="1753"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391"/>
      <c r="Q16" s="1262" t="str">
        <f>B16</f>
        <v>公共配套设施</v>
      </c>
      <c r="R16" s="667" t="s">
        <v>14</v>
      </c>
      <c r="S16" s="668">
        <f>F16</f>
        <v>100</v>
      </c>
      <c r="T16" s="667" t="s">
        <v>14</v>
      </c>
      <c r="U16" s="668">
        <f>H16</f>
        <v>100</v>
      </c>
      <c r="V16" s="667" t="s">
        <v>14</v>
      </c>
      <c r="W16" s="668">
        <f>J16</f>
        <v>100</v>
      </c>
      <c r="X16" s="1264"/>
      <c r="Y16" s="339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7"/>
      <c r="M17" s="2482"/>
      <c r="N17" s="2482"/>
      <c r="O17" s="2537"/>
      <c r="P17" s="3391"/>
      <c r="Q17" s="1262"/>
      <c r="R17" s="667"/>
      <c r="S17" s="668"/>
      <c r="T17" s="667"/>
      <c r="U17" s="668"/>
      <c r="V17" s="667"/>
      <c r="W17" s="668"/>
      <c r="X17" s="1264"/>
      <c r="Y17" s="3391"/>
      <c r="Z17" s="1263"/>
      <c r="AA17" s="1263">
        <v>1</v>
      </c>
      <c r="AB17" s="1263">
        <v>1</v>
      </c>
      <c r="AC17" s="1263">
        <v>1</v>
      </c>
    </row>
    <row r="18" spans="1:29" ht="15">
      <c r="A18" s="367"/>
      <c r="B18" s="586"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391"/>
      <c r="Q18" s="1262" t="str">
        <f>B18</f>
        <v>基础设施水平</v>
      </c>
      <c r="R18" s="667" t="s">
        <v>14</v>
      </c>
      <c r="S18" s="668">
        <f>F18</f>
        <v>100</v>
      </c>
      <c r="T18" s="667" t="s">
        <v>14</v>
      </c>
      <c r="U18" s="668">
        <f>H18</f>
        <v>100</v>
      </c>
      <c r="V18" s="667" t="s">
        <v>14</v>
      </c>
      <c r="W18" s="668">
        <f>J18</f>
        <v>100</v>
      </c>
      <c r="X18" s="1264"/>
      <c r="Y18" s="339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7"/>
      <c r="M19" s="2482"/>
      <c r="N19" s="2482"/>
      <c r="O19" s="2537"/>
      <c r="P19" s="3391"/>
      <c r="Q19" s="1262"/>
      <c r="R19" s="667"/>
      <c r="S19" s="668"/>
      <c r="T19" s="667"/>
      <c r="U19" s="668"/>
      <c r="V19" s="667"/>
      <c r="W19" s="668"/>
      <c r="X19" s="1264"/>
      <c r="Y19" s="3391"/>
      <c r="Z19" s="1263"/>
      <c r="AA19" s="1263">
        <v>1</v>
      </c>
      <c r="AB19" s="1263">
        <v>1</v>
      </c>
      <c r="AC19" s="1263">
        <v>1</v>
      </c>
    </row>
    <row r="20" spans="1:29" ht="15">
      <c r="A20" s="367"/>
      <c r="B20" s="390" t="s">
        <v>1834</v>
      </c>
      <c r="C20" s="1753"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391"/>
      <c r="Q20" s="1262" t="str">
        <f>B20</f>
        <v>自然及人文环境</v>
      </c>
      <c r="R20" s="667" t="s">
        <v>14</v>
      </c>
      <c r="S20" s="668">
        <f>F20</f>
        <v>100</v>
      </c>
      <c r="T20" s="667" t="s">
        <v>14</v>
      </c>
      <c r="U20" s="668">
        <f>H20</f>
        <v>100</v>
      </c>
      <c r="V20" s="667" t="s">
        <v>14</v>
      </c>
      <c r="W20" s="668">
        <f>J20</f>
        <v>100</v>
      </c>
      <c r="X20" s="1264"/>
      <c r="Y20" s="339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391"/>
      <c r="Q21" s="1262"/>
      <c r="R21" s="667"/>
      <c r="S21" s="668"/>
      <c r="T21" s="667"/>
      <c r="U21" s="668"/>
      <c r="V21" s="667"/>
      <c r="W21" s="668"/>
      <c r="X21" s="1264"/>
      <c r="Y21" s="339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391"/>
      <c r="Q22" s="1262" t="str">
        <f>B22</f>
        <v>楼层</v>
      </c>
      <c r="R22" s="667" t="s">
        <v>14</v>
      </c>
      <c r="S22" s="668">
        <f>F22</f>
        <v>100</v>
      </c>
      <c r="T22" s="667" t="s">
        <v>14</v>
      </c>
      <c r="U22" s="668">
        <f>H22</f>
        <v>100</v>
      </c>
      <c r="V22" s="667" t="s">
        <v>14</v>
      </c>
      <c r="W22" s="668">
        <f>J22</f>
        <v>100</v>
      </c>
      <c r="X22" s="1264"/>
      <c r="Y22" s="339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391"/>
      <c r="Q23" s="1262">
        <f>B23</f>
        <v>111</v>
      </c>
      <c r="R23" s="667" t="s">
        <v>14</v>
      </c>
      <c r="S23" s="668">
        <f>F23</f>
        <v>100</v>
      </c>
      <c r="T23" s="667" t="s">
        <v>14</v>
      </c>
      <c r="U23" s="668">
        <f>H23</f>
        <v>100</v>
      </c>
      <c r="V23" s="667" t="s">
        <v>14</v>
      </c>
      <c r="W23" s="668">
        <f>J23</f>
        <v>100</v>
      </c>
      <c r="X23" s="1264"/>
      <c r="Y23" s="339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391"/>
      <c r="Q24" s="1262">
        <f t="shared" ref="Q24:Q34" si="11">B24</f>
        <v>111</v>
      </c>
      <c r="R24" s="667" t="s">
        <v>14</v>
      </c>
      <c r="S24" s="668">
        <f>F24</f>
        <v>100</v>
      </c>
      <c r="T24" s="667" t="s">
        <v>14</v>
      </c>
      <c r="U24" s="668">
        <f>H24</f>
        <v>100</v>
      </c>
      <c r="V24" s="667" t="s">
        <v>14</v>
      </c>
      <c r="W24" s="668">
        <f>J24</f>
        <v>100</v>
      </c>
      <c r="X24" s="1264"/>
      <c r="Y24" s="3391"/>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3"/>
      <c r="M25" s="2434"/>
      <c r="N25" s="2434"/>
      <c r="O25" s="2535"/>
      <c r="P25" s="3391"/>
      <c r="Q25" s="530">
        <f t="shared" si="11"/>
        <v>111</v>
      </c>
      <c r="R25" s="664" t="s">
        <v>14</v>
      </c>
      <c r="S25" s="665">
        <f>F25</f>
        <v>100</v>
      </c>
      <c r="T25" s="664" t="s">
        <v>14</v>
      </c>
      <c r="U25" s="665">
        <f>H25</f>
        <v>100</v>
      </c>
      <c r="V25" s="664" t="s">
        <v>14</v>
      </c>
      <c r="W25" s="665">
        <f>J25</f>
        <v>100</v>
      </c>
      <c r="X25" s="666"/>
      <c r="Y25" s="3391"/>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7"/>
      <c r="M26" s="2482"/>
      <c r="N26" s="2482"/>
      <c r="O26" s="2537"/>
      <c r="P26" s="339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393"/>
      <c r="Q28" s="1262" t="str">
        <f t="shared" si="11"/>
        <v>物业等级</v>
      </c>
      <c r="R28" s="667" t="s">
        <v>14</v>
      </c>
      <c r="S28" s="668">
        <f t="shared" si="12"/>
        <v>100</v>
      </c>
      <c r="T28" s="667" t="s">
        <v>14</v>
      </c>
      <c r="U28" s="668">
        <f t="shared" si="13"/>
        <v>100</v>
      </c>
      <c r="V28" s="667" t="s">
        <v>14</v>
      </c>
      <c r="W28" s="668">
        <f t="shared" si="14"/>
        <v>100</v>
      </c>
      <c r="X28" s="1264"/>
      <c r="Y28" s="339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393"/>
      <c r="Q29" s="1262" t="str">
        <f t="shared" si="11"/>
        <v>有无电梯</v>
      </c>
      <c r="R29" s="667" t="s">
        <v>14</v>
      </c>
      <c r="S29" s="668">
        <f t="shared" si="12"/>
        <v>100</v>
      </c>
      <c r="T29" s="667" t="s">
        <v>14</v>
      </c>
      <c r="U29" s="668">
        <f t="shared" si="13"/>
        <v>100</v>
      </c>
      <c r="V29" s="667" t="s">
        <v>14</v>
      </c>
      <c r="W29" s="668">
        <f t="shared" si="14"/>
        <v>100</v>
      </c>
      <c r="X29" s="1264"/>
      <c r="Y29" s="339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393"/>
      <c r="Q30" s="1262" t="str">
        <f t="shared" si="11"/>
        <v>建筑面积</v>
      </c>
      <c r="R30" s="667" t="s">
        <v>14</v>
      </c>
      <c r="S30" s="668" t="e">
        <f t="shared" si="12"/>
        <v>#N/A</v>
      </c>
      <c r="T30" s="667" t="s">
        <v>14</v>
      </c>
      <c r="U30" s="668" t="e">
        <f t="shared" si="13"/>
        <v>#N/A</v>
      </c>
      <c r="V30" s="667" t="s">
        <v>14</v>
      </c>
      <c r="W30" s="668" t="e">
        <f t="shared" si="14"/>
        <v>#N/A</v>
      </c>
      <c r="X30" s="1264"/>
      <c r="Y30" s="339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4"/>
      <c r="N31" s="2434"/>
      <c r="O31" s="2535"/>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393" t="s">
        <v>1696</v>
      </c>
      <c r="Q32" s="1262">
        <f t="shared" si="11"/>
        <v>111</v>
      </c>
      <c r="R32" s="667" t="s">
        <v>14</v>
      </c>
      <c r="S32" s="668">
        <f t="shared" si="12"/>
        <v>100</v>
      </c>
      <c r="T32" s="667" t="s">
        <v>14</v>
      </c>
      <c r="U32" s="668">
        <f t="shared" si="13"/>
        <v>100</v>
      </c>
      <c r="V32" s="667" t="s">
        <v>14</v>
      </c>
      <c r="W32" s="668">
        <f t="shared" si="14"/>
        <v>100</v>
      </c>
      <c r="X32" s="1264"/>
      <c r="Y32" s="339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393"/>
      <c r="Q33" s="1262">
        <f t="shared" si="11"/>
        <v>111</v>
      </c>
      <c r="R33" s="667" t="s">
        <v>14</v>
      </c>
      <c r="S33" s="668">
        <f t="shared" si="12"/>
        <v>100</v>
      </c>
      <c r="T33" s="667" t="s">
        <v>14</v>
      </c>
      <c r="U33" s="668">
        <f t="shared" si="13"/>
        <v>100</v>
      </c>
      <c r="V33" s="667" t="s">
        <v>14</v>
      </c>
      <c r="W33" s="668">
        <f t="shared" si="14"/>
        <v>100</v>
      </c>
      <c r="X33" s="1264"/>
      <c r="Y33" s="3393"/>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7"/>
      <c r="M34" s="2482"/>
      <c r="N34" s="2482"/>
      <c r="O34" s="2537"/>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89"/>
      <c r="M35" s="2482"/>
      <c r="N35" s="2482"/>
      <c r="O35" s="2482"/>
      <c r="P35" s="3389" t="str">
        <f>A35</f>
        <v>成交单价（元/平方米）</v>
      </c>
      <c r="Q35" s="3389"/>
      <c r="R35" s="3394">
        <f>E35</f>
        <v>0</v>
      </c>
      <c r="S35" s="3394"/>
      <c r="T35" s="3394">
        <f>G35</f>
        <v>0</v>
      </c>
      <c r="U35" s="3394"/>
      <c r="V35" s="3394">
        <f>I35</f>
        <v>0</v>
      </c>
      <c r="W35" s="3394"/>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89"/>
      <c r="M36" s="2482"/>
      <c r="N36" s="2482"/>
      <c r="O36" s="2482"/>
      <c r="P36" s="3389" t="str">
        <f>A36</f>
        <v>比较价值（元/平方米）</v>
      </c>
      <c r="Q36" s="3389"/>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9"/>
      <c r="M37" s="2482"/>
      <c r="N37" s="2482"/>
      <c r="O37" s="2482"/>
      <c r="P37" s="3383" t="str">
        <f>A37</f>
        <v>估价对象XX用房的比较价值（楼面单价，元/平方米）</v>
      </c>
      <c r="Q37" s="3384"/>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8" t="s">
        <v>1798</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05"/>
      <c r="Q46" s="2505"/>
      <c r="R46" s="2505"/>
      <c r="S46" s="2505"/>
      <c r="T46" s="2505"/>
      <c r="U46" s="2505"/>
      <c r="V46" s="2505"/>
      <c r="W46" s="2505"/>
      <c r="X46" s="2505"/>
      <c r="Y46" s="2505"/>
      <c r="Z46" s="2505"/>
      <c r="AA46" s="2505"/>
      <c r="AB46" s="2505"/>
      <c r="AC46" s="2505"/>
      <c r="AD46" s="2505"/>
    </row>
    <row r="47" spans="1:30" s="102" customFormat="1">
      <c r="A47" s="443"/>
      <c r="B47" s="444"/>
      <c r="C47" s="1101">
        <v>100</v>
      </c>
      <c r="D47" s="446"/>
      <c r="E47" s="446"/>
      <c r="F47" s="446"/>
      <c r="G47" s="446"/>
      <c r="H47" s="446"/>
      <c r="I47" s="446"/>
      <c r="J47" s="446"/>
      <c r="K47" s="446"/>
      <c r="L47" s="446"/>
      <c r="M47" s="447"/>
      <c r="N47" s="446"/>
      <c r="O47" s="448"/>
      <c r="P47" s="2503"/>
      <c r="Q47" s="2434"/>
      <c r="R47" s="2434"/>
      <c r="S47" s="2434"/>
      <c r="T47" s="2434"/>
      <c r="U47" s="2434"/>
      <c r="V47" s="2434"/>
      <c r="W47" s="2434"/>
      <c r="X47" s="2434"/>
      <c r="Y47" s="2434"/>
      <c r="Z47" s="2434"/>
      <c r="AA47" s="2434"/>
      <c r="AB47" s="2434"/>
      <c r="AC47" s="2434"/>
      <c r="AD47" s="2434"/>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4"/>
      <c r="S48" s="2434"/>
      <c r="T48" s="2434"/>
      <c r="U48" s="2434"/>
      <c r="V48" s="2434"/>
      <c r="W48" s="2434"/>
      <c r="X48" s="2434"/>
      <c r="Y48" s="2434"/>
      <c r="Z48" s="2434"/>
      <c r="AA48" s="2434"/>
      <c r="AB48" s="2434"/>
      <c r="AC48" s="2434"/>
      <c r="AD48" s="2434"/>
    </row>
    <row r="49" spans="1:30" s="102" customFormat="1" ht="14.4">
      <c r="A49" s="455" t="s">
        <v>1681</v>
      </c>
      <c r="B49" s="444"/>
      <c r="C49" s="456" t="s">
        <v>1776</v>
      </c>
      <c r="D49" s="31"/>
      <c r="E49" s="31"/>
      <c r="F49" s="31"/>
      <c r="G49" s="31"/>
      <c r="H49" s="31"/>
      <c r="I49" s="31"/>
      <c r="J49" s="31"/>
      <c r="K49" s="31"/>
      <c r="L49" s="457"/>
      <c r="M49" s="458"/>
      <c r="N49" s="2515"/>
      <c r="O49" s="2515"/>
      <c r="P49" s="2539"/>
      <c r="Q49" s="2503"/>
      <c r="R49" s="2434"/>
      <c r="S49" s="2434"/>
      <c r="T49" s="2434"/>
      <c r="U49" s="2434"/>
      <c r="V49" s="2434"/>
      <c r="W49" s="2434"/>
      <c r="X49" s="2434"/>
      <c r="Y49" s="2434"/>
      <c r="Z49" s="2434"/>
      <c r="AA49" s="2434"/>
      <c r="AB49" s="2434"/>
      <c r="AC49" s="2434"/>
      <c r="AD49" s="2434"/>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4"/>
      <c r="S50" s="2434"/>
      <c r="T50" s="2434"/>
      <c r="U50" s="2434"/>
      <c r="V50" s="2434"/>
      <c r="W50" s="2434"/>
      <c r="X50" s="2434"/>
      <c r="Y50" s="2434"/>
      <c r="Z50" s="2434"/>
      <c r="AA50" s="2434"/>
      <c r="AB50" s="2434"/>
      <c r="AC50" s="2434"/>
      <c r="AD50" s="2434"/>
    </row>
    <row r="51" spans="1:30" ht="14.4">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1813</v>
      </c>
      <c r="C65" s="581" t="s">
        <v>1799</v>
      </c>
      <c r="D65" s="581" t="s">
        <v>1800</v>
      </c>
      <c r="E65" s="581" t="s">
        <v>1801</v>
      </c>
      <c r="F65" s="581" t="s">
        <v>1802</v>
      </c>
      <c r="G65" s="581" t="s">
        <v>1803</v>
      </c>
      <c r="H65" s="470"/>
      <c r="I65" s="470"/>
      <c r="J65" s="470"/>
      <c r="K65" s="470"/>
      <c r="L65" s="470"/>
      <c r="M65" s="1062"/>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4"/>
      <c r="S71" s="2434"/>
      <c r="T71" s="2434"/>
      <c r="U71" s="2434"/>
      <c r="V71" s="2434"/>
      <c r="W71" s="2434"/>
      <c r="X71" s="2434"/>
      <c r="Y71" s="2434"/>
      <c r="Z71" s="2434"/>
      <c r="AA71" s="2434"/>
      <c r="AB71" s="2434"/>
      <c r="AC71" s="2434"/>
      <c r="AD71" s="2434"/>
    </row>
    <row r="72" spans="1:30" s="102" customFormat="1" ht="14.4" thickBot="1">
      <c r="A72" s="370"/>
      <c r="B72" s="474"/>
      <c r="C72" s="491"/>
      <c r="D72" s="467"/>
      <c r="E72" s="467"/>
      <c r="F72" s="467"/>
      <c r="G72" s="467"/>
      <c r="H72" s="467"/>
      <c r="I72" s="467"/>
      <c r="J72" s="467"/>
      <c r="K72" s="467"/>
      <c r="L72" s="467"/>
      <c r="M72" s="468"/>
      <c r="N72" s="2517"/>
      <c r="O72" s="2517"/>
      <c r="P72" s="2515"/>
      <c r="Q72" s="2503"/>
      <c r="R72" s="2434"/>
      <c r="S72" s="2434"/>
      <c r="T72" s="2434"/>
      <c r="U72" s="2434"/>
      <c r="V72" s="2434"/>
      <c r="W72" s="2434"/>
      <c r="X72" s="2434"/>
      <c r="Y72" s="2434"/>
      <c r="Z72" s="2434"/>
      <c r="AA72" s="2434"/>
      <c r="AB72" s="2434"/>
      <c r="AC72" s="2434"/>
      <c r="AD72" s="2434"/>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4"/>
      <c r="S73" s="2434"/>
      <c r="T73" s="2434"/>
      <c r="U73" s="2434"/>
      <c r="V73" s="2434"/>
      <c r="W73" s="2434"/>
      <c r="X73" s="2434"/>
      <c r="Y73" s="2434"/>
      <c r="Z73" s="2434"/>
      <c r="AA73" s="2434"/>
      <c r="AB73" s="2434"/>
      <c r="AC73" s="2434"/>
      <c r="AD73" s="2434"/>
    </row>
    <row r="74" spans="1:30" s="102" customFormat="1" ht="14.4" thickBot="1">
      <c r="A74" s="370"/>
      <c r="B74" s="474"/>
      <c r="C74" s="491"/>
      <c r="D74" s="467"/>
      <c r="E74" s="467"/>
      <c r="F74" s="467"/>
      <c r="G74" s="467"/>
      <c r="H74" s="467"/>
      <c r="I74" s="467"/>
      <c r="J74" s="467"/>
      <c r="K74" s="467"/>
      <c r="L74" s="467"/>
      <c r="M74" s="468"/>
      <c r="N74" s="2517"/>
      <c r="O74" s="2517"/>
      <c r="P74" s="2515"/>
      <c r="Q74" s="2503"/>
      <c r="R74" s="2434"/>
      <c r="S74" s="2434"/>
      <c r="T74" s="2434"/>
      <c r="U74" s="2434"/>
      <c r="V74" s="2434"/>
      <c r="W74" s="2434"/>
      <c r="X74" s="2434"/>
      <c r="Y74" s="2434"/>
      <c r="Z74" s="2434"/>
      <c r="AA74" s="2434"/>
      <c r="AB74" s="2434"/>
      <c r="AC74" s="2434"/>
      <c r="AD74" s="2434"/>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4" priority="13" stopIfTrue="1">
      <formula>$F$40="超过30%"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F7:F34 H7:H34 J7:J34">
    <cfRule type="cellIs" dxfId="41" priority="1" operator="notEqual">
      <formula>100</formula>
    </cfRule>
  </conditionalFormatting>
  <conditionalFormatting sqref="F36">
    <cfRule type="expression" dxfId="40" priority="4">
      <formula>$D$36="简单平均"</formula>
    </cfRule>
  </conditionalFormatting>
  <conditionalFormatting sqref="F40:F42 H40:H42 J40:J42">
    <cfRule type="containsText" dxfId="39" priority="14" stopIfTrue="1" operator="containsText" text="超过">
      <formula>NOT(ISERROR(SEARCH("超过",F40)))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G42">
    <cfRule type="expression" dxfId="36" priority="12" stopIfTrue="1">
      <formula>$H$54+$H$42="超过30%"</formula>
    </cfRule>
  </conditionalFormatting>
  <conditionalFormatting sqref="H36">
    <cfRule type="expression" dxfId="35" priority="3">
      <formula>$D$36="简单平均"</formula>
    </cfRule>
  </conditionalFormatting>
  <conditionalFormatting sqref="I40">
    <cfRule type="expression" dxfId="34" priority="7" stopIfTrue="1">
      <formula>$J$40="超过30%"</formula>
    </cfRule>
  </conditionalFormatting>
  <conditionalFormatting sqref="I41">
    <cfRule type="expression" dxfId="33" priority="6" stopIfTrue="1">
      <formula>$J$41="超过20%"</formula>
    </cfRule>
  </conditionalFormatting>
  <conditionalFormatting sqref="I42">
    <cfRule type="expression" dxfId="32" priority="5" stopIfTrue="1">
      <formula>$J$42="超过30%"</formula>
    </cfRule>
  </conditionalFormatting>
  <conditionalFormatting sqref="J36">
    <cfRule type="expression" dxfId="3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1769</v>
      </c>
      <c r="B4" s="346"/>
      <c r="C4" s="3386" t="s">
        <v>1770</v>
      </c>
      <c r="D4" s="3398"/>
      <c r="E4" s="3399" t="s">
        <v>1771</v>
      </c>
      <c r="F4" s="3400"/>
      <c r="G4" s="3386" t="s">
        <v>1772</v>
      </c>
      <c r="H4" s="3398"/>
      <c r="I4" s="3386" t="s">
        <v>1773</v>
      </c>
      <c r="J4" s="3398"/>
      <c r="K4" s="537" t="s">
        <v>1774</v>
      </c>
      <c r="L4" s="2481"/>
      <c r="M4" s="2482"/>
      <c r="N4" s="2482"/>
      <c r="O4" s="2482"/>
      <c r="P4" s="3401" t="s">
        <v>1775</v>
      </c>
      <c r="Q4" s="3402"/>
      <c r="R4" s="3407" t="s">
        <v>1771</v>
      </c>
      <c r="S4" s="3408"/>
      <c r="T4" s="3407" t="s">
        <v>1772</v>
      </c>
      <c r="U4" s="3408"/>
      <c r="V4" s="3394" t="s">
        <v>1773</v>
      </c>
      <c r="W4" s="3394"/>
      <c r="X4" s="1264"/>
      <c r="Y4" s="3407" t="s">
        <v>1775</v>
      </c>
      <c r="Z4" s="3408"/>
      <c r="AA4" s="3395" t="s">
        <v>1771</v>
      </c>
      <c r="AB4" s="3396" t="s">
        <v>1772</v>
      </c>
      <c r="AC4" s="3395" t="s">
        <v>1773</v>
      </c>
    </row>
    <row r="5" spans="1:29">
      <c r="A5" s="348"/>
      <c r="B5" s="349"/>
      <c r="C5" s="3415" t="s">
        <v>1673</v>
      </c>
      <c r="D5" s="3416"/>
      <c r="E5" s="3422" t="s">
        <v>1674</v>
      </c>
      <c r="F5" s="3423"/>
      <c r="G5" s="3415" t="s">
        <v>1675</v>
      </c>
      <c r="H5" s="3416"/>
      <c r="I5" s="3415" t="s">
        <v>1676</v>
      </c>
      <c r="J5" s="3416"/>
      <c r="K5" s="537"/>
      <c r="L5" s="2481"/>
      <c r="M5" s="2482"/>
      <c r="N5" s="2482"/>
      <c r="O5" s="2482"/>
      <c r="P5" s="3403"/>
      <c r="Q5" s="3404"/>
      <c r="R5" s="3409"/>
      <c r="S5" s="3410"/>
      <c r="T5" s="3409"/>
      <c r="U5" s="3410"/>
      <c r="V5" s="3394"/>
      <c r="W5" s="3394"/>
      <c r="X5" s="1264"/>
      <c r="Y5" s="3409"/>
      <c r="Z5" s="3410"/>
      <c r="AA5" s="3396"/>
      <c r="AB5" s="3396"/>
      <c r="AC5" s="3396"/>
    </row>
    <row r="6" spans="1:29" ht="15" thickBot="1">
      <c r="A6" s="350"/>
      <c r="B6" s="351"/>
      <c r="C6" s="3476" t="s">
        <v>1919</v>
      </c>
      <c r="D6" s="3477"/>
      <c r="E6" s="3478" t="s">
        <v>1919</v>
      </c>
      <c r="F6" s="3479"/>
      <c r="G6" s="3476" t="s">
        <v>1919</v>
      </c>
      <c r="H6" s="3477"/>
      <c r="I6" s="3476" t="s">
        <v>1919</v>
      </c>
      <c r="J6" s="3477"/>
      <c r="K6" s="537" t="s">
        <v>1678</v>
      </c>
      <c r="L6" s="2481"/>
      <c r="M6" s="2482"/>
      <c r="N6" s="2482"/>
      <c r="O6" s="2482"/>
      <c r="P6" s="3405"/>
      <c r="Q6" s="3406"/>
      <c r="R6" s="3409"/>
      <c r="S6" s="3410"/>
      <c r="T6" s="3411"/>
      <c r="U6" s="3412"/>
      <c r="V6" s="3394"/>
      <c r="W6" s="3394"/>
      <c r="X6" s="1264"/>
      <c r="Y6" s="3411"/>
      <c r="Z6" s="3412"/>
      <c r="AA6" s="3397"/>
      <c r="AB6" s="3397"/>
      <c r="AC6" s="3397"/>
    </row>
    <row r="7" spans="1:29" s="102" customFormat="1" ht="15" thickBot="1">
      <c r="A7" s="352" t="s">
        <v>1679</v>
      </c>
      <c r="B7" s="353"/>
      <c r="C7" s="354">
        <f>'数据-取费表'!B2</f>
        <v>45945</v>
      </c>
      <c r="D7" s="355">
        <v>100</v>
      </c>
      <c r="E7" s="356"/>
      <c r="F7" s="357">
        <f>SUMIF(65:65,YEAR(E7)&amp;"-"&amp;INT((MONTH(E7)+2)/3),66:66)</f>
        <v>0</v>
      </c>
      <c r="G7" s="1821"/>
      <c r="H7" s="355">
        <f>SUMIF(65:65,YEAR(G7)&amp;"-"&amp;INT((MONTH(G7)+2)/3),66:66)</f>
        <v>0</v>
      </c>
      <c r="I7" s="1821"/>
      <c r="J7" s="355">
        <f>SUMIF(65:65,YEAR(I7)&amp;"-"&amp;INT((MONTH(I7)+2)/3),66:66)</f>
        <v>0</v>
      </c>
      <c r="K7" s="38"/>
      <c r="L7" s="2483"/>
      <c r="M7" s="2434"/>
      <c r="N7" s="2434"/>
      <c r="O7" s="2434"/>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4"/>
      <c r="N8" s="2434"/>
      <c r="O8" s="2434"/>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3"/>
      <c r="M9" s="2434"/>
      <c r="N9" s="2434"/>
      <c r="O9" s="2535"/>
      <c r="P9" s="3389" t="s">
        <v>1686</v>
      </c>
      <c r="Q9" s="530" t="str">
        <f t="shared" ref="Q9:Q15" si="6">B9</f>
        <v>用途</v>
      </c>
      <c r="R9" s="664" t="s">
        <v>14</v>
      </c>
      <c r="S9" s="665">
        <f t="shared" si="0"/>
        <v>100</v>
      </c>
      <c r="T9" s="664" t="s">
        <v>14</v>
      </c>
      <c r="U9" s="665">
        <f t="shared" si="1"/>
        <v>100</v>
      </c>
      <c r="V9" s="664" t="s">
        <v>14</v>
      </c>
      <c r="W9" s="665">
        <f t="shared" si="2"/>
        <v>100</v>
      </c>
      <c r="X9" s="666"/>
      <c r="Y9" s="328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100</v>
      </c>
      <c r="G10" s="371"/>
      <c r="H10" s="119">
        <f>ROUND(100/'数据-取费表'!G16,0)</f>
        <v>100</v>
      </c>
      <c r="I10" s="371"/>
      <c r="J10" s="119">
        <f>ROUND(100/'数据-取费表'!G16,0)</f>
        <v>100</v>
      </c>
      <c r="K10" s="592"/>
      <c r="L10" s="2484"/>
      <c r="M10" s="2485"/>
      <c r="N10" s="2485"/>
      <c r="O10" s="2536"/>
      <c r="P10" s="3389"/>
      <c r="Q10" s="530" t="str">
        <f t="shared" si="6"/>
        <v>土地使用年限（年）</v>
      </c>
      <c r="R10" s="664" t="s">
        <v>14</v>
      </c>
      <c r="S10" s="665">
        <f t="shared" si="0"/>
        <v>100</v>
      </c>
      <c r="T10" s="664" t="s">
        <v>14</v>
      </c>
      <c r="U10" s="665">
        <f t="shared" si="1"/>
        <v>100</v>
      </c>
      <c r="V10" s="664" t="s">
        <v>14</v>
      </c>
      <c r="W10" s="665">
        <f t="shared" si="2"/>
        <v>100</v>
      </c>
      <c r="X10" s="666"/>
      <c r="Y10" s="3289"/>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389"/>
      <c r="Q11" s="530" t="str">
        <f t="shared" si="6"/>
        <v>容积率</v>
      </c>
      <c r="R11" s="664" t="s">
        <v>14</v>
      </c>
      <c r="S11" s="665" t="e">
        <f t="shared" si="0"/>
        <v>#N/A</v>
      </c>
      <c r="T11" s="664" t="s">
        <v>14</v>
      </c>
      <c r="U11" s="665" t="e">
        <f t="shared" si="1"/>
        <v>#N/A</v>
      </c>
      <c r="V11" s="664" t="s">
        <v>14</v>
      </c>
      <c r="W11" s="665" t="e">
        <f t="shared" si="2"/>
        <v>#N/A</v>
      </c>
      <c r="X11" s="666"/>
      <c r="Y11" s="328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4"/>
      <c r="N12" s="2434"/>
      <c r="O12" s="2535"/>
      <c r="P12" s="3389"/>
      <c r="Q12" s="530">
        <f t="shared" si="6"/>
        <v>111</v>
      </c>
      <c r="R12" s="664" t="s">
        <v>14</v>
      </c>
      <c r="S12" s="665">
        <f t="shared" si="0"/>
        <v>100</v>
      </c>
      <c r="T12" s="664" t="s">
        <v>14</v>
      </c>
      <c r="U12" s="665">
        <f t="shared" si="1"/>
        <v>100</v>
      </c>
      <c r="V12" s="664" t="s">
        <v>14</v>
      </c>
      <c r="W12" s="665">
        <f t="shared" si="2"/>
        <v>100</v>
      </c>
      <c r="X12" s="666"/>
      <c r="Y12" s="328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389"/>
      <c r="Q13" s="530">
        <f t="shared" si="6"/>
        <v>111</v>
      </c>
      <c r="R13" s="664" t="s">
        <v>14</v>
      </c>
      <c r="S13" s="665">
        <f t="shared" si="0"/>
        <v>100</v>
      </c>
      <c r="T13" s="664" t="s">
        <v>14</v>
      </c>
      <c r="U13" s="665">
        <f t="shared" si="1"/>
        <v>100</v>
      </c>
      <c r="V13" s="664" t="s">
        <v>14</v>
      </c>
      <c r="W13" s="665">
        <f t="shared" si="2"/>
        <v>100</v>
      </c>
      <c r="X13" s="666"/>
      <c r="Y13" s="3289"/>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389"/>
      <c r="Q14" s="530">
        <f t="shared" si="6"/>
        <v>111</v>
      </c>
      <c r="R14" s="664" t="s">
        <v>14</v>
      </c>
      <c r="S14" s="665">
        <f t="shared" si="0"/>
        <v>100</v>
      </c>
      <c r="T14" s="664" t="s">
        <v>14</v>
      </c>
      <c r="U14" s="665">
        <f t="shared" si="1"/>
        <v>100</v>
      </c>
      <c r="V14" s="664" t="s">
        <v>14</v>
      </c>
      <c r="W14" s="665">
        <f t="shared" si="2"/>
        <v>100</v>
      </c>
      <c r="X14" s="666"/>
      <c r="Y14" s="3289"/>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390" t="s">
        <v>1691</v>
      </c>
      <c r="Q15" s="1262" t="str">
        <f t="shared" si="6"/>
        <v>产业集聚程度</v>
      </c>
      <c r="R15" s="667" t="s">
        <v>14</v>
      </c>
      <c r="S15" s="668">
        <f t="shared" si="0"/>
        <v>100</v>
      </c>
      <c r="T15" s="667" t="s">
        <v>14</v>
      </c>
      <c r="U15" s="668">
        <f t="shared" si="1"/>
        <v>100</v>
      </c>
      <c r="V15" s="667" t="s">
        <v>14</v>
      </c>
      <c r="W15" s="668">
        <f t="shared" si="2"/>
        <v>100</v>
      </c>
      <c r="X15" s="1264"/>
      <c r="Y15" s="3390"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7"/>
      <c r="M16" s="2482"/>
      <c r="N16" s="2482"/>
      <c r="O16" s="2537"/>
      <c r="P16" s="3391"/>
      <c r="Q16" s="1262"/>
      <c r="R16" s="667"/>
      <c r="S16" s="668"/>
      <c r="T16" s="667"/>
      <c r="U16" s="668"/>
      <c r="V16" s="667"/>
      <c r="W16" s="668"/>
      <c r="X16" s="1264"/>
      <c r="Y16" s="3391"/>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391"/>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7"/>
      <c r="M18" s="2482"/>
      <c r="N18" s="2482"/>
      <c r="O18" s="2537"/>
      <c r="P18" s="3391"/>
      <c r="Q18" s="1262"/>
      <c r="R18" s="667"/>
      <c r="S18" s="668"/>
      <c r="T18" s="667"/>
      <c r="U18" s="668"/>
      <c r="V18" s="667"/>
      <c r="W18" s="668"/>
      <c r="X18" s="1264"/>
      <c r="Y18" s="3391"/>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391"/>
      <c r="Q19" s="1262" t="str">
        <f t="shared" ref="Q19:Q33" si="8">B19</f>
        <v>区域土地利用方向</v>
      </c>
      <c r="R19" s="667" t="s">
        <v>14</v>
      </c>
      <c r="S19" s="668">
        <f>F19</f>
        <v>100</v>
      </c>
      <c r="T19" s="667" t="s">
        <v>14</v>
      </c>
      <c r="U19" s="668">
        <f>H19</f>
        <v>100</v>
      </c>
      <c r="V19" s="667" t="s">
        <v>14</v>
      </c>
      <c r="W19" s="668">
        <f>J19</f>
        <v>100</v>
      </c>
      <c r="X19" s="1264"/>
      <c r="Y19" s="339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7"/>
      <c r="M20" s="2482"/>
      <c r="N20" s="2482"/>
      <c r="O20" s="2537"/>
      <c r="P20" s="3391"/>
      <c r="Q20" s="1262"/>
      <c r="R20" s="667"/>
      <c r="S20" s="668"/>
      <c r="T20" s="667"/>
      <c r="U20" s="668"/>
      <c r="V20" s="667"/>
      <c r="W20" s="668"/>
      <c r="X20" s="1264"/>
      <c r="Y20" s="3391"/>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391"/>
      <c r="Q21" s="1262" t="str">
        <f t="shared" si="8"/>
        <v>环境状况</v>
      </c>
      <c r="R21" s="667" t="s">
        <v>14</v>
      </c>
      <c r="S21" s="668">
        <f>F21</f>
        <v>100</v>
      </c>
      <c r="T21" s="667" t="s">
        <v>14</v>
      </c>
      <c r="U21" s="668">
        <f>H21</f>
        <v>100</v>
      </c>
      <c r="V21" s="667" t="s">
        <v>14</v>
      </c>
      <c r="W21" s="668">
        <f>J21</f>
        <v>100</v>
      </c>
      <c r="X21" s="1264"/>
      <c r="Y21" s="339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7"/>
      <c r="M22" s="2482"/>
      <c r="N22" s="2482"/>
      <c r="O22" s="2537"/>
      <c r="P22" s="3391"/>
      <c r="Q22" s="1262"/>
      <c r="R22" s="667"/>
      <c r="S22" s="668"/>
      <c r="T22" s="667"/>
      <c r="U22" s="668"/>
      <c r="V22" s="667"/>
      <c r="W22" s="668"/>
      <c r="X22" s="1264"/>
      <c r="Y22" s="3391"/>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3"/>
      <c r="M23" s="2434"/>
      <c r="N23" s="2434"/>
      <c r="O23" s="2535"/>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3"/>
      <c r="M24" s="2434"/>
      <c r="N24" s="2434"/>
      <c r="O24" s="2535"/>
      <c r="P24" s="3391"/>
      <c r="Q24" s="530"/>
      <c r="R24" s="664"/>
      <c r="S24" s="665"/>
      <c r="T24" s="664"/>
      <c r="U24" s="665"/>
      <c r="V24" s="664"/>
      <c r="W24" s="665"/>
      <c r="X24" s="666"/>
      <c r="Y24" s="3391"/>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3"/>
      <c r="M25" s="2434"/>
      <c r="N25" s="2434"/>
      <c r="O25" s="2535"/>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3"/>
      <c r="M26" s="2434"/>
      <c r="N26" s="2434"/>
      <c r="O26" s="2535"/>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39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1"/>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391"/>
      <c r="Q28" s="1262" t="str">
        <f t="shared" si="8"/>
        <v>毗邻道路的类型与等级</v>
      </c>
      <c r="R28" s="667" t="s">
        <v>14</v>
      </c>
      <c r="S28" s="668">
        <f t="shared" si="10"/>
        <v>100</v>
      </c>
      <c r="T28" s="667" t="s">
        <v>14</v>
      </c>
      <c r="U28" s="668">
        <f t="shared" si="11"/>
        <v>100</v>
      </c>
      <c r="V28" s="667" t="s">
        <v>14</v>
      </c>
      <c r="W28" s="668">
        <f t="shared" si="12"/>
        <v>100</v>
      </c>
      <c r="X28" s="1264"/>
      <c r="Y28" s="339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7"/>
      <c r="M29" s="2482"/>
      <c r="N29" s="2482"/>
      <c r="O29" s="2537"/>
      <c r="P29" s="3391"/>
      <c r="Q29" s="1262"/>
      <c r="R29" s="667"/>
      <c r="S29" s="668"/>
      <c r="T29" s="667"/>
      <c r="U29" s="668"/>
      <c r="V29" s="667"/>
      <c r="W29" s="668"/>
      <c r="X29" s="1264"/>
      <c r="Y29" s="3391"/>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391"/>
      <c r="Q30" s="1262" t="str">
        <f t="shared" si="8"/>
        <v>土地级别</v>
      </c>
      <c r="R30" s="667" t="s">
        <v>14</v>
      </c>
      <c r="S30" s="668">
        <f t="shared" si="10"/>
        <v>100</v>
      </c>
      <c r="T30" s="667" t="s">
        <v>14</v>
      </c>
      <c r="U30" s="668">
        <f t="shared" si="11"/>
        <v>100</v>
      </c>
      <c r="V30" s="667" t="s">
        <v>14</v>
      </c>
      <c r="W30" s="668">
        <f t="shared" si="12"/>
        <v>100</v>
      </c>
      <c r="X30" s="1264"/>
      <c r="Y30" s="3391"/>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391"/>
      <c r="Q31" s="1262">
        <f t="shared" si="8"/>
        <v>111</v>
      </c>
      <c r="R31" s="667" t="s">
        <v>14</v>
      </c>
      <c r="S31" s="668">
        <f t="shared" si="10"/>
        <v>100</v>
      </c>
      <c r="T31" s="667" t="s">
        <v>14</v>
      </c>
      <c r="U31" s="668">
        <f t="shared" si="11"/>
        <v>100</v>
      </c>
      <c r="V31" s="667" t="s">
        <v>14</v>
      </c>
      <c r="W31" s="668">
        <f t="shared" si="12"/>
        <v>100</v>
      </c>
      <c r="X31" s="1264"/>
      <c r="Y31" s="339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392" t="s">
        <v>1696</v>
      </c>
      <c r="Q32" s="1262">
        <f t="shared" si="8"/>
        <v>111</v>
      </c>
      <c r="R32" s="667" t="s">
        <v>14</v>
      </c>
      <c r="S32" s="668">
        <f t="shared" si="10"/>
        <v>100</v>
      </c>
      <c r="T32" s="667" t="s">
        <v>14</v>
      </c>
      <c r="U32" s="668">
        <f t="shared" si="11"/>
        <v>100</v>
      </c>
      <c r="V32" s="667" t="s">
        <v>14</v>
      </c>
      <c r="W32" s="668">
        <f t="shared" si="12"/>
        <v>100</v>
      </c>
      <c r="X32" s="1264"/>
      <c r="Y32" s="3393"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393"/>
      <c r="Q33" s="1262">
        <f t="shared" si="8"/>
        <v>111</v>
      </c>
      <c r="R33" s="669" t="s">
        <v>14</v>
      </c>
      <c r="S33" s="670">
        <f t="shared" si="10"/>
        <v>100</v>
      </c>
      <c r="T33" s="669" t="s">
        <v>14</v>
      </c>
      <c r="U33" s="670">
        <f t="shared" si="11"/>
        <v>100</v>
      </c>
      <c r="V33" s="669" t="s">
        <v>14</v>
      </c>
      <c r="W33" s="670">
        <f t="shared" si="12"/>
        <v>100</v>
      </c>
      <c r="X33" s="671"/>
      <c r="Y33" s="339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393"/>
      <c r="Q34" s="1262" t="str">
        <f>B34</f>
        <v>宗地面积</v>
      </c>
      <c r="R34" s="667" t="s">
        <v>14</v>
      </c>
      <c r="S34" s="668" t="e">
        <f t="shared" si="10"/>
        <v>#N/A</v>
      </c>
      <c r="T34" s="667" t="s">
        <v>14</v>
      </c>
      <c r="U34" s="668" t="e">
        <f t="shared" si="11"/>
        <v>#N/A</v>
      </c>
      <c r="V34" s="667" t="s">
        <v>14</v>
      </c>
      <c r="W34" s="668" t="e">
        <f t="shared" si="12"/>
        <v>#N/A</v>
      </c>
      <c r="X34" s="1264"/>
      <c r="Y34" s="339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7"/>
      <c r="M35" s="2482"/>
      <c r="N35" s="2482"/>
      <c r="O35" s="2537"/>
      <c r="P35" s="3393"/>
      <c r="Q35" s="1262" t="str">
        <f t="shared" ref="Q35:Q40" si="14">B35</f>
        <v>宗地形状</v>
      </c>
      <c r="R35" s="667" t="s">
        <v>14</v>
      </c>
      <c r="S35" s="668">
        <f t="shared" si="10"/>
        <v>100</v>
      </c>
      <c r="T35" s="667" t="s">
        <v>14</v>
      </c>
      <c r="U35" s="668">
        <f t="shared" si="11"/>
        <v>100</v>
      </c>
      <c r="V35" s="667" t="s">
        <v>14</v>
      </c>
      <c r="W35" s="668">
        <f t="shared" si="12"/>
        <v>100</v>
      </c>
      <c r="X35" s="1264"/>
      <c r="Y35" s="339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3"/>
      <c r="M36" s="2434"/>
      <c r="N36" s="2434"/>
      <c r="O36" s="2535"/>
      <c r="P36" s="3393"/>
      <c r="Q36" s="1262"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7"/>
      <c r="M37" s="2482"/>
      <c r="N37" s="2482"/>
      <c r="O37" s="2537"/>
      <c r="P37" s="3393" t="s">
        <v>1696</v>
      </c>
      <c r="Q37" s="1262" t="str">
        <f t="shared" si="14"/>
        <v>工程地质条件</v>
      </c>
      <c r="R37" s="667" t="s">
        <v>14</v>
      </c>
      <c r="S37" s="668">
        <f t="shared" si="10"/>
        <v>100</v>
      </c>
      <c r="T37" s="667" t="s">
        <v>14</v>
      </c>
      <c r="U37" s="668">
        <f t="shared" si="11"/>
        <v>100</v>
      </c>
      <c r="V37" s="667" t="s">
        <v>14</v>
      </c>
      <c r="W37" s="668">
        <f t="shared" si="12"/>
        <v>100</v>
      </c>
      <c r="X37" s="1264"/>
      <c r="Y37" s="3393"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393"/>
      <c r="Q38" s="1262">
        <f t="shared" si="14"/>
        <v>111</v>
      </c>
      <c r="R38" s="667" t="s">
        <v>14</v>
      </c>
      <c r="S38" s="668">
        <f t="shared" si="10"/>
        <v>100</v>
      </c>
      <c r="T38" s="667" t="s">
        <v>14</v>
      </c>
      <c r="U38" s="668">
        <f t="shared" si="11"/>
        <v>100</v>
      </c>
      <c r="V38" s="667" t="s">
        <v>14</v>
      </c>
      <c r="W38" s="668">
        <f t="shared" si="12"/>
        <v>100</v>
      </c>
      <c r="X38" s="1264"/>
      <c r="Y38" s="3393"/>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393"/>
      <c r="Q39" s="1262">
        <f t="shared" si="14"/>
        <v>111</v>
      </c>
      <c r="R39" s="667" t="s">
        <v>14</v>
      </c>
      <c r="S39" s="668">
        <f t="shared" si="10"/>
        <v>100</v>
      </c>
      <c r="T39" s="667" t="s">
        <v>14</v>
      </c>
      <c r="U39" s="668">
        <f t="shared" si="11"/>
        <v>100</v>
      </c>
      <c r="V39" s="667" t="s">
        <v>14</v>
      </c>
      <c r="W39" s="668">
        <f t="shared" si="12"/>
        <v>100</v>
      </c>
      <c r="X39" s="1264"/>
      <c r="Y39" s="3393"/>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393"/>
      <c r="Q40" s="1262">
        <f t="shared" si="14"/>
        <v>111</v>
      </c>
      <c r="R40" s="669" t="s">
        <v>14</v>
      </c>
      <c r="S40" s="670">
        <f t="shared" si="10"/>
        <v>100</v>
      </c>
      <c r="T40" s="669" t="s">
        <v>14</v>
      </c>
      <c r="U40" s="670">
        <f t="shared" si="11"/>
        <v>100</v>
      </c>
      <c r="V40" s="669" t="s">
        <v>14</v>
      </c>
      <c r="W40" s="670">
        <f t="shared" si="12"/>
        <v>100</v>
      </c>
      <c r="X40" s="671"/>
      <c r="Y40" s="3393"/>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89"/>
      <c r="M41" s="2482"/>
      <c r="N41" s="2482"/>
      <c r="O41" s="2482"/>
      <c r="P41" s="3389" t="str">
        <f>A41</f>
        <v>成交单价</v>
      </c>
      <c r="Q41" s="3389"/>
      <c r="R41" s="3394">
        <f>E41</f>
        <v>0</v>
      </c>
      <c r="S41" s="3394"/>
      <c r="T41" s="3394">
        <f>G41</f>
        <v>0</v>
      </c>
      <c r="U41" s="3394"/>
      <c r="V41" s="3394">
        <f>I41</f>
        <v>0</v>
      </c>
      <c r="W41" s="3394"/>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89"/>
      <c r="M42" s="2482"/>
      <c r="N42" s="2482"/>
      <c r="O42" s="2482"/>
      <c r="P42" s="3389" t="str">
        <f>A42</f>
        <v>比较价值（元/平方米）</v>
      </c>
      <c r="Q42" s="3389"/>
      <c r="R42" s="3382" t="e">
        <f>ROUND(PRODUCT(R41,AA7:AA40),0)</f>
        <v>#DIV/0!</v>
      </c>
      <c r="S42" s="3382"/>
      <c r="T42" s="3382" t="e">
        <f>ROUND(PRODUCT(T41,AB7:AB40),0)</f>
        <v>#DIV/0!</v>
      </c>
      <c r="U42" s="3382"/>
      <c r="V42" s="3382" t="e">
        <f>ROUND(PRODUCT(V41,AC7:AC40),0)</f>
        <v>#DIV/0!</v>
      </c>
      <c r="W42" s="338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9"/>
      <c r="M43" s="2482"/>
      <c r="N43" s="2482"/>
      <c r="O43" s="2482"/>
      <c r="P43" s="3383" t="str">
        <f>A43</f>
        <v>估价对象XX用房的比较价值（楼面单价，元/平方米）</v>
      </c>
      <c r="Q43" s="3384"/>
      <c r="R43" s="3385" t="e">
        <f>ROUND(IF(D42="简单平均",AVERAGE(R42:W42),R42*F42+T42*H42+V42*J42),0)</f>
        <v>#DIV/0!</v>
      </c>
      <c r="S43" s="3385"/>
      <c r="T43" s="3385"/>
      <c r="U43" s="3385"/>
      <c r="V43" s="3385"/>
      <c r="W43" s="3385"/>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1881</v>
      </c>
      <c r="B50" s="605" t="s">
        <v>1882</v>
      </c>
      <c r="C50" s="1830" t="s">
        <v>1883</v>
      </c>
      <c r="D50" s="1831" t="s">
        <v>1884</v>
      </c>
      <c r="E50" s="606" t="s">
        <v>1885</v>
      </c>
      <c r="F50" s="607" t="s">
        <v>1886</v>
      </c>
      <c r="G50" s="3386" t="s">
        <v>1887</v>
      </c>
      <c r="H50" s="3387"/>
      <c r="I50" s="1263" t="s">
        <v>1923</v>
      </c>
      <c r="J50" s="1263">
        <f>项目基本情况!F35</f>
        <v>0</v>
      </c>
      <c r="K50" s="1833"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89">
        <v>1</v>
      </c>
      <c r="E51" s="610">
        <f>'数据-汇总表'!E8+'数据-汇总表'!E9</f>
        <v>36485.100000000202</v>
      </c>
      <c r="F51" s="611" t="e">
        <f t="shared" ref="F51:F60" si="15">ROUND(B51*E51/10000,0)</f>
        <v>#DIV/0!</v>
      </c>
      <c r="G51" s="3388"/>
      <c r="H51" s="3389"/>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0.6</v>
      </c>
      <c r="D52" s="890">
        <v>0.25</v>
      </c>
      <c r="E52" s="614"/>
      <c r="F52" s="611" t="e">
        <f t="shared" si="15"/>
        <v>#DIV/0!</v>
      </c>
      <c r="G52" s="2745" t="s">
        <v>1892</v>
      </c>
      <c r="H52" s="833" t="str">
        <f>项目基本情况!B37</f>
        <v>七级</v>
      </c>
      <c r="I52" s="726">
        <f>SUMIF(修正!A59:A70,H52,修正!B59:B70)</f>
        <v>0.6</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0.3</v>
      </c>
      <c r="D53" s="890">
        <v>0.25</v>
      </c>
      <c r="E53" s="614"/>
      <c r="F53" s="611" t="e">
        <f t="shared" si="15"/>
        <v>#DIV/0!</v>
      </c>
      <c r="G53" s="2746"/>
      <c r="H53" s="833" t="str">
        <f>项目基本情况!B37</f>
        <v>七级</v>
      </c>
      <c r="I53" s="726">
        <f>SUMIF(修正!A59:A70,H53,修正!C59:C70)</f>
        <v>0.3</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0.25</v>
      </c>
      <c r="D54" s="890">
        <v>0.25</v>
      </c>
      <c r="E54" s="614"/>
      <c r="F54" s="611" t="e">
        <f t="shared" si="15"/>
        <v>#DIV/0!</v>
      </c>
      <c r="G54" s="2746"/>
      <c r="H54" s="833" t="str">
        <f>项目基本情况!B37</f>
        <v>七级</v>
      </c>
      <c r="I54" s="726">
        <f>SUMIF(修正!A59:A70,H54,修正!D59:D70)</f>
        <v>0.25</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0"/>
      <c r="E55" s="614"/>
      <c r="F55" s="611"/>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0.25</v>
      </c>
      <c r="D56" s="890">
        <v>0.25</v>
      </c>
      <c r="E56" s="209">
        <f>'数据-汇总表'!E11</f>
        <v>0</v>
      </c>
      <c r="F56" s="611" t="e">
        <f t="shared" si="15"/>
        <v>#DIV/0!</v>
      </c>
      <c r="G56" s="1834" t="s">
        <v>1896</v>
      </c>
      <c r="H56" s="833" t="str">
        <f>项目基本情况!C37</f>
        <v>七级</v>
      </c>
      <c r="I56" s="726">
        <f>SUMIF(修正!A59:A70,H56,修正!E59:E70)</f>
        <v>0.25</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0.25</v>
      </c>
      <c r="D57" s="890">
        <v>0.25</v>
      </c>
      <c r="E57" s="209">
        <f>'数据-汇总表'!E12</f>
        <v>0</v>
      </c>
      <c r="F57" s="611" t="e">
        <f t="shared" si="15"/>
        <v>#DIV/0!</v>
      </c>
      <c r="G57" s="838" t="s">
        <v>1898</v>
      </c>
      <c r="H57" s="833" t="str">
        <f>IF(G57="商业",项目基本情况!B37,IF(G57="办公",项目基本情况!C37,IF(G57="住宅",项目基本情况!D37,项目基本情况!E37)))</f>
        <v>七级</v>
      </c>
      <c r="I57" s="726">
        <f>SUMIF(修正!A59:A70,H57,修正!F59:F70)</f>
        <v>0.25</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0.15</v>
      </c>
      <c r="D58" s="890">
        <v>0.25</v>
      </c>
      <c r="E58" s="209">
        <f>'数据-汇总表'!E13</f>
        <v>4935.5300000000207</v>
      </c>
      <c r="F58" s="611" t="e">
        <f t="shared" si="15"/>
        <v>#DIV/0!</v>
      </c>
      <c r="G58" s="838" t="s">
        <v>1900</v>
      </c>
      <c r="H58" s="833" t="str">
        <f>IF(G58="商业",项目基本情况!B37,IF(G58="办公",项目基本情况!C37,IF(G58="住宅",项目基本情况!D37,项目基本情况!E37)))</f>
        <v>七级</v>
      </c>
      <c r="I58" s="726">
        <f>SUMIF(修正!A59:A70,H58,修正!G59:G70)</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0.15</v>
      </c>
      <c r="D59" s="890">
        <v>0.25</v>
      </c>
      <c r="E59" s="209">
        <f>'数据-汇总表'!E14</f>
        <v>0</v>
      </c>
      <c r="F59" s="611" t="e">
        <f t="shared" si="15"/>
        <v>#DIV/0!</v>
      </c>
      <c r="G59" s="1834" t="s">
        <v>1892</v>
      </c>
      <c r="H59" s="833" t="str">
        <f>项目基本情况!B37</f>
        <v>七级</v>
      </c>
      <c r="I59" s="726">
        <f>SUMIF(修正!A59:A70,H59,修正!G59:G70)</f>
        <v>0.15</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1902</v>
      </c>
      <c r="B60" s="210" t="e">
        <f t="shared" si="17"/>
        <v>#DIV/0!</v>
      </c>
      <c r="C60" s="163">
        <f t="shared" si="16"/>
        <v>0.15</v>
      </c>
      <c r="D60" s="890">
        <v>0.25</v>
      </c>
      <c r="E60" s="209">
        <f>'数据-汇总表'!E15</f>
        <v>0</v>
      </c>
      <c r="F60" s="611" t="e">
        <f t="shared" si="15"/>
        <v>#DIV/0!</v>
      </c>
      <c r="G60" s="1835" t="s">
        <v>1896</v>
      </c>
      <c r="H60" s="843" t="str">
        <f>项目基本情况!C37</f>
        <v>七级</v>
      </c>
      <c r="I60" s="726">
        <f>SUMIF(修正!A59:A70,H60,修正!G59:G70)</f>
        <v>0.15</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1903</v>
      </c>
      <c r="B61" s="616" t="s">
        <v>22</v>
      </c>
      <c r="C61" s="616" t="s">
        <v>23</v>
      </c>
      <c r="D61" s="616" t="s">
        <v>392</v>
      </c>
      <c r="E61" s="616">
        <f>IF(B41="楼面地价",SUM(E51:E60),'数据-汇总表'!D3)</f>
        <v>17707.41</v>
      </c>
      <c r="F61" s="617"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2"/>
      <c r="Q63" s="2482"/>
      <c r="R63" s="2482"/>
      <c r="S63" s="2482"/>
      <c r="T63" s="2482"/>
      <c r="U63" s="2482"/>
      <c r="V63" s="2482"/>
      <c r="W63" s="2482"/>
      <c r="X63" s="2482"/>
      <c r="Y63" s="2482"/>
      <c r="Z63" s="2482"/>
      <c r="AA63" s="2482"/>
      <c r="AB63" s="2482"/>
      <c r="AC63" s="2482"/>
      <c r="AD63" s="2482"/>
      <c r="AE63" s="2482"/>
    </row>
    <row r="64" spans="1:31" ht="22.2" thickBot="1">
      <c r="A64" s="658" t="s">
        <v>1798</v>
      </c>
      <c r="B64" s="385"/>
      <c r="C64" s="659"/>
      <c r="D64" s="659"/>
      <c r="E64" s="659"/>
      <c r="F64" s="660"/>
      <c r="G64" s="660"/>
      <c r="H64" s="659"/>
      <c r="I64" s="659"/>
      <c r="J64" s="659"/>
      <c r="K64" s="661"/>
      <c r="L64" s="662"/>
      <c r="M64" s="659"/>
      <c r="N64" s="659"/>
      <c r="O64" s="885"/>
      <c r="P64" s="2532"/>
      <c r="Q64" s="2503"/>
      <c r="R64" s="2482"/>
      <c r="S64" s="2482"/>
      <c r="T64" s="2482"/>
      <c r="U64" s="2482"/>
      <c r="V64" s="2482"/>
      <c r="W64" s="2482"/>
      <c r="X64" s="2482"/>
      <c r="Y64" s="2482"/>
      <c r="Z64" s="2482"/>
      <c r="AA64" s="2482"/>
      <c r="AB64" s="2482"/>
      <c r="AC64" s="2482"/>
      <c r="AD64" s="2482"/>
      <c r="AE64" s="2482"/>
    </row>
    <row r="65" spans="1:31" s="442" customFormat="1" ht="14.4">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4"/>
      <c r="S67" s="2434"/>
      <c r="T67" s="2434"/>
      <c r="U67" s="2434"/>
      <c r="V67" s="2434"/>
      <c r="W67" s="2434"/>
      <c r="X67" s="2434"/>
      <c r="Y67" s="2434"/>
      <c r="Z67" s="2434"/>
      <c r="AA67" s="2434"/>
      <c r="AB67" s="2434"/>
      <c r="AC67" s="2434"/>
      <c r="AD67" s="2434"/>
      <c r="AE67" s="2434"/>
    </row>
    <row r="68" spans="1:31" s="102" customFormat="1" ht="14.4">
      <c r="A68" s="455" t="s">
        <v>1681</v>
      </c>
      <c r="B68" s="444"/>
      <c r="C68" s="456" t="s">
        <v>1776</v>
      </c>
      <c r="D68" s="31"/>
      <c r="E68" s="31"/>
      <c r="F68" s="31"/>
      <c r="G68" s="31"/>
      <c r="H68" s="31"/>
      <c r="I68" s="31"/>
      <c r="J68" s="31"/>
      <c r="K68" s="31"/>
      <c r="L68" s="457"/>
      <c r="M68" s="458"/>
      <c r="N68" s="2515"/>
      <c r="O68" s="2515"/>
      <c r="P68" s="2539"/>
      <c r="Q68" s="2503"/>
      <c r="R68" s="2434"/>
      <c r="S68" s="2434"/>
      <c r="T68" s="2434"/>
      <c r="U68" s="2434"/>
      <c r="V68" s="2434"/>
      <c r="W68" s="2434"/>
      <c r="X68" s="2434"/>
      <c r="Y68" s="2434"/>
      <c r="Z68" s="2434"/>
      <c r="AA68" s="2434"/>
      <c r="AB68" s="2434"/>
      <c r="AC68" s="2434"/>
      <c r="AD68" s="2434"/>
      <c r="AE68" s="2434"/>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4"/>
      <c r="S69" s="2434"/>
      <c r="T69" s="2434"/>
      <c r="U69" s="2434"/>
      <c r="V69" s="2434"/>
      <c r="W69" s="2434"/>
      <c r="X69" s="2434"/>
      <c r="Y69" s="2434"/>
      <c r="Z69" s="2434"/>
      <c r="AA69" s="2434"/>
      <c r="AB69" s="2434"/>
      <c r="AC69" s="2434"/>
      <c r="AD69" s="2434"/>
      <c r="AE69" s="2434"/>
    </row>
    <row r="70" spans="1:31" ht="14.4">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4"/>
      <c r="S87" s="2434"/>
      <c r="T87" s="2434"/>
      <c r="U87" s="2434"/>
      <c r="V87" s="2434"/>
      <c r="W87" s="2434"/>
      <c r="X87" s="2434"/>
      <c r="Y87" s="2434"/>
      <c r="Z87" s="2434"/>
      <c r="AA87" s="2434"/>
      <c r="AB87" s="2434"/>
      <c r="AC87" s="2434"/>
      <c r="AD87" s="2434"/>
      <c r="AE87" s="2434"/>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4"/>
      <c r="S88" s="2434"/>
      <c r="T88" s="2434"/>
      <c r="U88" s="2434"/>
      <c r="V88" s="2434"/>
      <c r="W88" s="2434"/>
      <c r="X88" s="2434"/>
      <c r="Y88" s="2434"/>
      <c r="Z88" s="2434"/>
      <c r="AA88" s="2434"/>
      <c r="AB88" s="2434"/>
      <c r="AC88" s="2434"/>
      <c r="AD88" s="2434"/>
      <c r="AE88" s="2434"/>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4"/>
      <c r="S89" s="2434"/>
      <c r="T89" s="2434"/>
      <c r="U89" s="2434"/>
      <c r="V89" s="2434"/>
      <c r="W89" s="2434"/>
      <c r="X89" s="2434"/>
      <c r="Y89" s="2434"/>
      <c r="Z89" s="2434"/>
      <c r="AA89" s="2434"/>
      <c r="AB89" s="2434"/>
      <c r="AC89" s="2434"/>
      <c r="AD89" s="2434"/>
      <c r="AE89" s="2434"/>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4"/>
      <c r="S90" s="2434"/>
      <c r="T90" s="2434"/>
      <c r="U90" s="2434"/>
      <c r="V90" s="2434"/>
      <c r="W90" s="2434"/>
      <c r="X90" s="2434"/>
      <c r="Y90" s="2434"/>
      <c r="Z90" s="2434"/>
      <c r="AA90" s="2434"/>
      <c r="AB90" s="2434"/>
      <c r="AC90" s="2434"/>
      <c r="AD90" s="2434"/>
      <c r="AE90" s="2434"/>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0" priority="13" stopIfTrue="1">
      <formula>$F$46="超过30%"</formula>
    </cfRule>
  </conditionalFormatting>
  <conditionalFormatting sqref="E47">
    <cfRule type="expression" dxfId="29" priority="53" stopIfTrue="1">
      <formula>#REF!+$F$47="超过20%"</formula>
    </cfRule>
  </conditionalFormatting>
  <conditionalFormatting sqref="E48">
    <cfRule type="expression" dxfId="28" priority="10" stopIfTrue="1">
      <formula>$F$48="超过30%"</formula>
    </cfRule>
  </conditionalFormatting>
  <conditionalFormatting sqref="F7:F40 H7:H40 J7:J40">
    <cfRule type="cellIs" dxfId="27" priority="1" operator="notEqual">
      <formula>100</formula>
    </cfRule>
  </conditionalFormatting>
  <conditionalFormatting sqref="F42">
    <cfRule type="expression" dxfId="26" priority="4">
      <formula>$D$42="简单平均"</formula>
    </cfRule>
  </conditionalFormatting>
  <conditionalFormatting sqref="F46:F48 H46:H48 J46:J48">
    <cfRule type="containsText" dxfId="25" priority="14" stopIfTrue="1" operator="containsText" text="超过">
      <formula>NOT(ISERROR(SEARCH("超过",F46)))</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G48">
    <cfRule type="expression" dxfId="22" priority="12" stopIfTrue="1">
      <formula>$H$48="超过30%"</formula>
    </cfRule>
  </conditionalFormatting>
  <conditionalFormatting sqref="H42">
    <cfRule type="expression" dxfId="21" priority="3">
      <formula>$D$42="简单平均"</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J42">
    <cfRule type="expression" dxfId="1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483" t="s">
        <v>2084</v>
      </c>
      <c r="D1" s="3484"/>
      <c r="E1" s="3484"/>
      <c r="F1" s="3484"/>
      <c r="G1" s="3484"/>
      <c r="H1" s="3484"/>
      <c r="I1" s="3484"/>
      <c r="J1" s="3484"/>
      <c r="K1" s="3484"/>
      <c r="L1" s="3484"/>
      <c r="M1" s="3484"/>
      <c r="N1" s="3484"/>
      <c r="O1" s="3484"/>
      <c r="P1" s="3484"/>
      <c r="Q1" s="3484"/>
      <c r="R1" s="3484"/>
      <c r="S1" s="3485"/>
      <c r="T1" s="928" t="s">
        <v>2085</v>
      </c>
    </row>
    <row r="2" spans="1:45" s="625" customFormat="1">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39"/>
      <c r="G1" s="2539"/>
      <c r="H1" s="2539"/>
      <c r="I1" s="2539"/>
      <c r="J1" s="2539"/>
      <c r="K1" s="2539"/>
      <c r="L1" s="2539"/>
      <c r="M1" s="2539"/>
      <c r="N1" s="2539"/>
      <c r="O1" s="2539"/>
      <c r="P1" s="2539"/>
    </row>
    <row r="2" spans="1:16" ht="15.6">
      <c r="A2" s="1983" t="s">
        <v>2073</v>
      </c>
      <c r="B2" s="2382" t="e">
        <f ca="1">SUMIF(B6:B13,"&lt;&gt;#ref!",B6:B13)</f>
        <v>#DIV/0!</v>
      </c>
      <c r="C2" s="1983" t="s">
        <v>2074</v>
      </c>
      <c r="D2" s="1983" t="s">
        <v>2075</v>
      </c>
      <c r="E2" s="2392">
        <f ca="1">SUMIF(E6:E13,"&lt;&gt;#ref!",E6:E13)</f>
        <v>0</v>
      </c>
      <c r="F2" s="2539"/>
      <c r="G2" s="2539"/>
      <c r="H2" s="2539"/>
      <c r="I2" s="2539"/>
      <c r="J2" s="2539"/>
      <c r="K2" s="2539"/>
      <c r="L2" s="2539"/>
      <c r="M2" s="2539"/>
      <c r="N2" s="2539"/>
      <c r="O2" s="2539"/>
      <c r="P2" s="2539"/>
    </row>
    <row r="3" spans="1:16" ht="15.6">
      <c r="A3" s="1983" t="s">
        <v>2076</v>
      </c>
      <c r="B3" s="2382" t="e">
        <f ca="1">ROUND(B2*10000/E2,0)</f>
        <v>#DIV/0!</v>
      </c>
      <c r="C3" s="1983"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8" t="s">
        <v>2077</v>
      </c>
      <c r="B5" s="2390" t="s">
        <v>2078</v>
      </c>
      <c r="C5" s="1984"/>
      <c r="D5" s="2539"/>
      <c r="E5" s="2391" t="s">
        <v>2079</v>
      </c>
      <c r="F5" s="2539"/>
      <c r="G5" s="2539"/>
      <c r="H5" s="2539"/>
      <c r="I5" s="2539"/>
      <c r="J5" s="2539"/>
      <c r="K5" s="2539"/>
      <c r="L5" s="2539"/>
      <c r="M5" s="2539"/>
      <c r="N5" s="2539"/>
      <c r="O5" s="2539"/>
      <c r="P5" s="2539"/>
    </row>
    <row r="6" spans="1:16" ht="15.6">
      <c r="A6" s="2389" t="s">
        <v>2080</v>
      </c>
      <c r="B6" s="2382" t="e">
        <f ca="1">SUMIF(INDIRECT("'"&amp;A6&amp;"'"&amp;"!A:A"),"总价",INDIRECT("'"&amp;A6&amp;"'"&amp;"!B:B"))</f>
        <v>#DIV/0!</v>
      </c>
      <c r="C6" s="1983" t="s">
        <v>2074</v>
      </c>
      <c r="D6" s="2539"/>
      <c r="E6" s="2392">
        <f ca="1">SUMIF(INDIRECT("'"&amp;A6&amp;"'"&amp;"!C:C"),"建筑面积",INDIRECT("'"&amp;A6&amp;"'"&amp;"!D:D"))</f>
        <v>0</v>
      </c>
      <c r="F6" s="2539"/>
      <c r="G6" s="2539"/>
      <c r="H6" s="2539"/>
      <c r="I6" s="2539"/>
      <c r="J6" s="2539"/>
      <c r="K6" s="2539"/>
      <c r="L6" s="2539"/>
      <c r="M6" s="2539"/>
      <c r="N6" s="2539"/>
      <c r="O6" s="2539"/>
      <c r="P6" s="2539"/>
    </row>
    <row r="7" spans="1:16" ht="15.6">
      <c r="A7" s="2389"/>
      <c r="B7" s="2382" t="e">
        <f ca="1">SUMIF(INDIRECT("'"&amp;A7&amp;"'"&amp;"!A:A"),"总价",INDIRECT("'"&amp;A7&amp;"'"&amp;"!B:B"))</f>
        <v>#REF!</v>
      </c>
      <c r="C7" s="1983" t="s">
        <v>2074</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6">
      <c r="A8" s="2389"/>
      <c r="B8" s="2382" t="e">
        <f t="shared" ref="B8:B13" ca="1" si="1">SUMIF(INDIRECT("'"&amp;A8&amp;"'"&amp;"!A:A"),"总价",INDIRECT("'"&amp;A8&amp;"'"&amp;"!B:B"))</f>
        <v>#REF!</v>
      </c>
      <c r="C8" s="1983" t="s">
        <v>2074</v>
      </c>
      <c r="D8" s="2539"/>
      <c r="E8" s="2392" t="e">
        <f t="shared" ca="1" si="0"/>
        <v>#REF!</v>
      </c>
      <c r="F8" s="2539"/>
      <c r="G8" s="2539"/>
      <c r="H8" s="2539"/>
      <c r="I8" s="2539"/>
      <c r="J8" s="2539"/>
      <c r="K8" s="2539"/>
      <c r="L8" s="2539"/>
      <c r="M8" s="2539"/>
      <c r="N8" s="2539"/>
      <c r="O8" s="2539"/>
      <c r="P8" s="2539"/>
    </row>
    <row r="9" spans="1:16" ht="15.6">
      <c r="A9" s="2389"/>
      <c r="B9" s="2382" t="e">
        <f t="shared" ca="1" si="1"/>
        <v>#REF!</v>
      </c>
      <c r="C9" s="1983" t="s">
        <v>2074</v>
      </c>
      <c r="D9" s="2539"/>
      <c r="E9" s="2392" t="e">
        <f t="shared" ca="1" si="0"/>
        <v>#REF!</v>
      </c>
      <c r="F9" s="2539"/>
      <c r="G9" s="2539"/>
      <c r="H9" s="2539"/>
      <c r="I9" s="2539"/>
      <c r="J9" s="2539"/>
      <c r="K9" s="2539"/>
      <c r="L9" s="2539"/>
      <c r="M9" s="2539"/>
      <c r="N9" s="2539"/>
      <c r="O9" s="2539"/>
      <c r="P9" s="2539"/>
    </row>
    <row r="10" spans="1:16" ht="15.6">
      <c r="A10" s="2389"/>
      <c r="B10" s="2382" t="e">
        <f t="shared" ca="1" si="1"/>
        <v>#REF!</v>
      </c>
      <c r="C10" s="1983" t="s">
        <v>2074</v>
      </c>
      <c r="D10" s="2539"/>
      <c r="E10" s="2392" t="e">
        <f t="shared" ca="1" si="0"/>
        <v>#REF!</v>
      </c>
      <c r="F10" s="2539"/>
      <c r="G10" s="2539"/>
      <c r="H10" s="2539"/>
      <c r="I10" s="2539"/>
      <c r="J10" s="2539"/>
      <c r="K10" s="2539"/>
      <c r="L10" s="2539"/>
      <c r="M10" s="2539"/>
      <c r="N10" s="2539"/>
      <c r="O10" s="2539"/>
      <c r="P10" s="2539"/>
    </row>
    <row r="11" spans="1:16" ht="15.6">
      <c r="A11" s="2389"/>
      <c r="B11" s="2382" t="e">
        <f t="shared" ca="1" si="1"/>
        <v>#REF!</v>
      </c>
      <c r="C11" s="1983" t="s">
        <v>2074</v>
      </c>
      <c r="D11" s="2539"/>
      <c r="E11" s="2392" t="e">
        <f t="shared" ca="1" si="0"/>
        <v>#REF!</v>
      </c>
      <c r="F11" s="2539"/>
      <c r="G11" s="2539"/>
      <c r="H11" s="2539"/>
      <c r="I11" s="2539"/>
      <c r="J11" s="2539"/>
      <c r="K11" s="2539"/>
      <c r="L11" s="2539"/>
      <c r="M11" s="2539"/>
      <c r="N11" s="2539"/>
      <c r="O11" s="2539"/>
      <c r="P11" s="2539"/>
    </row>
    <row r="12" spans="1:16" ht="15.6">
      <c r="A12" s="2389"/>
      <c r="B12" s="2382" t="e">
        <f t="shared" ca="1" si="1"/>
        <v>#REF!</v>
      </c>
      <c r="C12" s="1983" t="s">
        <v>2074</v>
      </c>
      <c r="D12" s="2539"/>
      <c r="E12" s="2392" t="e">
        <f t="shared" ca="1" si="0"/>
        <v>#REF!</v>
      </c>
      <c r="F12" s="2539"/>
      <c r="G12" s="2539"/>
      <c r="H12" s="2539"/>
      <c r="I12" s="2539"/>
      <c r="J12" s="2539"/>
      <c r="K12" s="2539"/>
      <c r="L12" s="2539"/>
      <c r="M12" s="2539"/>
      <c r="N12" s="2539"/>
      <c r="O12" s="2539"/>
      <c r="P12" s="2539"/>
    </row>
    <row r="13" spans="1:16" ht="15.6">
      <c r="A13" s="2389"/>
      <c r="B13" s="2382" t="e">
        <f t="shared" ca="1" si="1"/>
        <v>#REF!</v>
      </c>
      <c r="C13" s="1983" t="s">
        <v>2074</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t="e">
        <f>C30</f>
        <v>#DIV/0!</v>
      </c>
      <c r="C2" s="1845" t="s">
        <v>1935</v>
      </c>
      <c r="D2" s="162" t="s">
        <v>1936</v>
      </c>
      <c r="E2" s="3115"/>
      <c r="F2" s="162" t="s">
        <v>1937</v>
      </c>
      <c r="G2" s="163" t="str">
        <f>IF(E2="商业",项目基本情况!B37,IF(E2="办公",项目基本情况!C37,IF(E2="住宅",项目基本情况!D37,IF(E2="工业",项目基本情况!E37,项目基本情况!F37))))</f>
        <v>七级</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58">
        <f>ROUND(SUMPRODUCT((B106:B110=R2)*(C105:N105=G2)*(C106:N110)),4)</f>
        <v>1.5019</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5" t="s">
        <v>1941</v>
      </c>
      <c r="D3" s="162" t="s">
        <v>1942</v>
      </c>
      <c r="E3" s="3113"/>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58">
        <f>ROUND(SUMPRODUCT((B106:B110=R3)*(C105:N105=G2)*(C106:N110)),4)</f>
        <v>1.1838</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6">
      <c r="A4" s="3493"/>
      <c r="B4" s="3494"/>
      <c r="C4" s="3494"/>
      <c r="D4" s="3495"/>
      <c r="E4" s="3495"/>
      <c r="F4" s="3495"/>
      <c r="G4" s="3495"/>
      <c r="H4" s="3495"/>
      <c r="I4" s="3495"/>
      <c r="J4" s="349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58">
        <f>ROUND(SUMPRODUCT((B106:B110=R4)*(C105:N105=G2)*(C106:N110)),4)</f>
        <v>1.0004999999999999</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58">
        <f>ROUND(SUMPRODUCT((B106:B110=R5)*(C105:N105=G2)*(C106:N110)),4)</f>
        <v>0.88239999999999996</v>
      </c>
      <c r="T5" s="3058" t="e">
        <f t="shared" si="0"/>
        <v>#DIV/0!</v>
      </c>
      <c r="U5" s="1129"/>
      <c r="V5" s="3058" t="e">
        <f t="shared" si="1"/>
        <v>#DIV/0!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58">
        <f>ROUND(SUMPRODUCT((B106:B110=R6)*(C105:N105=G2)*(C106:N110)),4)</f>
        <v>0.84799999999999998</v>
      </c>
      <c r="T6" s="3058" t="e">
        <f t="shared" si="0"/>
        <v>#DIV/0!</v>
      </c>
      <c r="U6" s="1129"/>
      <c r="V6" s="3058" t="e">
        <f t="shared" si="1"/>
        <v>#DIV/0!</v>
      </c>
      <c r="W6" s="1132"/>
      <c r="X6" s="1132"/>
      <c r="Y6" s="1132"/>
      <c r="Z6" s="1132"/>
      <c r="AA6" s="1132"/>
      <c r="AB6" s="1132"/>
      <c r="AC6" s="1854"/>
      <c r="AD6" s="1855"/>
      <c r="AE6" s="1855"/>
      <c r="AF6" s="1855"/>
      <c r="AG6" s="1855"/>
      <c r="AH6" s="1855"/>
      <c r="AI6" s="1855"/>
      <c r="AJ6" s="1856"/>
    </row>
    <row r="7" spans="1:36" ht="24.6" thickBot="1">
      <c r="A7" s="3007"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2"/>
      <c r="T7" s="3058" t="e">
        <f t="shared" si="0"/>
        <v>#DIV/0!</v>
      </c>
      <c r="U7" s="1129"/>
      <c r="V7" s="3058" t="e">
        <f t="shared" si="1"/>
        <v>#DIV/0!</v>
      </c>
      <c r="W7" s="1266" t="s">
        <v>1955</v>
      </c>
      <c r="X7" s="1130" t="str">
        <f>G2</f>
        <v>七级</v>
      </c>
      <c r="Y7" s="1130" t="s">
        <v>1956</v>
      </c>
      <c r="Z7" s="1131">
        <f>G3</f>
        <v>0</v>
      </c>
      <c r="AA7" s="1132"/>
      <c r="AB7" s="1132"/>
      <c r="AC7" s="1133"/>
      <c r="AD7" s="1134"/>
      <c r="AE7" s="1134"/>
      <c r="AF7" s="1134"/>
      <c r="AG7" s="1134"/>
      <c r="AH7" s="1134"/>
      <c r="AI7" s="1134"/>
      <c r="AJ7" s="1135"/>
    </row>
    <row r="8" spans="1:36" ht="15">
      <c r="A8" s="3004"/>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58" t="e">
        <f t="shared" si="0"/>
        <v>#DIV/0!</v>
      </c>
      <c r="U8" s="1129"/>
      <c r="V8" s="3058" t="e">
        <f t="shared" si="1"/>
        <v>#DIV/0!</v>
      </c>
      <c r="W8" s="3490" t="s">
        <v>1960</v>
      </c>
      <c r="X8" s="349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4"/>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58" t="e">
        <f t="shared" si="0"/>
        <v>#DIV/0!</v>
      </c>
      <c r="U9" s="1129"/>
      <c r="V9" s="3058" t="e">
        <f t="shared" si="1"/>
        <v>#DIV/0!</v>
      </c>
      <c r="W9" s="3492"/>
      <c r="X9" s="3059" t="s">
        <v>3257</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8" t="e">
        <f t="shared" si="0"/>
        <v>#DIV/0!</v>
      </c>
      <c r="U10" s="1129"/>
      <c r="V10" s="3058" t="e">
        <f t="shared" si="1"/>
        <v>#DIV/0!</v>
      </c>
      <c r="W10" s="3492"/>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8" thickBot="1">
      <c r="A12" s="3007" t="s">
        <v>3229</v>
      </c>
      <c r="B12" s="3008" t="s">
        <v>3230</v>
      </c>
      <c r="C12" s="3009"/>
      <c r="D12" s="3010" t="s">
        <v>3231</v>
      </c>
      <c r="E12" s="3011" t="s">
        <v>3232</v>
      </c>
      <c r="F12" s="3012"/>
      <c r="G12" s="3013"/>
      <c r="H12" s="3013"/>
      <c r="I12" s="3013"/>
      <c r="J12" s="3014"/>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24.6" thickBot="1">
      <c r="A13" s="3007" t="s">
        <v>3233</v>
      </c>
      <c r="B13" s="1877" t="s">
        <v>1982</v>
      </c>
      <c r="C13" s="710">
        <f>ROUND(C16*D16*E16*F16*G16*H16*I16*J16,4)</f>
        <v>0</v>
      </c>
      <c r="D13" s="1878" t="s">
        <v>1983</v>
      </c>
      <c r="E13" s="1879"/>
      <c r="F13" s="1879"/>
      <c r="G13" s="1880"/>
      <c r="H13" s="1880"/>
      <c r="I13" s="1880"/>
      <c r="J13" s="1881"/>
      <c r="K13" s="1055"/>
      <c r="L13" s="3"/>
      <c r="M13" s="4"/>
      <c r="N13" s="3005"/>
      <c r="O13" s="1055"/>
      <c r="P13" s="1055"/>
      <c r="Q13" s="1055"/>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24">
      <c r="A14" s="3003"/>
      <c r="B14" s="1882" t="s">
        <v>1985</v>
      </c>
      <c r="C14" s="1883" t="s">
        <v>1986</v>
      </c>
      <c r="D14" s="1260" t="s">
        <v>1987</v>
      </c>
      <c r="E14" s="27" t="s">
        <v>1988</v>
      </c>
      <c r="F14" s="3015" t="s">
        <v>3234</v>
      </c>
      <c r="G14" s="3015" t="s">
        <v>3234</v>
      </c>
      <c r="H14" s="3015" t="s">
        <v>3234</v>
      </c>
      <c r="I14" s="3015" t="s">
        <v>3234</v>
      </c>
      <c r="J14" s="3015" t="s">
        <v>3234</v>
      </c>
      <c r="K14" s="1055"/>
      <c r="L14" s="1055"/>
      <c r="M14" s="1055"/>
      <c r="N14" s="1055"/>
      <c r="O14" s="1055"/>
      <c r="P14" s="1055"/>
      <c r="Q14" s="1055"/>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4"/>
      <c r="C15" s="1885"/>
      <c r="D15" s="1886"/>
      <c r="E15" s="1887"/>
      <c r="F15" s="1469" t="s">
        <v>3235</v>
      </c>
      <c r="G15" s="1927"/>
      <c r="H15" s="3016"/>
      <c r="I15" s="3017"/>
      <c r="J15" s="3018"/>
      <c r="K15" s="1055"/>
      <c r="L15" s="1055"/>
      <c r="M15" s="1055"/>
      <c r="N15" s="1055"/>
      <c r="O15" s="1055"/>
      <c r="P15" s="1055"/>
      <c r="Q15" s="1055"/>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5"/>
      <c r="L16" s="1843"/>
      <c r="M16" s="1843"/>
      <c r="N16" s="1843"/>
      <c r="O16" s="1843"/>
      <c r="P16" s="1843"/>
      <c r="Q16" s="1055"/>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ht="24">
      <c r="A17" s="3030" t="s">
        <v>3236</v>
      </c>
      <c r="B17" s="3022" t="s">
        <v>3237</v>
      </c>
      <c r="C17" s="3031">
        <f>ROUND(IF(OR(E2="工业",E2="公共服务"),1,IF(AND(E18=0,E19=0),1,IF(AND(E18=J24,E19=G19),0.8,IF(E19=0,1+E17*(-0.2),1+E17*G17*(-0.2))))),4)</f>
        <v>1</v>
      </c>
      <c r="D17" s="3023" t="s">
        <v>3238</v>
      </c>
      <c r="E17" s="3031" t="e">
        <f>ROUND(G18/I18,2)</f>
        <v>#DIV/0!</v>
      </c>
      <c r="F17" s="3023" t="s">
        <v>3241</v>
      </c>
      <c r="G17" s="3031" t="e">
        <f>ROUND(E19/G19,2)</f>
        <v>#DIV/0!</v>
      </c>
      <c r="H17" s="3031"/>
      <c r="I17" s="3031"/>
      <c r="J17" s="3032"/>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3"/>
      <c r="B18" s="2304"/>
      <c r="C18" s="3029"/>
      <c r="D18" s="3024" t="s">
        <v>3239</v>
      </c>
      <c r="E18" s="2351"/>
      <c r="F18" s="3025" t="s">
        <v>3242</v>
      </c>
      <c r="G18" s="3029">
        <f>ROUND(1-(1/(POWER(1+G24,E18))),4)</f>
        <v>0</v>
      </c>
      <c r="H18" s="3025" t="s">
        <v>3244</v>
      </c>
      <c r="I18" s="3029">
        <f>ROUND(1-(1/(POWER(1+G24,J24))),4)</f>
        <v>0</v>
      </c>
      <c r="J18" s="3034"/>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7"/>
    </row>
    <row r="19" spans="1:37" s="1857" customFormat="1" ht="14.4" thickBot="1">
      <c r="A19" s="3035"/>
      <c r="B19" s="3036"/>
      <c r="C19" s="3037"/>
      <c r="D19" s="3037" t="s">
        <v>3240</v>
      </c>
      <c r="E19" s="3038"/>
      <c r="F19" s="3039" t="s">
        <v>3243</v>
      </c>
      <c r="G19" s="3038"/>
      <c r="H19" s="3037"/>
      <c r="I19" s="3037"/>
      <c r="J19" s="3040"/>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0"/>
      <c r="AH19" s="1979"/>
      <c r="AI19" s="561"/>
      <c r="AJ19" s="561"/>
      <c r="AK19" s="1898"/>
    </row>
    <row r="20" spans="1:37" s="1857" customFormat="1" ht="13.8">
      <c r="A20" s="3497" t="s">
        <v>3245</v>
      </c>
      <c r="B20" s="159" t="s">
        <v>1994</v>
      </c>
      <c r="C20" s="3026" t="e">
        <f>ROUND(IF(F21="与级别开发程度一致",0,(G21-E21)/C21),0)</f>
        <v>#DIV/0!</v>
      </c>
      <c r="D20" s="3041" t="s">
        <v>1998</v>
      </c>
      <c r="E20" s="3042"/>
      <c r="F20" s="3503" t="s">
        <v>1995</v>
      </c>
      <c r="G20" s="3504"/>
      <c r="H20" s="3027"/>
      <c r="I20" s="3027"/>
      <c r="J20" s="3028"/>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7" customFormat="1" ht="14.4" thickBot="1">
      <c r="A21" s="3498"/>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315</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7" customFormat="1" ht="15" thickBot="1">
      <c r="A22" s="1995" t="s">
        <v>363</v>
      </c>
      <c r="B22" s="1996" t="s">
        <v>2000</v>
      </c>
      <c r="C22" s="1997">
        <f>SUMIF(修正!C20:C53,E3,修正!E20:E53)</f>
        <v>0</v>
      </c>
      <c r="D22" s="1998"/>
      <c r="E22" s="1999"/>
      <c r="F22" s="1999"/>
      <c r="G22" s="1999"/>
      <c r="H22" s="1999"/>
      <c r="I22" s="1999"/>
      <c r="J22" s="2000"/>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4.6"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45945</v>
      </c>
      <c r="H23" s="3043"/>
      <c r="I23" s="3044" t="str">
        <f>IF(H23="季度增幅（自定义）",SUMIF(N25:N28,E2,O25:O28),"")</f>
        <v/>
      </c>
      <c r="J23" s="3135"/>
      <c r="K23" s="1060"/>
      <c r="L23" s="1896" t="s">
        <v>2004</v>
      </c>
      <c r="M23" s="1240">
        <f>ROUND(SUMIF(地价!B2:G2,E2,地价!B16:G16),0)</f>
        <v>0</v>
      </c>
      <c r="N23" s="1897" t="s">
        <v>2005</v>
      </c>
      <c r="O23" s="718">
        <f>ROUNDDOWN(DATEDIF(E23,G23,"M")/3,0)</f>
        <v>19</v>
      </c>
      <c r="P23" s="1056"/>
      <c r="Q23" s="2547"/>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4.4">
      <c r="A25" s="1906" t="s">
        <v>366</v>
      </c>
      <c r="B25" s="1907" t="s">
        <v>3324</v>
      </c>
      <c r="C25" s="461">
        <f>IF(B25="容积率修正",IF(G3&lt;10,D26,J26),C27)</f>
        <v>0</v>
      </c>
      <c r="D25" s="1908"/>
      <c r="E25" s="1908"/>
      <c r="F25" s="1908"/>
      <c r="G25" s="1908"/>
      <c r="H25" s="1908"/>
      <c r="I25" s="1908"/>
      <c r="J25" s="1909"/>
      <c r="K25" s="1060"/>
      <c r="L25" s="2547"/>
      <c r="M25" s="2547"/>
      <c r="N25" s="1910" t="s">
        <v>2013</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3246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3247</v>
      </c>
      <c r="J26" s="374" t="str">
        <f>IF(G3&gt;=10,D115,"——")</f>
        <v>——</v>
      </c>
      <c r="K26" s="1060"/>
      <c r="L26" s="2547"/>
      <c r="M26" s="2547"/>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0</v>
      </c>
      <c r="D28" s="1893"/>
      <c r="E28" s="1918"/>
      <c r="F28" s="1918"/>
      <c r="G28" s="1918"/>
      <c r="H28" s="1918"/>
      <c r="I28" s="1918"/>
      <c r="J28" s="1919"/>
      <c r="K28" s="1060"/>
      <c r="L28" s="2547"/>
      <c r="M28" s="2547"/>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4" t="s">
        <v>2023</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5"/>
      <c r="L30" s="3050" t="s">
        <v>1936</v>
      </c>
      <c r="M30" s="3051" t="s">
        <v>1990</v>
      </c>
      <c r="N30" s="3051" t="s">
        <v>1991</v>
      </c>
      <c r="O30" s="3051" t="s">
        <v>1992</v>
      </c>
      <c r="P30" s="3051" t="s">
        <v>1993</v>
      </c>
      <c r="Q30" s="3054"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#DIV/0!</v>
      </c>
      <c r="D31" s="1928"/>
      <c r="E31" s="1929"/>
      <c r="F31" s="1930"/>
      <c r="G31" s="1929"/>
      <c r="H31" s="1929"/>
      <c r="I31" s="1929"/>
      <c r="J31" s="1931"/>
      <c r="K31" s="1055"/>
      <c r="L31" s="3052" t="s">
        <v>1996</v>
      </c>
      <c r="M31" s="162">
        <v>0.25</v>
      </c>
      <c r="N31" s="162">
        <v>0.2</v>
      </c>
      <c r="O31" s="162">
        <v>0.15</v>
      </c>
      <c r="P31" s="162">
        <v>0.1</v>
      </c>
      <c r="Q31" s="3047">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3" t="s">
        <v>1999</v>
      </c>
      <c r="M32" s="2350">
        <f>ROUND($E$24*(1+M31),3)</f>
        <v>5.3999999999999999E-2</v>
      </c>
      <c r="N32" s="2350">
        <f>ROUND($E$24*(1+N31),3)</f>
        <v>5.1999999999999998E-2</v>
      </c>
      <c r="O32" s="2350">
        <f>ROUND($E$24*(1+O31),3)</f>
        <v>0.05</v>
      </c>
      <c r="P32" s="2350">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t="e">
        <f>ROUND(C5*C22*C23*C24*C25*C28,0)</f>
        <v>#DIV/0!</v>
      </c>
      <c r="D33" s="1939"/>
      <c r="E33" s="726" t="e">
        <f>ROUND(C33*D33/10000,0)</f>
        <v>#DIV/0!</v>
      </c>
      <c r="F33" s="3045" t="s">
        <v>3249</v>
      </c>
      <c r="G33" s="1940"/>
      <c r="H33" s="1940"/>
      <c r="I33" s="1940"/>
      <c r="J33" s="1941"/>
      <c r="K33" s="1055"/>
      <c r="L33" s="3048" t="s">
        <v>3252</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48" t="s">
        <v>3253</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6"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3254</v>
      </c>
      <c r="L36" s="3136">
        <f ca="1">'数据-取费表'!B40</f>
        <v>3.1899999999999998E-2</v>
      </c>
      <c r="M36" s="2360">
        <f ca="1">ROUND($L$36*(1+M31),3)</f>
        <v>0.04</v>
      </c>
      <c r="N36" s="2360">
        <f ca="1">ROUND($L$36*(1+N31),3)</f>
        <v>3.7999999999999999E-2</v>
      </c>
      <c r="O36" s="2360">
        <f ca="1">ROUND($L$36*(1+O31),3)</f>
        <v>3.6999999999999998E-2</v>
      </c>
      <c r="P36" s="2360">
        <f ca="1">ROUND($L$36*(1+P31),3)</f>
        <v>3.5000000000000003E-2</v>
      </c>
      <c r="Q36" s="2360">
        <f ca="1">ROUND($L$36*(1+Q31),3)</f>
        <v>3.6999999999999998E-2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501"/>
      <c r="B37" s="1954" t="s">
        <v>2036</v>
      </c>
      <c r="C37" s="167" t="e">
        <f>ROUND(D5*C22*C23*C24*C28*F37,0)</f>
        <v>#DIV/0!</v>
      </c>
      <c r="D37" s="1939"/>
      <c r="E37" s="163" t="e">
        <f>ROUND(C37*D37/10000,0)</f>
        <v>#DIV/0!</v>
      </c>
      <c r="F37" s="163">
        <f>SUMIF(修正!A59:A70,G2,修正!B59:B70)</f>
        <v>0.6</v>
      </c>
      <c r="G37" s="163" t="e">
        <f>ROUND(IF(E2="工业",C37*$M$42,C37*$M$41),0)</f>
        <v>#DIV/0!</v>
      </c>
      <c r="H37" s="163">
        <f>D37</f>
        <v>0</v>
      </c>
      <c r="I37" s="163" t="e">
        <f>ROUND(G37*H37/10000,0)</f>
        <v>#DIV/0!</v>
      </c>
      <c r="J37" s="2749"/>
      <c r="K37" s="3056" t="s">
        <v>3255</v>
      </c>
      <c r="L37" s="1963">
        <f ca="1">L36+K38</f>
        <v>3.6899999999999995E-2</v>
      </c>
      <c r="M37" s="2360">
        <f ca="1">ROUND($L$37*(1+M31),3)</f>
        <v>4.5999999999999999E-2</v>
      </c>
      <c r="N37" s="2360">
        <f t="shared" ref="N37:Q37" ca="1" si="3">ROUND($L$37*(1+N31),3)</f>
        <v>4.3999999999999997E-2</v>
      </c>
      <c r="O37" s="2360">
        <f t="shared" ca="1" si="3"/>
        <v>4.2000000000000003E-2</v>
      </c>
      <c r="P37" s="2360">
        <f t="shared" ca="1" si="3"/>
        <v>4.1000000000000002E-2</v>
      </c>
      <c r="Q37" s="2360">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02"/>
      <c r="B38" s="1883" t="s">
        <v>2037</v>
      </c>
      <c r="C38" s="167" t="e">
        <f>ROUND(D5*C22*C23*C24*C28*F38,0)</f>
        <v>#DIV/0!</v>
      </c>
      <c r="D38" s="1939"/>
      <c r="E38" s="163" t="e">
        <f t="shared" ref="E38:E42" si="4">ROUND(C38*D38/10000,0)</f>
        <v>#DIV/0!</v>
      </c>
      <c r="F38" s="163">
        <f>SUMIF(修正!A59:A70,G2,修正!C59:C70)</f>
        <v>0.3</v>
      </c>
      <c r="G38" s="163" t="e">
        <f>ROUND(IF(E2="工业",C38*$M$42,C38*$M$41),0)</f>
        <v>#DIV/0!</v>
      </c>
      <c r="H38" s="163">
        <f t="shared" ref="H38:H42" si="5">D38</f>
        <v>0</v>
      </c>
      <c r="I38" s="163" t="e">
        <f t="shared" ref="I38:I42" si="6">ROUND(G38*H38/10000,0)</f>
        <v>#DIV/0!</v>
      </c>
      <c r="J38" s="2748"/>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502"/>
      <c r="B39" s="1883" t="s">
        <v>3248</v>
      </c>
      <c r="C39" s="167" t="e">
        <f>ROUND(D5*C22*C23*C24*C28*F39,0)</f>
        <v>#DIV/0!</v>
      </c>
      <c r="D39" s="1939"/>
      <c r="E39" s="163" t="e">
        <f t="shared" si="4"/>
        <v>#DIV/0!</v>
      </c>
      <c r="F39" s="163">
        <f>SUMIF(修正!A59:A70,G2,修正!D59:D70)</f>
        <v>0.25</v>
      </c>
      <c r="G39" s="163" t="e">
        <f>ROUND(IF(E2="工业",C39*$M$42,C39*$M$41),0)</f>
        <v>#DIV/0!</v>
      </c>
      <c r="H39" s="163">
        <f t="shared" si="5"/>
        <v>0</v>
      </c>
      <c r="I39" s="163" t="e">
        <f t="shared" si="6"/>
        <v>#DIV/0!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SUMIF(修正!A59:A70,G2,修正!E59:E70)</f>
        <v>0.25</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SUMIF(修正!A59:A70,G2,修正!F59:F70)</f>
        <v>0.25</v>
      </c>
      <c r="G41" s="163" t="e">
        <f>ROUND(IF(E2="工业",C41*$M$42,C41*$M$41),0)</f>
        <v>#DIV/0!</v>
      </c>
      <c r="H41" s="163">
        <f t="shared" si="5"/>
        <v>0</v>
      </c>
      <c r="I41" s="163" t="e">
        <f t="shared" si="6"/>
        <v>#DIV/0!</v>
      </c>
      <c r="J41" s="938"/>
      <c r="L41" s="3057" t="s">
        <v>3256</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t="e">
        <f>ROUND(D5*C22*C23*C44*C28*F42,0)</f>
        <v>#DIV/0!</v>
      </c>
      <c r="D42" s="1944"/>
      <c r="E42" s="179" t="e">
        <f t="shared" si="4"/>
        <v>#DIV/0!</v>
      </c>
      <c r="F42" s="722">
        <f>SUMIF(修正!A59:A70,G2,修正!G59:G70)</f>
        <v>0.15</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2">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3">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2053</v>
      </c>
      <c r="B51" s="1261" t="str">
        <f>估价对象房地状况!C18</f>
        <v>一般</v>
      </c>
      <c r="C51" s="1886"/>
      <c r="D51" s="1001">
        <f t="shared" si="7"/>
        <v>0</v>
      </c>
      <c r="E51" s="702"/>
      <c r="F51" s="1674"/>
      <c r="G51" s="999"/>
      <c r="H51" s="1002" t="str">
        <f t="shared" si="8"/>
        <v>——</v>
      </c>
      <c r="I51" s="3063">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5" t="s">
        <v>3258</v>
      </c>
      <c r="B52" s="1261">
        <f>估价对象房地状况!C19</f>
        <v>0</v>
      </c>
      <c r="C52" s="1886"/>
      <c r="D52" s="1001">
        <f t="shared" si="7"/>
        <v>0</v>
      </c>
      <c r="E52" s="702"/>
      <c r="F52" s="1674"/>
      <c r="G52" s="999"/>
      <c r="H52" s="1002" t="str">
        <f t="shared" si="8"/>
        <v>——</v>
      </c>
      <c r="I52" s="3063">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3">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t="str">
        <f>估价对象房地状况!C24</f>
        <v>次干道-林河南大街</v>
      </c>
      <c r="C54" s="1886"/>
      <c r="D54" s="1001">
        <f t="shared" si="7"/>
        <v>0</v>
      </c>
      <c r="E54" s="702"/>
      <c r="F54" s="1674"/>
      <c r="G54" s="999"/>
      <c r="H54" s="1002" t="str">
        <f t="shared" si="8"/>
        <v>——</v>
      </c>
      <c r="I54" s="3063">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3">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t="str">
        <f>估价对象房地状况!C21</f>
        <v>一般</v>
      </c>
      <c r="C56" s="1886"/>
      <c r="D56" s="1001">
        <f t="shared" si="7"/>
        <v>0</v>
      </c>
      <c r="E56" s="702"/>
      <c r="F56" s="1674"/>
      <c r="G56" s="999"/>
      <c r="H56" s="1002" t="str">
        <f t="shared" si="8"/>
        <v>——</v>
      </c>
      <c r="I56" s="3063">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t="str">
        <f>估价对象房地状况!C22</f>
        <v>七通</v>
      </c>
      <c r="C57" s="1886"/>
      <c r="D57" s="1001">
        <f t="shared" si="7"/>
        <v>0</v>
      </c>
      <c r="E57" s="702"/>
      <c r="F57" s="1674"/>
      <c r="G57" s="999"/>
      <c r="H57" s="1002" t="str">
        <f t="shared" si="8"/>
        <v>——</v>
      </c>
      <c r="I57" s="3063">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2061</v>
      </c>
      <c r="B58" s="1977" t="str">
        <f>估价对象房地状况!C20</f>
        <v>一般</v>
      </c>
      <c r="C58" s="1886"/>
      <c r="D58" s="1001">
        <f t="shared" si="7"/>
        <v>0</v>
      </c>
      <c r="E58" s="703"/>
      <c r="F58" s="1674"/>
      <c r="G58" s="999"/>
      <c r="H58" s="1002" t="str">
        <f t="shared" si="8"/>
        <v>——</v>
      </c>
      <c r="I58" s="3064">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3">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2053</v>
      </c>
      <c r="B62" s="1261" t="str">
        <f>估价对象房地状况!C18</f>
        <v>一般</v>
      </c>
      <c r="C62" s="1886"/>
      <c r="D62" s="1001">
        <f t="shared" si="12"/>
        <v>0</v>
      </c>
      <c r="E62" s="702"/>
      <c r="F62" s="1674"/>
      <c r="G62" s="999"/>
      <c r="H62" s="1002" t="str">
        <f t="shared" si="13"/>
        <v>——</v>
      </c>
      <c r="I62" s="3063">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5" t="s">
        <v>3258</v>
      </c>
      <c r="B63" s="1261">
        <f>估价对象房地状况!C19</f>
        <v>0</v>
      </c>
      <c r="C63" s="1886"/>
      <c r="D63" s="1001">
        <f t="shared" si="12"/>
        <v>0</v>
      </c>
      <c r="E63" s="702"/>
      <c r="F63" s="1674"/>
      <c r="G63" s="999"/>
      <c r="H63" s="1002" t="str">
        <f t="shared" si="13"/>
        <v>——</v>
      </c>
      <c r="I63" s="3063">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3">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t="str">
        <f>估价对象房地状况!C24</f>
        <v>次干道-林河南大街</v>
      </c>
      <c r="C65" s="1886"/>
      <c r="D65" s="1001">
        <f t="shared" si="12"/>
        <v>0</v>
      </c>
      <c r="E65" s="702"/>
      <c r="F65" s="1674"/>
      <c r="G65" s="999"/>
      <c r="H65" s="1002" t="str">
        <f t="shared" si="13"/>
        <v>——</v>
      </c>
      <c r="I65" s="3063">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3">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t="str">
        <f>估价对象房地状况!C21</f>
        <v>一般</v>
      </c>
      <c r="C67" s="1886"/>
      <c r="D67" s="1001">
        <f t="shared" si="12"/>
        <v>0</v>
      </c>
      <c r="E67" s="702"/>
      <c r="F67" s="1674"/>
      <c r="G67" s="999"/>
      <c r="H67" s="1002" t="str">
        <f t="shared" si="13"/>
        <v>——</v>
      </c>
      <c r="I67" s="3063">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t="str">
        <f>估价对象房地状况!C22</f>
        <v>七通</v>
      </c>
      <c r="C68" s="1886"/>
      <c r="D68" s="1001">
        <f t="shared" si="12"/>
        <v>0</v>
      </c>
      <c r="E68" s="702"/>
      <c r="F68" s="1674"/>
      <c r="G68" s="999"/>
      <c r="H68" s="1002" t="str">
        <f t="shared" si="13"/>
        <v>——</v>
      </c>
      <c r="I68" s="3063">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一般</v>
      </c>
      <c r="C69" s="1886"/>
      <c r="D69" s="1001">
        <f t="shared" si="12"/>
        <v>0</v>
      </c>
      <c r="E69" s="703"/>
      <c r="F69" s="1674"/>
      <c r="G69" s="999"/>
      <c r="H69" s="1002" t="str">
        <f t="shared" si="13"/>
        <v>——</v>
      </c>
      <c r="I69" s="3064">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t="str">
        <f>估价对象房地状况!C15</f>
        <v>一般</v>
      </c>
      <c r="C72" s="1886"/>
      <c r="D72" s="1001">
        <f t="shared" ref="D72:D80" si="17">SUMIF($J$71:$N$71,C72,J72:N72)</f>
        <v>0</v>
      </c>
      <c r="E72" s="701">
        <f>ROUND(SUM(D72:D80),4)</f>
        <v>0</v>
      </c>
      <c r="F72" s="1674" t="str">
        <f>IF(E2="住宅",SUMIF(L1:L12,G2,N1:N12),"——")</f>
        <v>——</v>
      </c>
      <c r="G72" s="999"/>
      <c r="H72" s="1002" t="str">
        <f t="shared" ref="H72:H80" si="18">IFERROR(ROUNDDOWN($F$72*I72/2,4),"——")</f>
        <v>——</v>
      </c>
      <c r="I72" s="3063">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一般</v>
      </c>
      <c r="C73" s="1886"/>
      <c r="D73" s="1001">
        <f t="shared" si="17"/>
        <v>0</v>
      </c>
      <c r="E73" s="704"/>
      <c r="F73" s="1674"/>
      <c r="G73" s="999"/>
      <c r="H73" s="1002" t="str">
        <f t="shared" si="18"/>
        <v>——</v>
      </c>
      <c r="I73" s="3063">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5" t="s">
        <v>3258</v>
      </c>
      <c r="B74" s="1261">
        <f>估价对象房地状况!C19</f>
        <v>0</v>
      </c>
      <c r="C74" s="1886"/>
      <c r="D74" s="1001">
        <f t="shared" si="17"/>
        <v>0</v>
      </c>
      <c r="E74" s="704"/>
      <c r="F74" s="1674"/>
      <c r="G74" s="999"/>
      <c r="H74" s="1002" t="str">
        <f t="shared" si="18"/>
        <v>——</v>
      </c>
      <c r="I74" s="3063">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t="str">
        <f>估价对象房地状况!C24</f>
        <v>次干道-林河南大街</v>
      </c>
      <c r="C75" s="1886"/>
      <c r="D75" s="1001">
        <f t="shared" si="17"/>
        <v>0</v>
      </c>
      <c r="E75" s="704"/>
      <c r="F75" s="1674"/>
      <c r="G75" s="999"/>
      <c r="H75" s="1002" t="str">
        <f t="shared" si="18"/>
        <v>——</v>
      </c>
      <c r="I75" s="3063">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一般</v>
      </c>
      <c r="C76" s="1886"/>
      <c r="D76" s="1001">
        <f t="shared" si="17"/>
        <v>0</v>
      </c>
      <c r="E76" s="704"/>
      <c r="F76" s="1674"/>
      <c r="G76" s="999"/>
      <c r="H76" s="1002" t="str">
        <f t="shared" si="18"/>
        <v>——</v>
      </c>
      <c r="I76" s="3063">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t="str">
        <f>估价对象房地状况!C22</f>
        <v>七通</v>
      </c>
      <c r="C77" s="1886"/>
      <c r="D77" s="1001">
        <f t="shared" si="17"/>
        <v>0</v>
      </c>
      <c r="E77" s="704"/>
      <c r="F77" s="1674"/>
      <c r="G77" s="999"/>
      <c r="H77" s="1002" t="str">
        <f t="shared" si="18"/>
        <v>——</v>
      </c>
      <c r="I77" s="3063">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3">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一般</v>
      </c>
      <c r="C79" s="1886"/>
      <c r="D79" s="1001">
        <f t="shared" si="17"/>
        <v>0</v>
      </c>
      <c r="E79" s="704"/>
      <c r="F79" s="1674"/>
      <c r="G79" s="999"/>
      <c r="H79" s="1002" t="str">
        <f t="shared" si="18"/>
        <v>——</v>
      </c>
      <c r="I79" s="3063">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4">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3">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2053</v>
      </c>
      <c r="B84" s="1261">
        <f>估价对象房地状况!G16</f>
        <v>0</v>
      </c>
      <c r="C84" s="1886"/>
      <c r="D84" s="1001">
        <f t="shared" si="22"/>
        <v>0</v>
      </c>
      <c r="E84" s="704"/>
      <c r="F84" s="1674"/>
      <c r="G84" s="999"/>
      <c r="H84" s="1002" t="str">
        <f t="shared" si="23"/>
        <v>——</v>
      </c>
      <c r="I84" s="3063">
        <v>0.3</v>
      </c>
      <c r="J84" s="1000">
        <f t="shared" si="24"/>
        <v>0</v>
      </c>
      <c r="K84" s="1000">
        <f t="shared" si="25"/>
        <v>0</v>
      </c>
      <c r="L84" s="1000">
        <v>0</v>
      </c>
      <c r="M84" s="1000">
        <f t="shared" si="26"/>
        <v>0</v>
      </c>
      <c r="N84" s="1000">
        <f t="shared" si="26"/>
        <v>0</v>
      </c>
      <c r="Z84" s="1844"/>
      <c r="AA84" s="1894"/>
      <c r="AG84" s="1057"/>
      <c r="AK84" s="1894"/>
    </row>
    <row r="85" spans="1:37" ht="48">
      <c r="A85" s="3065" t="s">
        <v>3259</v>
      </c>
      <c r="B85" s="1261">
        <f>估价对象房地状况!G17</f>
        <v>0</v>
      </c>
      <c r="C85" s="1886"/>
      <c r="D85" s="1001">
        <f t="shared" si="22"/>
        <v>0</v>
      </c>
      <c r="E85" s="704"/>
      <c r="F85" s="1674"/>
      <c r="G85" s="999"/>
      <c r="H85" s="1002" t="str">
        <f t="shared" si="23"/>
        <v>——</v>
      </c>
      <c r="I85" s="3063">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3">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3">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3">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3">
        <v>0.06</v>
      </c>
      <c r="J89" s="1000">
        <f t="shared" si="24"/>
        <v>0</v>
      </c>
      <c r="K89" s="1000">
        <f t="shared" si="25"/>
        <v>0</v>
      </c>
      <c r="L89" s="1000">
        <v>0</v>
      </c>
      <c r="M89" s="1000">
        <f t="shared" si="26"/>
        <v>0</v>
      </c>
      <c r="N89" s="1000">
        <f t="shared" si="26"/>
        <v>0</v>
      </c>
    </row>
    <row r="90" spans="1:37" ht="14.4" thickBot="1">
      <c r="A90" s="1976" t="s">
        <v>2072</v>
      </c>
      <c r="B90" s="1981">
        <f>估价对象房地状况!G18</f>
        <v>0</v>
      </c>
      <c r="C90" s="1886"/>
      <c r="D90" s="1001">
        <f t="shared" si="22"/>
        <v>0</v>
      </c>
      <c r="E90" s="705"/>
      <c r="F90" s="1674"/>
      <c r="G90" s="999"/>
      <c r="H90" s="1002" t="str">
        <f t="shared" si="23"/>
        <v>——</v>
      </c>
      <c r="I90" s="3064">
        <v>0.05</v>
      </c>
      <c r="J90" s="1000">
        <f t="shared" si="24"/>
        <v>0</v>
      </c>
      <c r="K90" s="1000">
        <f t="shared" si="25"/>
        <v>0</v>
      </c>
      <c r="L90" s="1000">
        <v>0</v>
      </c>
      <c r="M90" s="1000">
        <f t="shared" si="26"/>
        <v>0</v>
      </c>
      <c r="N90" s="1000">
        <f t="shared" si="26"/>
        <v>0</v>
      </c>
    </row>
    <row r="91" spans="1:37" ht="13.8">
      <c r="A91" s="3073" t="s">
        <v>2603</v>
      </c>
      <c r="B91" s="3074">
        <f>1+E93</f>
        <v>1</v>
      </c>
      <c r="C91" s="3067"/>
      <c r="D91" s="3068"/>
      <c r="E91" s="1674"/>
      <c r="F91" s="1674"/>
      <c r="G91" s="3069"/>
      <c r="H91" s="3070"/>
      <c r="I91" s="3071"/>
      <c r="J91" s="3072"/>
      <c r="K91" s="3072"/>
      <c r="L91" s="3072"/>
      <c r="M91" s="3072"/>
      <c r="N91" s="3072"/>
    </row>
    <row r="92" spans="1:37" ht="25.2">
      <c r="A92" s="3075" t="s">
        <v>3260</v>
      </c>
      <c r="B92" s="2304"/>
      <c r="C92" s="2304" t="s">
        <v>3269</v>
      </c>
      <c r="D92" s="2304" t="s">
        <v>3270</v>
      </c>
      <c r="E92" s="3047" t="s">
        <v>3271</v>
      </c>
      <c r="F92" s="3077" t="s">
        <v>3272</v>
      </c>
      <c r="G92" s="2304" t="s">
        <v>3273</v>
      </c>
      <c r="H92" s="3084" t="s">
        <v>3276</v>
      </c>
      <c r="I92" s="2304" t="s">
        <v>3277</v>
      </c>
      <c r="J92" s="2149" t="s">
        <v>3278</v>
      </c>
      <c r="K92" s="2149" t="s">
        <v>3279</v>
      </c>
      <c r="L92" s="2149" t="s">
        <v>3280</v>
      </c>
      <c r="M92" s="2149" t="s">
        <v>3281</v>
      </c>
      <c r="N92" s="2149" t="s">
        <v>3282</v>
      </c>
    </row>
    <row r="93" spans="1:37" ht="24">
      <c r="A93" s="3065" t="s">
        <v>3261</v>
      </c>
      <c r="B93" s="1220"/>
      <c r="C93" s="1886"/>
      <c r="D93" s="2304">
        <f>SUMIF($J$92:$N$92,C93,J93:N93)</f>
        <v>0</v>
      </c>
      <c r="E93" s="3078">
        <f>ROUND(SUM(D93:D101),4)</f>
        <v>0</v>
      </c>
      <c r="F93" s="1674" t="str">
        <f>IF(E2="公共服务",SUMIF(L1:L12,G2,N1:N12),"——")</f>
        <v>——</v>
      </c>
      <c r="G93" s="3069"/>
      <c r="H93" s="3114" t="str">
        <f>IFERROR(ROUNDDOWN($F$93*I93/2,4),"——")</f>
        <v>——</v>
      </c>
      <c r="I93" s="3063">
        <v>0.25</v>
      </c>
      <c r="J93" s="1911">
        <f t="shared" ref="J93:J101" si="27">K93+$G93</f>
        <v>0</v>
      </c>
      <c r="K93" s="1911">
        <f t="shared" ref="K93:K101" si="28">$L93+$G93</f>
        <v>0</v>
      </c>
      <c r="L93" s="1911">
        <v>0</v>
      </c>
      <c r="M93" s="1911">
        <f t="shared" ref="M93:N101" si="29">L93-$G93</f>
        <v>0</v>
      </c>
      <c r="N93" s="1911">
        <f t="shared" si="29"/>
        <v>0</v>
      </c>
    </row>
    <row r="94" spans="1:37" ht="24">
      <c r="A94" s="3075" t="s">
        <v>3262</v>
      </c>
      <c r="B94" s="3066" t="str">
        <f>估价对象房地状况!C18</f>
        <v>一般</v>
      </c>
      <c r="C94" s="1886"/>
      <c r="D94" s="2304">
        <f t="shared" ref="D94:D101" si="30">SUMIF($J$60:$N$60,C94,J94:N94)</f>
        <v>0</v>
      </c>
      <c r="E94" s="3079"/>
      <c r="F94" s="1674"/>
      <c r="G94" s="3069"/>
      <c r="H94" s="3114" t="str">
        <f>IFERROR(ROUNDDOWN($F$93*I94/2,4),"——")</f>
        <v>——</v>
      </c>
      <c r="I94" s="3063">
        <v>0.26</v>
      </c>
      <c r="J94" s="1911">
        <f t="shared" si="27"/>
        <v>0</v>
      </c>
      <c r="K94" s="1911">
        <f t="shared" si="28"/>
        <v>0</v>
      </c>
      <c r="L94" s="1911">
        <v>0</v>
      </c>
      <c r="M94" s="1911">
        <f t="shared" si="29"/>
        <v>0</v>
      </c>
      <c r="N94" s="1911">
        <f t="shared" si="29"/>
        <v>0</v>
      </c>
    </row>
    <row r="95" spans="1:37" ht="48">
      <c r="A95" s="3065" t="s">
        <v>3258</v>
      </c>
      <c r="B95" s="3066">
        <f>估价对象房地状况!C19</f>
        <v>0</v>
      </c>
      <c r="C95" s="1886"/>
      <c r="D95" s="2304">
        <f t="shared" si="30"/>
        <v>0</v>
      </c>
      <c r="E95" s="3079"/>
      <c r="F95" s="1674"/>
      <c r="G95" s="3069"/>
      <c r="H95" s="3114" t="str">
        <f t="shared" ref="H95:H101" si="31">IFERROR(ROUNDDOWN($F$93*I95/2,4),"——")</f>
        <v>——</v>
      </c>
      <c r="I95" s="3063">
        <v>0.11</v>
      </c>
      <c r="J95" s="1911">
        <f t="shared" si="27"/>
        <v>0</v>
      </c>
      <c r="K95" s="1911">
        <f t="shared" si="28"/>
        <v>0</v>
      </c>
      <c r="L95" s="1911">
        <v>0</v>
      </c>
      <c r="M95" s="1911">
        <f t="shared" si="29"/>
        <v>0</v>
      </c>
      <c r="N95" s="1911">
        <f t="shared" si="29"/>
        <v>0</v>
      </c>
    </row>
    <row r="96" spans="1:37" ht="37.200000000000003">
      <c r="A96" s="3075" t="s">
        <v>3263</v>
      </c>
      <c r="B96" s="3081" t="s">
        <v>3274</v>
      </c>
      <c r="C96" s="1886"/>
      <c r="D96" s="2304">
        <f t="shared" si="30"/>
        <v>0</v>
      </c>
      <c r="E96" s="3079"/>
      <c r="F96" s="1674"/>
      <c r="G96" s="3069"/>
      <c r="H96" s="3114" t="str">
        <f t="shared" si="31"/>
        <v>——</v>
      </c>
      <c r="I96" s="3063">
        <v>0.05</v>
      </c>
      <c r="J96" s="1911">
        <f t="shared" si="27"/>
        <v>0</v>
      </c>
      <c r="K96" s="1911">
        <f t="shared" si="28"/>
        <v>0</v>
      </c>
      <c r="L96" s="1911">
        <v>0</v>
      </c>
      <c r="M96" s="1911">
        <f t="shared" si="29"/>
        <v>0</v>
      </c>
      <c r="N96" s="1911">
        <f t="shared" si="29"/>
        <v>0</v>
      </c>
    </row>
    <row r="97" spans="1:14" ht="24">
      <c r="A97" s="3075" t="s">
        <v>3264</v>
      </c>
      <c r="B97" s="3066" t="str">
        <f>估价对象房地状况!C24</f>
        <v>次干道-林河南大街</v>
      </c>
      <c r="C97" s="1886"/>
      <c r="D97" s="2304">
        <f t="shared" si="30"/>
        <v>0</v>
      </c>
      <c r="E97" s="3079"/>
      <c r="F97" s="1674"/>
      <c r="G97" s="3069"/>
      <c r="H97" s="3114" t="str">
        <f t="shared" si="31"/>
        <v>——</v>
      </c>
      <c r="I97" s="3063">
        <v>0.05</v>
      </c>
      <c r="J97" s="1911">
        <f t="shared" si="27"/>
        <v>0</v>
      </c>
      <c r="K97" s="1911">
        <f t="shared" si="28"/>
        <v>0</v>
      </c>
      <c r="L97" s="1911">
        <v>0</v>
      </c>
      <c r="M97" s="1911">
        <f t="shared" si="29"/>
        <v>0</v>
      </c>
      <c r="N97" s="1911">
        <f t="shared" si="29"/>
        <v>0</v>
      </c>
    </row>
    <row r="98" spans="1:14" ht="36">
      <c r="A98" s="3075" t="s">
        <v>3265</v>
      </c>
      <c r="B98" s="3082" t="s">
        <v>3275</v>
      </c>
      <c r="C98" s="1886"/>
      <c r="D98" s="2304">
        <f t="shared" si="30"/>
        <v>0</v>
      </c>
      <c r="E98" s="3079"/>
      <c r="F98" s="1674"/>
      <c r="G98" s="3069"/>
      <c r="H98" s="3114" t="str">
        <f t="shared" si="31"/>
        <v>——</v>
      </c>
      <c r="I98" s="3063">
        <v>0.06</v>
      </c>
      <c r="J98" s="1911">
        <f t="shared" si="27"/>
        <v>0</v>
      </c>
      <c r="K98" s="1911">
        <f t="shared" si="28"/>
        <v>0</v>
      </c>
      <c r="L98" s="1911">
        <v>0</v>
      </c>
      <c r="M98" s="1911">
        <f t="shared" si="29"/>
        <v>0</v>
      </c>
      <c r="N98" s="1911">
        <f t="shared" si="29"/>
        <v>0</v>
      </c>
    </row>
    <row r="99" spans="1:14" ht="24">
      <c r="A99" s="3075" t="s">
        <v>3266</v>
      </c>
      <c r="B99" s="3066" t="str">
        <f>估价对象房地状况!C21</f>
        <v>一般</v>
      </c>
      <c r="C99" s="1886"/>
      <c r="D99" s="2304">
        <f t="shared" si="30"/>
        <v>0</v>
      </c>
      <c r="E99" s="3079"/>
      <c r="F99" s="1674"/>
      <c r="G99" s="3069"/>
      <c r="H99" s="3114" t="str">
        <f t="shared" si="31"/>
        <v>——</v>
      </c>
      <c r="I99" s="3063">
        <v>0.06</v>
      </c>
      <c r="J99" s="1911">
        <f t="shared" si="27"/>
        <v>0</v>
      </c>
      <c r="K99" s="1911">
        <f t="shared" si="28"/>
        <v>0</v>
      </c>
      <c r="L99" s="1911">
        <v>0</v>
      </c>
      <c r="M99" s="1911">
        <f t="shared" si="29"/>
        <v>0</v>
      </c>
      <c r="N99" s="1911">
        <f t="shared" si="29"/>
        <v>0</v>
      </c>
    </row>
    <row r="100" spans="1:14" ht="24">
      <c r="A100" s="3075" t="s">
        <v>3267</v>
      </c>
      <c r="B100" s="3066" t="str">
        <f>估价对象房地状况!C22</f>
        <v>七通</v>
      </c>
      <c r="C100" s="1886"/>
      <c r="D100" s="2304">
        <f t="shared" si="30"/>
        <v>0</v>
      </c>
      <c r="E100" s="3079"/>
      <c r="F100" s="1674"/>
      <c r="G100" s="3069"/>
      <c r="H100" s="3114" t="str">
        <f t="shared" si="31"/>
        <v>——</v>
      </c>
      <c r="I100" s="3063">
        <v>0.09</v>
      </c>
      <c r="J100" s="1911">
        <f t="shared" si="27"/>
        <v>0</v>
      </c>
      <c r="K100" s="1911">
        <f t="shared" si="28"/>
        <v>0</v>
      </c>
      <c r="L100" s="1911">
        <v>0</v>
      </c>
      <c r="M100" s="1911">
        <f t="shared" si="29"/>
        <v>0</v>
      </c>
      <c r="N100" s="1911">
        <f t="shared" si="29"/>
        <v>0</v>
      </c>
    </row>
    <row r="101" spans="1:14" ht="36.6" thickBot="1">
      <c r="A101" s="3076" t="s">
        <v>3268</v>
      </c>
      <c r="B101" s="3083" t="str">
        <f>估价对象房地状况!C20</f>
        <v>一般</v>
      </c>
      <c r="C101" s="1886"/>
      <c r="D101" s="2304">
        <f t="shared" si="30"/>
        <v>0</v>
      </c>
      <c r="E101" s="3080"/>
      <c r="F101" s="1674"/>
      <c r="G101" s="3069"/>
      <c r="H101" s="3114" t="str">
        <f t="shared" si="31"/>
        <v>——</v>
      </c>
      <c r="I101" s="3064">
        <v>7.0000000000000007E-2</v>
      </c>
      <c r="J101" s="1911">
        <f t="shared" si="27"/>
        <v>0</v>
      </c>
      <c r="K101" s="1911">
        <f t="shared" si="28"/>
        <v>0</v>
      </c>
      <c r="L101" s="1911">
        <v>0</v>
      </c>
      <c r="M101" s="1911">
        <f t="shared" si="29"/>
        <v>0</v>
      </c>
      <c r="N101" s="1911">
        <f t="shared" si="29"/>
        <v>0</v>
      </c>
    </row>
    <row r="103" spans="1:14">
      <c r="A103" s="3499" t="s">
        <v>3283</v>
      </c>
      <c r="B103" s="3499"/>
      <c r="C103" s="3499"/>
      <c r="D103" s="3499"/>
      <c r="E103" s="3499"/>
      <c r="F103" s="3499"/>
      <c r="G103" s="3499"/>
      <c r="H103" s="3499"/>
      <c r="I103" s="3499"/>
      <c r="J103" s="3499"/>
      <c r="K103" s="1666"/>
      <c r="L103" s="1666"/>
      <c r="M103" s="1666"/>
      <c r="N103" s="1666"/>
    </row>
    <row r="104" spans="1:14">
      <c r="A104" s="3500" t="s">
        <v>3284</v>
      </c>
      <c r="B104" s="3500" t="s">
        <v>3285</v>
      </c>
      <c r="C104" s="3085" t="s">
        <v>3286</v>
      </c>
      <c r="D104" s="3086"/>
      <c r="E104" s="3086"/>
      <c r="F104" s="3086"/>
      <c r="G104" s="3086"/>
      <c r="H104" s="3086"/>
      <c r="I104" s="3086"/>
      <c r="J104" s="3087"/>
      <c r="K104" s="3088"/>
      <c r="L104" s="3088"/>
      <c r="M104" s="3088"/>
      <c r="N104" s="3088"/>
    </row>
    <row r="105" spans="1:14">
      <c r="A105" s="3500"/>
      <c r="B105" s="3500"/>
      <c r="C105" s="3089" t="s">
        <v>3287</v>
      </c>
      <c r="D105" s="3089" t="s">
        <v>3288</v>
      </c>
      <c r="E105" s="3089" t="s">
        <v>3289</v>
      </c>
      <c r="F105" s="3089" t="s">
        <v>3290</v>
      </c>
      <c r="G105" s="3089" t="s">
        <v>3291</v>
      </c>
      <c r="H105" s="3089" t="s">
        <v>3292</v>
      </c>
      <c r="I105" s="3089" t="s">
        <v>3293</v>
      </c>
      <c r="J105" s="3089" t="s">
        <v>3294</v>
      </c>
      <c r="K105" s="3089" t="s">
        <v>3295</v>
      </c>
      <c r="L105" s="3089" t="s">
        <v>3296</v>
      </c>
      <c r="M105" s="3089" t="s">
        <v>3297</v>
      </c>
      <c r="N105" s="3089" t="s">
        <v>3298</v>
      </c>
    </row>
    <row r="106" spans="1:14">
      <c r="A106" s="3486" t="s">
        <v>3299</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87"/>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87"/>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87"/>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87"/>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87"/>
      <c r="B111" s="3089" t="s">
        <v>3257</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88"/>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489" t="s">
        <v>3300</v>
      </c>
      <c r="B113" s="3489"/>
      <c r="C113" s="3489"/>
      <c r="D113" s="3489"/>
      <c r="E113" s="3489"/>
      <c r="F113" s="3489"/>
      <c r="G113" s="3489"/>
      <c r="H113" s="3489"/>
      <c r="I113" s="3489"/>
      <c r="J113" s="3489"/>
      <c r="K113" s="3091"/>
      <c r="L113" s="3091"/>
      <c r="M113" s="3091"/>
      <c r="N113" s="3091"/>
    </row>
    <row r="114" spans="1:14">
      <c r="A114" s="3092"/>
      <c r="B114" s="3092"/>
      <c r="C114" s="3092"/>
      <c r="D114" s="3092"/>
      <c r="E114" s="3092"/>
      <c r="F114" s="3092"/>
      <c r="G114" s="3092"/>
      <c r="H114" s="3092"/>
      <c r="I114" s="3092"/>
      <c r="J114" s="3092"/>
      <c r="K114" s="1963"/>
      <c r="L114" s="3092"/>
      <c r="M114" s="3092"/>
      <c r="N114" s="3092"/>
    </row>
    <row r="115" spans="1:14" ht="13.8" thickBot="1">
      <c r="A115" s="3092"/>
      <c r="B115" s="3092"/>
      <c r="C115" s="3092"/>
      <c r="D115" s="3092"/>
      <c r="E115" s="3092"/>
      <c r="F115" s="3092"/>
      <c r="G115" s="3092"/>
      <c r="H115" s="3092"/>
      <c r="I115" s="3092"/>
      <c r="J115" s="3092"/>
      <c r="K115" s="1963"/>
      <c r="L115" s="3092"/>
      <c r="M115" s="3092"/>
      <c r="N115" s="3092"/>
    </row>
    <row r="116" spans="1:14" ht="25.8" thickBot="1">
      <c r="A116" s="3093" t="s">
        <v>3301</v>
      </c>
      <c r="B116" s="3109">
        <f>G3</f>
        <v>0</v>
      </c>
      <c r="C116" s="3094" t="s">
        <v>3302</v>
      </c>
      <c r="D116" s="3095">
        <f>SUMPRODUCT((A118:A122=F116)*(B117:M117=H116)*B118:M122)</f>
        <v>0</v>
      </c>
      <c r="E116" s="162" t="s">
        <v>3303</v>
      </c>
      <c r="F116" s="3096">
        <f>E2</f>
        <v>0</v>
      </c>
      <c r="G116" s="162" t="s">
        <v>3304</v>
      </c>
      <c r="H116" s="3096" t="str">
        <f>G2</f>
        <v>七级</v>
      </c>
      <c r="I116" s="162"/>
      <c r="J116" s="3097"/>
      <c r="K116" s="3097"/>
      <c r="L116" s="3097"/>
      <c r="M116" s="3097"/>
      <c r="N116" s="3092"/>
    </row>
    <row r="117" spans="1:14">
      <c r="A117" s="3098"/>
      <c r="B117" s="3099" t="s">
        <v>3305</v>
      </c>
      <c r="C117" s="3099" t="s">
        <v>3306</v>
      </c>
      <c r="D117" s="3099" t="s">
        <v>3307</v>
      </c>
      <c r="E117" s="3100" t="s">
        <v>3308</v>
      </c>
      <c r="F117" s="3100" t="s">
        <v>3309</v>
      </c>
      <c r="G117" s="3100" t="s">
        <v>3310</v>
      </c>
      <c r="H117" s="3101" t="s">
        <v>3311</v>
      </c>
      <c r="I117" s="3101" t="s">
        <v>3312</v>
      </c>
      <c r="J117" s="3102" t="s">
        <v>3313</v>
      </c>
      <c r="K117" s="3102" t="s">
        <v>3314</v>
      </c>
      <c r="L117" s="3102" t="s">
        <v>3315</v>
      </c>
      <c r="M117" s="3103" t="s">
        <v>3316</v>
      </c>
      <c r="N117" s="3092"/>
    </row>
    <row r="118" spans="1:14">
      <c r="A118" s="3052" t="s">
        <v>3317</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3318</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3319</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3320</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2603</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2585</v>
      </c>
      <c r="B1" s="2806" t="s">
        <v>2586</v>
      </c>
      <c r="C1" s="2806" t="s">
        <v>2587</v>
      </c>
      <c r="D1" s="2806" t="s">
        <v>2588</v>
      </c>
      <c r="E1" s="2806" t="s">
        <v>2589</v>
      </c>
      <c r="F1" s="2806" t="s">
        <v>2590</v>
      </c>
      <c r="G1" s="2806" t="s">
        <v>2591</v>
      </c>
      <c r="H1" s="2806" t="s">
        <v>2592</v>
      </c>
      <c r="I1" s="2806" t="s">
        <v>2593</v>
      </c>
      <c r="J1" s="2806" t="s">
        <v>2594</v>
      </c>
      <c r="K1" s="2806" t="s">
        <v>2595</v>
      </c>
      <c r="L1" s="2806" t="s">
        <v>2596</v>
      </c>
      <c r="M1" s="2807" t="s">
        <v>2597</v>
      </c>
    </row>
    <row r="2" spans="1:13" ht="19.5" customHeight="1">
      <c r="A2" s="2809" t="s">
        <v>2598</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2599</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2600</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2601</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2602</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2603</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2604</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2605</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2606</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2607</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2608</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2609</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2610</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2611</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2612</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2613</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2614</v>
      </c>
      <c r="B18" s="2831"/>
      <c r="C18" s="2832"/>
      <c r="D18" s="2832"/>
      <c r="E18" s="2831"/>
      <c r="F18" s="2832"/>
      <c r="G18" s="2832"/>
    </row>
    <row r="19" spans="1:13" ht="19.5" customHeight="1" thickBot="1">
      <c r="A19" s="2829" t="s">
        <v>2615</v>
      </c>
      <c r="B19" s="2834" t="s">
        <v>2616</v>
      </c>
      <c r="C19" s="2834" t="s">
        <v>2617</v>
      </c>
      <c r="D19" s="2835"/>
      <c r="E19" s="2829" t="s">
        <v>2618</v>
      </c>
      <c r="F19" s="2836"/>
      <c r="G19" s="2836"/>
    </row>
    <row r="20" spans="1:13" ht="19.5" customHeight="1">
      <c r="A20" s="3516" t="s">
        <v>2598</v>
      </c>
      <c r="B20" s="3509" t="s">
        <v>2619</v>
      </c>
      <c r="C20" s="3162" t="s">
        <v>2430</v>
      </c>
      <c r="D20" s="3162"/>
      <c r="E20" s="2839">
        <v>1</v>
      </c>
      <c r="F20" s="2840" t="s">
        <v>2431</v>
      </c>
      <c r="G20" s="2840"/>
    </row>
    <row r="21" spans="1:13" ht="19.5" customHeight="1">
      <c r="A21" s="3517"/>
      <c r="B21" s="3505"/>
      <c r="C21" s="2852" t="s">
        <v>2432</v>
      </c>
      <c r="D21" s="2852"/>
      <c r="E21" s="2843">
        <v>1</v>
      </c>
      <c r="F21" s="2840" t="s">
        <v>2433</v>
      </c>
      <c r="G21" s="2840"/>
    </row>
    <row r="22" spans="1:13" ht="19.5" customHeight="1">
      <c r="A22" s="3517"/>
      <c r="B22" s="3505"/>
      <c r="C22" s="2852" t="s">
        <v>2434</v>
      </c>
      <c r="D22" s="2852"/>
      <c r="E22" s="2843">
        <v>0.9</v>
      </c>
      <c r="F22" s="2840" t="s">
        <v>2435</v>
      </c>
      <c r="G22" s="2840"/>
    </row>
    <row r="23" spans="1:13" ht="19.5" customHeight="1">
      <c r="A23" s="3517"/>
      <c r="B23" s="3505"/>
      <c r="C23" s="2852" t="s">
        <v>2436</v>
      </c>
      <c r="D23" s="2852"/>
      <c r="E23" s="2843">
        <v>0.9</v>
      </c>
      <c r="F23" s="2840" t="s">
        <v>2437</v>
      </c>
      <c r="G23" s="2840"/>
    </row>
    <row r="24" spans="1:13" ht="19.5" customHeight="1">
      <c r="A24" s="3517"/>
      <c r="B24" s="3505"/>
      <c r="C24" s="2852" t="s">
        <v>2438</v>
      </c>
      <c r="D24" s="2852"/>
      <c r="E24" s="2843">
        <v>0.8</v>
      </c>
      <c r="F24" s="2840" t="s">
        <v>2439</v>
      </c>
      <c r="G24" s="2840"/>
    </row>
    <row r="25" spans="1:13" ht="19.5" customHeight="1">
      <c r="A25" s="3517"/>
      <c r="B25" s="3505"/>
      <c r="C25" s="2852" t="s">
        <v>2440</v>
      </c>
      <c r="D25" s="2852"/>
      <c r="E25" s="2843">
        <v>0.8</v>
      </c>
      <c r="F25" s="2840"/>
      <c r="G25" s="2840"/>
    </row>
    <row r="26" spans="1:13" ht="19.5" customHeight="1">
      <c r="A26" s="3517"/>
      <c r="B26" s="3505"/>
      <c r="C26" s="2852" t="s">
        <v>3400</v>
      </c>
      <c r="D26" s="2852"/>
      <c r="E26" s="2843">
        <v>0.43</v>
      </c>
      <c r="F26" s="2840"/>
      <c r="G26" s="2840"/>
    </row>
    <row r="27" spans="1:13" ht="19.5" customHeight="1" thickBot="1">
      <c r="A27" s="3518"/>
      <c r="B27" s="3510"/>
      <c r="C27" s="3158" t="s">
        <v>3401</v>
      </c>
      <c r="D27" s="3158"/>
      <c r="E27" s="2846">
        <f>E26*0.9</f>
        <v>0.38700000000000001</v>
      </c>
      <c r="F27" s="2840" t="s">
        <v>2441</v>
      </c>
      <c r="G27" s="2840"/>
    </row>
    <row r="28" spans="1:13" ht="19.5" customHeight="1" thickBot="1">
      <c r="A28" s="3157" t="s">
        <v>2620</v>
      </c>
      <c r="B28" s="3156" t="s">
        <v>2619</v>
      </c>
      <c r="C28" s="3159" t="s">
        <v>2621</v>
      </c>
      <c r="D28" s="3160"/>
      <c r="E28" s="3161">
        <v>1</v>
      </c>
      <c r="F28" s="2840" t="s">
        <v>2442</v>
      </c>
      <c r="G28" s="2840"/>
    </row>
    <row r="29" spans="1:13" ht="19.5" customHeight="1">
      <c r="A29" s="3511" t="s">
        <v>2622</v>
      </c>
      <c r="B29" s="3514" t="s">
        <v>2603</v>
      </c>
      <c r="C29" s="2837" t="s">
        <v>2443</v>
      </c>
      <c r="D29" s="2838"/>
      <c r="E29" s="2839">
        <v>1</v>
      </c>
      <c r="F29" s="2840" t="s">
        <v>2444</v>
      </c>
      <c r="G29" s="2840"/>
    </row>
    <row r="30" spans="1:13" ht="19.5" customHeight="1">
      <c r="A30" s="3512"/>
      <c r="B30" s="3508"/>
      <c r="C30" s="2841" t="s">
        <v>2445</v>
      </c>
      <c r="D30" s="2842"/>
      <c r="E30" s="2843">
        <v>1</v>
      </c>
      <c r="F30" s="2840" t="s">
        <v>2446</v>
      </c>
      <c r="G30" s="2840"/>
    </row>
    <row r="31" spans="1:13" ht="19.5" customHeight="1">
      <c r="A31" s="3512"/>
      <c r="B31" s="3508"/>
      <c r="C31" s="2841" t="s">
        <v>2447</v>
      </c>
      <c r="D31" s="2842"/>
      <c r="E31" s="2843">
        <v>0.8</v>
      </c>
      <c r="F31" s="2840" t="s">
        <v>2448</v>
      </c>
      <c r="G31" s="2840"/>
    </row>
    <row r="32" spans="1:13" ht="19.5" customHeight="1">
      <c r="A32" s="3512"/>
      <c r="B32" s="3508"/>
      <c r="C32" s="2841" t="s">
        <v>2449</v>
      </c>
      <c r="D32" s="2842"/>
      <c r="E32" s="2843">
        <v>0.8</v>
      </c>
      <c r="F32" s="2840" t="s">
        <v>2450</v>
      </c>
      <c r="G32" s="2840"/>
    </row>
    <row r="33" spans="1:7" ht="19.5" customHeight="1">
      <c r="A33" s="3512"/>
      <c r="B33" s="3508"/>
      <c r="C33" s="2841" t="s">
        <v>2451</v>
      </c>
      <c r="D33" s="2842"/>
      <c r="E33" s="2843">
        <v>0.8</v>
      </c>
      <c r="F33" s="2840" t="s">
        <v>2452</v>
      </c>
      <c r="G33" s="2840"/>
    </row>
    <row r="34" spans="1:7" ht="19.5" customHeight="1">
      <c r="A34" s="3512"/>
      <c r="B34" s="3508"/>
      <c r="C34" s="2841" t="s">
        <v>2453</v>
      </c>
      <c r="D34" s="2842"/>
      <c r="E34" s="2843">
        <v>0.7</v>
      </c>
      <c r="F34" s="2840" t="s">
        <v>2454</v>
      </c>
      <c r="G34" s="2840"/>
    </row>
    <row r="35" spans="1:7" ht="19.5" customHeight="1">
      <c r="A35" s="3512"/>
      <c r="B35" s="3508"/>
      <c r="C35" s="2841" t="s">
        <v>2455</v>
      </c>
      <c r="D35" s="2842"/>
      <c r="E35" s="2843">
        <v>0.8</v>
      </c>
      <c r="F35" s="2840" t="s">
        <v>2456</v>
      </c>
      <c r="G35" s="2840"/>
    </row>
    <row r="36" spans="1:7" ht="19.5" customHeight="1">
      <c r="A36" s="3512"/>
      <c r="B36" s="3508"/>
      <c r="C36" s="2841" t="s">
        <v>2457</v>
      </c>
      <c r="D36" s="2842"/>
      <c r="E36" s="2843">
        <v>0.6</v>
      </c>
      <c r="F36" s="2840" t="s">
        <v>2458</v>
      </c>
      <c r="G36" s="2840"/>
    </row>
    <row r="37" spans="1:7" ht="19.5" customHeight="1">
      <c r="A37" s="3512"/>
      <c r="B37" s="3508"/>
      <c r="C37" s="2841" t="s">
        <v>2459</v>
      </c>
      <c r="D37" s="2842"/>
      <c r="E37" s="2843">
        <v>0.2</v>
      </c>
      <c r="F37" s="2840" t="s">
        <v>2460</v>
      </c>
      <c r="G37" s="2840"/>
    </row>
    <row r="38" spans="1:7" ht="19.5" customHeight="1">
      <c r="A38" s="3512"/>
      <c r="B38" s="3508"/>
      <c r="C38" s="2841" t="s">
        <v>2461</v>
      </c>
      <c r="D38" s="2842"/>
      <c r="E38" s="2843">
        <v>0.2</v>
      </c>
      <c r="F38" s="2840" t="s">
        <v>2462</v>
      </c>
      <c r="G38" s="2840"/>
    </row>
    <row r="39" spans="1:7" ht="19.5" customHeight="1">
      <c r="A39" s="3512"/>
      <c r="B39" s="3506" t="s">
        <v>2623</v>
      </c>
      <c r="C39" s="2841" t="s">
        <v>2463</v>
      </c>
      <c r="D39" s="2842"/>
      <c r="E39" s="2843">
        <v>0.6</v>
      </c>
      <c r="F39" s="2840" t="s">
        <v>2464</v>
      </c>
      <c r="G39" s="2840"/>
    </row>
    <row r="40" spans="1:7" ht="19.5" customHeight="1">
      <c r="A40" s="3512"/>
      <c r="B40" s="3508"/>
      <c r="C40" s="2841" t="s">
        <v>2465</v>
      </c>
      <c r="D40" s="2842"/>
      <c r="E40" s="2843">
        <v>0.6</v>
      </c>
      <c r="F40" s="2840" t="s">
        <v>2466</v>
      </c>
      <c r="G40" s="2840"/>
    </row>
    <row r="41" spans="1:7" ht="19.5" customHeight="1" thickBot="1">
      <c r="A41" s="3513"/>
      <c r="B41" s="3515"/>
      <c r="C41" s="2844" t="s">
        <v>2467</v>
      </c>
      <c r="D41" s="2845"/>
      <c r="E41" s="2846">
        <v>0.6</v>
      </c>
      <c r="F41" s="2840" t="s">
        <v>2468</v>
      </c>
      <c r="G41" s="2840"/>
    </row>
    <row r="42" spans="1:7" ht="19.5" customHeight="1" thickBot="1">
      <c r="A42" s="2847" t="s">
        <v>2600</v>
      </c>
      <c r="B42" s="2848" t="s">
        <v>2600</v>
      </c>
      <c r="C42" s="2849" t="s">
        <v>2624</v>
      </c>
      <c r="D42" s="2850"/>
      <c r="E42" s="2851">
        <v>1</v>
      </c>
      <c r="F42" s="2840" t="s">
        <v>2469</v>
      </c>
      <c r="G42" s="2840"/>
    </row>
    <row r="43" spans="1:7" ht="19.5" customHeight="1">
      <c r="A43" s="3516" t="s">
        <v>2601</v>
      </c>
      <c r="B43" s="3514" t="s">
        <v>2625</v>
      </c>
      <c r="C43" s="2837" t="s">
        <v>2470</v>
      </c>
      <c r="D43" s="2838"/>
      <c r="E43" s="2839">
        <v>1</v>
      </c>
      <c r="F43" s="2840" t="s">
        <v>2471</v>
      </c>
      <c r="G43" s="2840"/>
    </row>
    <row r="44" spans="1:7" ht="19.5" customHeight="1">
      <c r="A44" s="3517"/>
      <c r="B44" s="3508"/>
      <c r="C44" s="2841" t="s">
        <v>2472</v>
      </c>
      <c r="D44" s="2842"/>
      <c r="E44" s="2843">
        <v>1</v>
      </c>
      <c r="F44" s="2840" t="s">
        <v>2473</v>
      </c>
      <c r="G44" s="2840"/>
    </row>
    <row r="45" spans="1:7" ht="19.5" customHeight="1">
      <c r="A45" s="3517"/>
      <c r="B45" s="3507"/>
      <c r="C45" s="2841" t="s">
        <v>2474</v>
      </c>
      <c r="D45" s="2842"/>
      <c r="E45" s="2843">
        <v>1.5</v>
      </c>
      <c r="F45" s="2840" t="s">
        <v>2475</v>
      </c>
      <c r="G45" s="2840"/>
    </row>
    <row r="46" spans="1:7" ht="19.5" customHeight="1">
      <c r="A46" s="3517"/>
      <c r="B46" s="2852" t="s">
        <v>2626</v>
      </c>
      <c r="C46" s="2841" t="s">
        <v>2627</v>
      </c>
      <c r="D46" s="2842"/>
      <c r="E46" s="2843">
        <v>2</v>
      </c>
      <c r="F46" s="2840" t="s">
        <v>2476</v>
      </c>
      <c r="G46" s="2840"/>
    </row>
    <row r="47" spans="1:7" ht="19.5" customHeight="1">
      <c r="A47" s="3517"/>
      <c r="B47" s="3506" t="s">
        <v>2628</v>
      </c>
      <c r="C47" s="2841" t="s">
        <v>2477</v>
      </c>
      <c r="D47" s="2842"/>
      <c r="E47" s="2843">
        <v>1</v>
      </c>
      <c r="F47" s="2840" t="s">
        <v>2478</v>
      </c>
      <c r="G47" s="2840"/>
    </row>
    <row r="48" spans="1:7" ht="19.5" customHeight="1">
      <c r="A48" s="3517"/>
      <c r="B48" s="3508"/>
      <c r="C48" s="2841" t="s">
        <v>2479</v>
      </c>
      <c r="D48" s="2842"/>
      <c r="E48" s="2843">
        <v>1</v>
      </c>
      <c r="F48" s="2840" t="s">
        <v>2480</v>
      </c>
      <c r="G48" s="2840"/>
    </row>
    <row r="49" spans="1:7" ht="19.5" customHeight="1">
      <c r="A49" s="3517"/>
      <c r="B49" s="3508"/>
      <c r="C49" s="2841" t="s">
        <v>2481</v>
      </c>
      <c r="D49" s="2842"/>
      <c r="E49" s="2843">
        <v>1</v>
      </c>
      <c r="F49" s="2840" t="s">
        <v>2482</v>
      </c>
      <c r="G49" s="2840"/>
    </row>
    <row r="50" spans="1:7" ht="19.5" customHeight="1">
      <c r="A50" s="3517"/>
      <c r="B50" s="3508"/>
      <c r="C50" s="2841" t="s">
        <v>2483</v>
      </c>
      <c r="D50" s="2842"/>
      <c r="E50" s="2843">
        <v>1</v>
      </c>
      <c r="F50" s="2840" t="s">
        <v>2484</v>
      </c>
      <c r="G50" s="2840"/>
    </row>
    <row r="51" spans="1:7" ht="19.5" customHeight="1">
      <c r="A51" s="3517"/>
      <c r="B51" s="3508"/>
      <c r="C51" s="2841" t="s">
        <v>2485</v>
      </c>
      <c r="D51" s="2842"/>
      <c r="E51" s="2843">
        <v>1</v>
      </c>
      <c r="F51" s="2840" t="s">
        <v>2486</v>
      </c>
      <c r="G51" s="2840"/>
    </row>
    <row r="52" spans="1:7" ht="19.5" customHeight="1">
      <c r="A52" s="3517"/>
      <c r="B52" s="3508"/>
      <c r="C52" s="2841" t="s">
        <v>2487</v>
      </c>
      <c r="D52" s="2842"/>
      <c r="E52" s="2843">
        <v>1</v>
      </c>
      <c r="F52" s="2840" t="s">
        <v>2488</v>
      </c>
      <c r="G52" s="2840"/>
    </row>
    <row r="53" spans="1:7" ht="19.5" customHeight="1" thickBot="1">
      <c r="A53" s="3518"/>
      <c r="B53" s="3515"/>
      <c r="C53" s="2844" t="s">
        <v>2489</v>
      </c>
      <c r="D53" s="2845"/>
      <c r="E53" s="2846">
        <v>1</v>
      </c>
      <c r="F53" s="2840" t="s">
        <v>2490</v>
      </c>
      <c r="G53" s="2840"/>
    </row>
    <row r="54" spans="1:7" ht="19.5" customHeight="1">
      <c r="A54" s="2853"/>
      <c r="B54" s="2853"/>
      <c r="C54" s="2853"/>
      <c r="D54" s="2853"/>
      <c r="E54" s="2853"/>
      <c r="F54" s="2853"/>
      <c r="G54" s="2853"/>
    </row>
    <row r="56" spans="1:7" ht="19.5" customHeight="1">
      <c r="A56" s="2854"/>
      <c r="B56" s="2826" t="s">
        <v>2629</v>
      </c>
      <c r="C56" s="2826" t="s">
        <v>2629</v>
      </c>
      <c r="D56" s="2826" t="s">
        <v>2629</v>
      </c>
      <c r="E56" s="2829" t="s">
        <v>2629</v>
      </c>
      <c r="F56" s="2829" t="s">
        <v>2630</v>
      </c>
      <c r="G56" s="2829" t="s">
        <v>2631</v>
      </c>
    </row>
    <row r="57" spans="1:7" ht="19.5" customHeight="1">
      <c r="A57" s="2855"/>
      <c r="B57" s="2829" t="s">
        <v>2598</v>
      </c>
      <c r="C57" s="2829" t="s">
        <v>2598</v>
      </c>
      <c r="D57" s="2829" t="s">
        <v>2598</v>
      </c>
      <c r="E57" s="2826" t="s">
        <v>2599</v>
      </c>
      <c r="F57" s="2826" t="s">
        <v>2601</v>
      </c>
      <c r="G57" s="2826" t="s">
        <v>2632</v>
      </c>
    </row>
    <row r="58" spans="1:7" ht="19.5" customHeight="1">
      <c r="A58" s="2856"/>
      <c r="B58" s="2826">
        <v>1</v>
      </c>
      <c r="C58" s="2826">
        <v>2</v>
      </c>
      <c r="D58" s="2826">
        <v>3</v>
      </c>
      <c r="E58" s="2857" t="s">
        <v>2633</v>
      </c>
      <c r="F58" s="2857" t="s">
        <v>2633</v>
      </c>
      <c r="G58" s="2857" t="s">
        <v>2633</v>
      </c>
    </row>
    <row r="59" spans="1:7" ht="19.5" customHeight="1">
      <c r="A59" s="2858" t="s">
        <v>2586</v>
      </c>
      <c r="B59" s="2826">
        <v>0.7</v>
      </c>
      <c r="C59" s="2826">
        <v>0.4</v>
      </c>
      <c r="D59" s="2826">
        <v>0.3</v>
      </c>
      <c r="E59" s="2857">
        <v>0.3</v>
      </c>
      <c r="F59" s="2826">
        <v>0.3</v>
      </c>
      <c r="G59" s="2826">
        <v>0.2</v>
      </c>
    </row>
    <row r="60" spans="1:7" ht="19.5" customHeight="1">
      <c r="A60" s="2858" t="s">
        <v>2587</v>
      </c>
      <c r="B60" s="2826">
        <v>0.7</v>
      </c>
      <c r="C60" s="2826">
        <v>0.4</v>
      </c>
      <c r="D60" s="2826">
        <v>0.3</v>
      </c>
      <c r="E60" s="2826">
        <v>0.3</v>
      </c>
      <c r="F60" s="2826">
        <v>0.3</v>
      </c>
      <c r="G60" s="2826">
        <v>0.2</v>
      </c>
    </row>
    <row r="61" spans="1:7" ht="19.5" customHeight="1">
      <c r="A61" s="2858" t="s">
        <v>2588</v>
      </c>
      <c r="B61" s="2826">
        <v>0.6</v>
      </c>
      <c r="C61" s="2826">
        <v>0.3</v>
      </c>
      <c r="D61" s="2826">
        <v>0.25</v>
      </c>
      <c r="E61" s="2826">
        <v>0.25</v>
      </c>
      <c r="F61" s="2826">
        <v>0.25</v>
      </c>
      <c r="G61" s="2826">
        <v>0.15</v>
      </c>
    </row>
    <row r="62" spans="1:7" ht="19.5" customHeight="1">
      <c r="A62" s="2858" t="s">
        <v>2589</v>
      </c>
      <c r="B62" s="2826">
        <v>0.6</v>
      </c>
      <c r="C62" s="2826">
        <v>0.3</v>
      </c>
      <c r="D62" s="2826">
        <v>0.25</v>
      </c>
      <c r="E62" s="2826">
        <v>0.25</v>
      </c>
      <c r="F62" s="2826">
        <v>0.25</v>
      </c>
      <c r="G62" s="2826">
        <v>0.15</v>
      </c>
    </row>
    <row r="63" spans="1:7" ht="19.5" customHeight="1">
      <c r="A63" s="2858" t="s">
        <v>2590</v>
      </c>
      <c r="B63" s="2826">
        <v>0.6</v>
      </c>
      <c r="C63" s="2826">
        <v>0.3</v>
      </c>
      <c r="D63" s="2826">
        <v>0.25</v>
      </c>
      <c r="E63" s="2826">
        <v>0.25</v>
      </c>
      <c r="F63" s="2826">
        <v>0.25</v>
      </c>
      <c r="G63" s="2826">
        <v>0.15</v>
      </c>
    </row>
    <row r="64" spans="1:7" ht="19.5" customHeight="1">
      <c r="A64" s="2858" t="s">
        <v>2591</v>
      </c>
      <c r="B64" s="2826">
        <v>0.6</v>
      </c>
      <c r="C64" s="2826">
        <v>0.3</v>
      </c>
      <c r="D64" s="2826">
        <v>0.25</v>
      </c>
      <c r="E64" s="2826">
        <v>0.25</v>
      </c>
      <c r="F64" s="2826">
        <v>0.25</v>
      </c>
      <c r="G64" s="2826">
        <v>0.15</v>
      </c>
    </row>
    <row r="65" spans="1:7" ht="19.5" customHeight="1">
      <c r="A65" s="2858" t="s">
        <v>2592</v>
      </c>
      <c r="B65" s="2826">
        <v>0.6</v>
      </c>
      <c r="C65" s="2826">
        <v>0.3</v>
      </c>
      <c r="D65" s="2826">
        <v>0.25</v>
      </c>
      <c r="E65" s="2826">
        <v>0.25</v>
      </c>
      <c r="F65" s="2826">
        <v>0.25</v>
      </c>
      <c r="G65" s="2826">
        <v>0.15</v>
      </c>
    </row>
    <row r="66" spans="1:7" ht="19.5" customHeight="1">
      <c r="A66" s="2858" t="s">
        <v>2593</v>
      </c>
      <c r="B66" s="2826">
        <v>0.5</v>
      </c>
      <c r="C66" s="2826">
        <v>0.2</v>
      </c>
      <c r="D66" s="2826">
        <v>0.2</v>
      </c>
      <c r="E66" s="2826">
        <v>0.2</v>
      </c>
      <c r="F66" s="2826">
        <v>0.2</v>
      </c>
      <c r="G66" s="2826">
        <v>0.1</v>
      </c>
    </row>
    <row r="67" spans="1:7" ht="19.5" customHeight="1">
      <c r="A67" s="2858" t="s">
        <v>2594</v>
      </c>
      <c r="B67" s="2826">
        <v>0.5</v>
      </c>
      <c r="C67" s="2826">
        <v>0.2</v>
      </c>
      <c r="D67" s="2826">
        <v>0.2</v>
      </c>
      <c r="E67" s="2826">
        <v>0.2</v>
      </c>
      <c r="F67" s="2826">
        <v>0.2</v>
      </c>
      <c r="G67" s="2826">
        <v>0.1</v>
      </c>
    </row>
    <row r="68" spans="1:7" ht="19.5" customHeight="1">
      <c r="A68" s="2858" t="s">
        <v>2595</v>
      </c>
      <c r="B68" s="2826">
        <v>0.5</v>
      </c>
      <c r="C68" s="2826">
        <v>0.2</v>
      </c>
      <c r="D68" s="2826">
        <v>0.2</v>
      </c>
      <c r="E68" s="2826">
        <v>0.2</v>
      </c>
      <c r="F68" s="2826">
        <v>0.2</v>
      </c>
      <c r="G68" s="2826">
        <v>0.1</v>
      </c>
    </row>
    <row r="69" spans="1:7" ht="19.5" customHeight="1">
      <c r="A69" s="2858" t="s">
        <v>2596</v>
      </c>
      <c r="B69" s="2826">
        <v>0.5</v>
      </c>
      <c r="C69" s="2826">
        <v>0.2</v>
      </c>
      <c r="D69" s="2826">
        <v>0.2</v>
      </c>
      <c r="E69" s="2826">
        <v>0.2</v>
      </c>
      <c r="F69" s="2826">
        <v>0.2</v>
      </c>
      <c r="G69" s="2826">
        <v>0.1</v>
      </c>
    </row>
    <row r="70" spans="1:7" ht="19.5" customHeight="1">
      <c r="A70" s="2858" t="s">
        <v>2597</v>
      </c>
      <c r="B70" s="2826">
        <v>0.5</v>
      </c>
      <c r="C70" s="2826">
        <v>0.2</v>
      </c>
      <c r="D70" s="2826">
        <v>0.2</v>
      </c>
      <c r="E70" s="2826">
        <v>0.2</v>
      </c>
      <c r="F70" s="2826">
        <v>0.2</v>
      </c>
      <c r="G70" s="2826">
        <v>0.1</v>
      </c>
    </row>
    <row r="72" spans="1:7" ht="19.5" customHeight="1">
      <c r="A72" s="2840"/>
      <c r="B72" s="2859"/>
      <c r="C72" s="2859"/>
      <c r="D72" s="2859" t="s">
        <v>2634</v>
      </c>
      <c r="E72" s="2859"/>
      <c r="F72" s="2859"/>
    </row>
    <row r="73" spans="1:7" ht="19.5" customHeight="1">
      <c r="A73" s="2852" t="s">
        <v>2635</v>
      </c>
      <c r="B73" s="2852" t="s">
        <v>2636</v>
      </c>
      <c r="C73" s="2852" t="s">
        <v>2637</v>
      </c>
      <c r="D73" s="2852" t="s">
        <v>2638</v>
      </c>
      <c r="E73" s="2852" t="s">
        <v>2639</v>
      </c>
      <c r="F73" s="2852" t="s">
        <v>2640</v>
      </c>
    </row>
    <row r="74" spans="1:7" ht="14.4">
      <c r="A74" s="2852"/>
      <c r="B74" s="2852"/>
      <c r="C74" s="2852" t="s">
        <v>2641</v>
      </c>
      <c r="D74" s="2852"/>
      <c r="E74" s="2852" t="s">
        <v>2612</v>
      </c>
      <c r="F74" s="2852" t="s">
        <v>2612</v>
      </c>
    </row>
    <row r="75" spans="1:7" ht="14.4">
      <c r="A75" s="2852">
        <v>1</v>
      </c>
      <c r="B75" s="3506" t="s">
        <v>2642</v>
      </c>
      <c r="C75" s="2826" t="s">
        <v>2643</v>
      </c>
      <c r="D75" s="2826" t="s">
        <v>2644</v>
      </c>
      <c r="E75" s="2852">
        <v>0.2</v>
      </c>
      <c r="F75" s="2852">
        <v>25</v>
      </c>
    </row>
    <row r="76" spans="1:7" ht="24">
      <c r="A76" s="2852">
        <v>2</v>
      </c>
      <c r="B76" s="3508"/>
      <c r="C76" s="2826" t="s">
        <v>2645</v>
      </c>
      <c r="D76" s="2826" t="s">
        <v>2646</v>
      </c>
      <c r="E76" s="2852">
        <v>0.2</v>
      </c>
      <c r="F76" s="2852">
        <v>25</v>
      </c>
    </row>
    <row r="77" spans="1:7" ht="24">
      <c r="A77" s="2852">
        <v>3</v>
      </c>
      <c r="B77" s="3508"/>
      <c r="C77" s="2826" t="s">
        <v>2647</v>
      </c>
      <c r="D77" s="2826" t="s">
        <v>2648</v>
      </c>
      <c r="E77" s="2852">
        <v>0.2</v>
      </c>
      <c r="F77" s="2852">
        <v>25</v>
      </c>
    </row>
    <row r="78" spans="1:7" ht="14.4">
      <c r="A78" s="2852">
        <v>4</v>
      </c>
      <c r="B78" s="3508"/>
      <c r="C78" s="2826" t="s">
        <v>2649</v>
      </c>
      <c r="D78" s="2826" t="s">
        <v>2650</v>
      </c>
      <c r="E78" s="2852">
        <v>0.15</v>
      </c>
      <c r="F78" s="2852">
        <v>20</v>
      </c>
    </row>
    <row r="79" spans="1:7" ht="24">
      <c r="A79" s="2852">
        <v>5</v>
      </c>
      <c r="B79" s="3508"/>
      <c r="C79" s="2826" t="s">
        <v>2651</v>
      </c>
      <c r="D79" s="2826" t="s">
        <v>2652</v>
      </c>
      <c r="E79" s="2852">
        <v>0.15</v>
      </c>
      <c r="F79" s="2852">
        <v>20</v>
      </c>
    </row>
    <row r="80" spans="1:7" ht="24">
      <c r="A80" s="2852">
        <v>6</v>
      </c>
      <c r="B80" s="3508"/>
      <c r="C80" s="2826" t="s">
        <v>2653</v>
      </c>
      <c r="D80" s="2826" t="s">
        <v>2654</v>
      </c>
      <c r="E80" s="2852">
        <v>0.15</v>
      </c>
      <c r="F80" s="2852">
        <v>20</v>
      </c>
    </row>
    <row r="81" spans="1:6" ht="24">
      <c r="A81" s="2852">
        <v>7</v>
      </c>
      <c r="B81" s="3508"/>
      <c r="C81" s="2826" t="s">
        <v>2655</v>
      </c>
      <c r="D81" s="2826" t="s">
        <v>2656</v>
      </c>
      <c r="E81" s="2852">
        <v>0.15</v>
      </c>
      <c r="F81" s="2852">
        <v>20</v>
      </c>
    </row>
    <row r="82" spans="1:6" ht="24">
      <c r="A82" s="2852">
        <v>8</v>
      </c>
      <c r="B82" s="3508"/>
      <c r="C82" s="2826" t="s">
        <v>2657</v>
      </c>
      <c r="D82" s="2826" t="s">
        <v>2658</v>
      </c>
      <c r="E82" s="2852">
        <v>0.1</v>
      </c>
      <c r="F82" s="2852">
        <v>15</v>
      </c>
    </row>
    <row r="83" spans="1:6" ht="24">
      <c r="A83" s="2852">
        <v>9</v>
      </c>
      <c r="B83" s="3508"/>
      <c r="C83" s="2826" t="s">
        <v>2659</v>
      </c>
      <c r="D83" s="2826" t="s">
        <v>2660</v>
      </c>
      <c r="E83" s="2852">
        <v>0.1</v>
      </c>
      <c r="F83" s="2852">
        <v>15</v>
      </c>
    </row>
    <row r="84" spans="1:6" ht="24">
      <c r="A84" s="2852">
        <v>10</v>
      </c>
      <c r="B84" s="3508"/>
      <c r="C84" s="2826" t="s">
        <v>2661</v>
      </c>
      <c r="D84" s="2826" t="s">
        <v>2662</v>
      </c>
      <c r="E84" s="2852">
        <v>0.1</v>
      </c>
      <c r="F84" s="2852">
        <v>15</v>
      </c>
    </row>
    <row r="85" spans="1:6" ht="24">
      <c r="A85" s="2852">
        <v>11</v>
      </c>
      <c r="B85" s="3508"/>
      <c r="C85" s="2826" t="s">
        <v>2663</v>
      </c>
      <c r="D85" s="2826" t="s">
        <v>2664</v>
      </c>
      <c r="E85" s="2852">
        <v>0.1</v>
      </c>
      <c r="F85" s="2852">
        <v>15</v>
      </c>
    </row>
    <row r="86" spans="1:6" ht="24">
      <c r="A86" s="2852">
        <v>12</v>
      </c>
      <c r="B86" s="3508"/>
      <c r="C86" s="2826" t="s">
        <v>2665</v>
      </c>
      <c r="D86" s="2826" t="s">
        <v>2666</v>
      </c>
      <c r="E86" s="2852">
        <v>0.1</v>
      </c>
      <c r="F86" s="2852">
        <v>15</v>
      </c>
    </row>
    <row r="87" spans="1:6" ht="24">
      <c r="A87" s="2852">
        <v>13</v>
      </c>
      <c r="B87" s="3508"/>
      <c r="C87" s="2826" t="s">
        <v>2667</v>
      </c>
      <c r="D87" s="2826" t="s">
        <v>2668</v>
      </c>
      <c r="E87" s="2852">
        <v>0.1</v>
      </c>
      <c r="F87" s="2852">
        <v>15</v>
      </c>
    </row>
    <row r="88" spans="1:6" ht="24">
      <c r="A88" s="2852">
        <v>14</v>
      </c>
      <c r="B88" s="3508"/>
      <c r="C88" s="2826" t="s">
        <v>2669</v>
      </c>
      <c r="D88" s="2826" t="s">
        <v>2670</v>
      </c>
      <c r="E88" s="2852">
        <v>0.1</v>
      </c>
      <c r="F88" s="2852">
        <v>15</v>
      </c>
    </row>
    <row r="89" spans="1:6" ht="24">
      <c r="A89" s="2852">
        <v>15</v>
      </c>
      <c r="B89" s="3508"/>
      <c r="C89" s="2826" t="s">
        <v>2671</v>
      </c>
      <c r="D89" s="2826" t="s">
        <v>2672</v>
      </c>
      <c r="E89" s="2852">
        <v>0.1</v>
      </c>
      <c r="F89" s="2852">
        <v>15</v>
      </c>
    </row>
    <row r="90" spans="1:6" ht="24">
      <c r="A90" s="2852">
        <v>16</v>
      </c>
      <c r="B90" s="3508"/>
      <c r="C90" s="2826" t="s">
        <v>2673</v>
      </c>
      <c r="D90" s="2826" t="s">
        <v>2674</v>
      </c>
      <c r="E90" s="2852">
        <v>0.1</v>
      </c>
      <c r="F90" s="2852">
        <v>15</v>
      </c>
    </row>
    <row r="91" spans="1:6" ht="24">
      <c r="A91" s="2852">
        <v>17</v>
      </c>
      <c r="B91" s="3507"/>
      <c r="C91" s="2826" t="s">
        <v>2675</v>
      </c>
      <c r="D91" s="2826" t="s">
        <v>2676</v>
      </c>
      <c r="E91" s="2852">
        <v>0.1</v>
      </c>
      <c r="F91" s="2852">
        <v>15</v>
      </c>
    </row>
    <row r="92" spans="1:6" ht="14.4">
      <c r="A92" s="2852">
        <v>18</v>
      </c>
      <c r="B92" s="3506" t="s">
        <v>2677</v>
      </c>
      <c r="C92" s="2826" t="s">
        <v>2678</v>
      </c>
      <c r="D92" s="2826" t="s">
        <v>2679</v>
      </c>
      <c r="E92" s="2852">
        <v>0.2</v>
      </c>
      <c r="F92" s="2852">
        <v>25</v>
      </c>
    </row>
    <row r="93" spans="1:6" ht="24">
      <c r="A93" s="2852">
        <v>19</v>
      </c>
      <c r="B93" s="3508"/>
      <c r="C93" s="2826" t="s">
        <v>2680</v>
      </c>
      <c r="D93" s="2826" t="s">
        <v>2681</v>
      </c>
      <c r="E93" s="2852">
        <v>0.2</v>
      </c>
      <c r="F93" s="2852">
        <v>25</v>
      </c>
    </row>
    <row r="94" spans="1:6" ht="14.4">
      <c r="A94" s="2852">
        <v>20</v>
      </c>
      <c r="B94" s="3508"/>
      <c r="C94" s="2826" t="s">
        <v>2682</v>
      </c>
      <c r="D94" s="2826" t="s">
        <v>2683</v>
      </c>
      <c r="E94" s="2852">
        <v>0.15</v>
      </c>
      <c r="F94" s="2852">
        <v>20</v>
      </c>
    </row>
    <row r="95" spans="1:6" ht="24">
      <c r="A95" s="2852">
        <v>21</v>
      </c>
      <c r="B95" s="3508"/>
      <c r="C95" s="2826" t="s">
        <v>2684</v>
      </c>
      <c r="D95" s="2826" t="s">
        <v>2685</v>
      </c>
      <c r="E95" s="2852">
        <v>0.15</v>
      </c>
      <c r="F95" s="2852">
        <v>20</v>
      </c>
    </row>
    <row r="96" spans="1:6" ht="24">
      <c r="A96" s="2852">
        <v>22</v>
      </c>
      <c r="B96" s="3508"/>
      <c r="C96" s="2826" t="s">
        <v>2686</v>
      </c>
      <c r="D96" s="2826" t="s">
        <v>2687</v>
      </c>
      <c r="E96" s="2852">
        <v>0.15</v>
      </c>
      <c r="F96" s="2852">
        <v>20</v>
      </c>
    </row>
    <row r="97" spans="1:6" ht="36">
      <c r="A97" s="2852">
        <v>23</v>
      </c>
      <c r="B97" s="3508"/>
      <c r="C97" s="2826" t="s">
        <v>2688</v>
      </c>
      <c r="D97" s="2826" t="s">
        <v>2689</v>
      </c>
      <c r="E97" s="2852">
        <v>0.15</v>
      </c>
      <c r="F97" s="2852">
        <v>20</v>
      </c>
    </row>
    <row r="98" spans="1:6" ht="24">
      <c r="A98" s="2852">
        <v>24</v>
      </c>
      <c r="B98" s="3508"/>
      <c r="C98" s="2826" t="s">
        <v>2690</v>
      </c>
      <c r="D98" s="2826" t="s">
        <v>2691</v>
      </c>
      <c r="E98" s="2852">
        <v>0.1</v>
      </c>
      <c r="F98" s="2852">
        <v>15</v>
      </c>
    </row>
    <row r="99" spans="1:6" ht="24">
      <c r="A99" s="2852">
        <v>25</v>
      </c>
      <c r="B99" s="3508"/>
      <c r="C99" s="2826" t="s">
        <v>2692</v>
      </c>
      <c r="D99" s="2826" t="s">
        <v>2693</v>
      </c>
      <c r="E99" s="2852">
        <v>0.1</v>
      </c>
      <c r="F99" s="2852">
        <v>15</v>
      </c>
    </row>
    <row r="100" spans="1:6" ht="24">
      <c r="A100" s="2852">
        <v>26</v>
      </c>
      <c r="B100" s="3508"/>
      <c r="C100" s="2826" t="s">
        <v>2694</v>
      </c>
      <c r="D100" s="2826" t="s">
        <v>2695</v>
      </c>
      <c r="E100" s="2852">
        <v>0.1</v>
      </c>
      <c r="F100" s="2852">
        <v>15</v>
      </c>
    </row>
    <row r="101" spans="1:6" ht="24">
      <c r="A101" s="2852">
        <v>27</v>
      </c>
      <c r="B101" s="3508"/>
      <c r="C101" s="2826" t="s">
        <v>2696</v>
      </c>
      <c r="D101" s="2826" t="s">
        <v>2697</v>
      </c>
      <c r="E101" s="2852">
        <v>0.1</v>
      </c>
      <c r="F101" s="2852">
        <v>15</v>
      </c>
    </row>
    <row r="102" spans="1:6" ht="24">
      <c r="A102" s="2852">
        <v>28</v>
      </c>
      <c r="B102" s="3508"/>
      <c r="C102" s="2826" t="s">
        <v>2698</v>
      </c>
      <c r="D102" s="2826" t="s">
        <v>2699</v>
      </c>
      <c r="E102" s="2852">
        <v>0.1</v>
      </c>
      <c r="F102" s="2852">
        <v>15</v>
      </c>
    </row>
    <row r="103" spans="1:6" ht="24">
      <c r="A103" s="2852">
        <v>29</v>
      </c>
      <c r="B103" s="3508"/>
      <c r="C103" s="2826" t="s">
        <v>2700</v>
      </c>
      <c r="D103" s="2826" t="s">
        <v>2701</v>
      </c>
      <c r="E103" s="2852">
        <v>0.1</v>
      </c>
      <c r="F103" s="2852">
        <v>15</v>
      </c>
    </row>
    <row r="104" spans="1:6" ht="24">
      <c r="A104" s="2852">
        <v>30</v>
      </c>
      <c r="B104" s="3508"/>
      <c r="C104" s="2826" t="s">
        <v>2702</v>
      </c>
      <c r="D104" s="2826" t="s">
        <v>2703</v>
      </c>
      <c r="E104" s="2852">
        <v>0.1</v>
      </c>
      <c r="F104" s="2852">
        <v>15</v>
      </c>
    </row>
    <row r="105" spans="1:6" ht="24">
      <c r="A105" s="2852">
        <v>31</v>
      </c>
      <c r="B105" s="3508"/>
      <c r="C105" s="2826" t="s">
        <v>2704</v>
      </c>
      <c r="D105" s="2826" t="s">
        <v>2705</v>
      </c>
      <c r="E105" s="2852">
        <v>0.1</v>
      </c>
      <c r="F105" s="2852">
        <v>15</v>
      </c>
    </row>
    <row r="106" spans="1:6" ht="24">
      <c r="A106" s="2852">
        <v>32</v>
      </c>
      <c r="B106" s="3508"/>
      <c r="C106" s="2826" t="s">
        <v>2706</v>
      </c>
      <c r="D106" s="2826" t="s">
        <v>2707</v>
      </c>
      <c r="E106" s="2852">
        <v>0.1</v>
      </c>
      <c r="F106" s="2852">
        <v>15</v>
      </c>
    </row>
    <row r="107" spans="1:6" ht="24">
      <c r="A107" s="2852">
        <v>33</v>
      </c>
      <c r="B107" s="3508"/>
      <c r="C107" s="2826" t="s">
        <v>2708</v>
      </c>
      <c r="D107" s="2826" t="s">
        <v>2709</v>
      </c>
      <c r="E107" s="2852">
        <v>0.1</v>
      </c>
      <c r="F107" s="2852">
        <v>15</v>
      </c>
    </row>
    <row r="108" spans="1:6" ht="24">
      <c r="A108" s="2852">
        <v>34</v>
      </c>
      <c r="B108" s="3507"/>
      <c r="C108" s="2826" t="s">
        <v>2710</v>
      </c>
      <c r="D108" s="2826" t="s">
        <v>2711</v>
      </c>
      <c r="E108" s="2852">
        <v>0.1</v>
      </c>
      <c r="F108" s="2852">
        <v>15</v>
      </c>
    </row>
    <row r="109" spans="1:6" ht="36">
      <c r="A109" s="2852">
        <v>35</v>
      </c>
      <c r="B109" s="3506" t="s">
        <v>2712</v>
      </c>
      <c r="C109" s="2852" t="s">
        <v>2713</v>
      </c>
      <c r="D109" s="2826" t="s">
        <v>2714</v>
      </c>
      <c r="E109" s="2852">
        <v>0.15</v>
      </c>
      <c r="F109" s="2852">
        <v>20</v>
      </c>
    </row>
    <row r="110" spans="1:6" ht="24">
      <c r="A110" s="2852">
        <v>36</v>
      </c>
      <c r="B110" s="3508"/>
      <c r="C110" s="2852" t="s">
        <v>2715</v>
      </c>
      <c r="D110" s="2826" t="s">
        <v>2716</v>
      </c>
      <c r="E110" s="2852">
        <v>0.15</v>
      </c>
      <c r="F110" s="2852">
        <v>20</v>
      </c>
    </row>
    <row r="111" spans="1:6" ht="24">
      <c r="A111" s="2852">
        <v>37</v>
      </c>
      <c r="B111" s="3508"/>
      <c r="C111" s="2852" t="s">
        <v>2717</v>
      </c>
      <c r="D111" s="2826" t="s">
        <v>2718</v>
      </c>
      <c r="E111" s="2852">
        <v>0.15</v>
      </c>
      <c r="F111" s="2852">
        <v>20</v>
      </c>
    </row>
    <row r="112" spans="1:6" ht="24">
      <c r="A112" s="2852">
        <v>38</v>
      </c>
      <c r="B112" s="3508"/>
      <c r="C112" s="2852" t="s">
        <v>2719</v>
      </c>
      <c r="D112" s="2826" t="s">
        <v>2720</v>
      </c>
      <c r="E112" s="2852">
        <v>0.1</v>
      </c>
      <c r="F112" s="2852">
        <v>15</v>
      </c>
    </row>
    <row r="113" spans="1:6" ht="24">
      <c r="A113" s="2852">
        <v>39</v>
      </c>
      <c r="B113" s="3508"/>
      <c r="C113" s="2852" t="s">
        <v>2721</v>
      </c>
      <c r="D113" s="2826" t="s">
        <v>2722</v>
      </c>
      <c r="E113" s="2852">
        <v>0.1</v>
      </c>
      <c r="F113" s="2852">
        <v>15</v>
      </c>
    </row>
    <row r="114" spans="1:6" ht="24">
      <c r="A114" s="2852">
        <v>40</v>
      </c>
      <c r="B114" s="3507"/>
      <c r="C114" s="2852" t="s">
        <v>2723</v>
      </c>
      <c r="D114" s="2826" t="s">
        <v>2724</v>
      </c>
      <c r="E114" s="2852">
        <v>0.1</v>
      </c>
      <c r="F114" s="2852">
        <v>15</v>
      </c>
    </row>
    <row r="115" spans="1:6" ht="24">
      <c r="A115" s="2852">
        <v>41</v>
      </c>
      <c r="B115" s="3505" t="s">
        <v>2725</v>
      </c>
      <c r="C115" s="2852" t="s">
        <v>2726</v>
      </c>
      <c r="D115" s="2826" t="s">
        <v>2727</v>
      </c>
      <c r="E115" s="2852">
        <v>0.1</v>
      </c>
      <c r="F115" s="2852">
        <v>15</v>
      </c>
    </row>
    <row r="116" spans="1:6" ht="24">
      <c r="A116" s="2852">
        <v>42</v>
      </c>
      <c r="B116" s="3505"/>
      <c r="C116" s="2852" t="s">
        <v>2728</v>
      </c>
      <c r="D116" s="2826" t="s">
        <v>2729</v>
      </c>
      <c r="E116" s="2852">
        <v>0.1</v>
      </c>
      <c r="F116" s="2852">
        <v>15</v>
      </c>
    </row>
    <row r="117" spans="1:6" ht="24">
      <c r="A117" s="2852">
        <v>43</v>
      </c>
      <c r="B117" s="3505"/>
      <c r="C117" s="2852" t="s">
        <v>2730</v>
      </c>
      <c r="D117" s="2826" t="s">
        <v>2731</v>
      </c>
      <c r="E117" s="2852">
        <v>0.1</v>
      </c>
      <c r="F117" s="2852">
        <v>15</v>
      </c>
    </row>
    <row r="118" spans="1:6" ht="24">
      <c r="A118" s="2852">
        <v>44</v>
      </c>
      <c r="B118" s="3506" t="s">
        <v>2732</v>
      </c>
      <c r="C118" s="2852" t="s">
        <v>2733</v>
      </c>
      <c r="D118" s="2826" t="s">
        <v>2734</v>
      </c>
      <c r="E118" s="2852">
        <v>0.1</v>
      </c>
      <c r="F118" s="2852">
        <v>15</v>
      </c>
    </row>
    <row r="119" spans="1:6" ht="24">
      <c r="A119" s="2852">
        <v>45</v>
      </c>
      <c r="B119" s="3507"/>
      <c r="C119" s="2826" t="s">
        <v>2735</v>
      </c>
      <c r="D119" s="2826" t="s">
        <v>2736</v>
      </c>
      <c r="E119" s="2852">
        <v>0.1</v>
      </c>
      <c r="F119" s="2852">
        <v>15</v>
      </c>
    </row>
    <row r="120" spans="1:6" ht="24">
      <c r="A120" s="2852">
        <v>46</v>
      </c>
      <c r="B120" s="3506" t="s">
        <v>2737</v>
      </c>
      <c r="C120" s="2852" t="s">
        <v>2738</v>
      </c>
      <c r="D120" s="2826" t="s">
        <v>2739</v>
      </c>
      <c r="E120" s="2852">
        <v>0.1</v>
      </c>
      <c r="F120" s="2852">
        <v>15</v>
      </c>
    </row>
    <row r="121" spans="1:6" ht="24">
      <c r="A121" s="2852">
        <v>47</v>
      </c>
      <c r="B121" s="3507"/>
      <c r="C121" s="2852" t="s">
        <v>2740</v>
      </c>
      <c r="D121" s="2826" t="s">
        <v>2741</v>
      </c>
      <c r="E121" s="2852">
        <v>0.1</v>
      </c>
      <c r="F121" s="2852">
        <v>15</v>
      </c>
    </row>
    <row r="122" spans="1:6" ht="24">
      <c r="A122" s="2852">
        <v>48</v>
      </c>
      <c r="B122" s="3506" t="s">
        <v>2742</v>
      </c>
      <c r="C122" s="2852" t="s">
        <v>2743</v>
      </c>
      <c r="D122" s="2826" t="s">
        <v>2744</v>
      </c>
      <c r="E122" s="2852">
        <v>0.1</v>
      </c>
      <c r="F122" s="2852">
        <v>15</v>
      </c>
    </row>
    <row r="123" spans="1:6" ht="24">
      <c r="A123" s="2852">
        <v>49</v>
      </c>
      <c r="B123" s="3507"/>
      <c r="C123" s="2852" t="s">
        <v>2745</v>
      </c>
      <c r="D123" s="2826" t="s">
        <v>2746</v>
      </c>
      <c r="E123" s="2852">
        <v>0.1</v>
      </c>
      <c r="F123" s="2852">
        <v>15</v>
      </c>
    </row>
    <row r="124" spans="1:6" ht="24">
      <c r="A124" s="2852">
        <v>50</v>
      </c>
      <c r="B124" s="3505" t="s">
        <v>2747</v>
      </c>
      <c r="C124" s="2852" t="s">
        <v>2748</v>
      </c>
      <c r="D124" s="2826" t="s">
        <v>2749</v>
      </c>
      <c r="E124" s="2852">
        <v>0.1</v>
      </c>
      <c r="F124" s="2852">
        <v>15</v>
      </c>
    </row>
    <row r="125" spans="1:6" ht="24">
      <c r="A125" s="2852">
        <v>51</v>
      </c>
      <c r="B125" s="3505"/>
      <c r="C125" s="2852" t="s">
        <v>2750</v>
      </c>
      <c r="D125" s="2826" t="s">
        <v>2751</v>
      </c>
      <c r="E125" s="2852">
        <v>0.1</v>
      </c>
      <c r="F125" s="2852">
        <v>15</v>
      </c>
    </row>
    <row r="126" spans="1:6" ht="24">
      <c r="A126" s="2852">
        <v>52</v>
      </c>
      <c r="B126" s="3505" t="s">
        <v>2752</v>
      </c>
      <c r="C126" s="2852" t="s">
        <v>2753</v>
      </c>
      <c r="D126" s="2826" t="s">
        <v>2754</v>
      </c>
      <c r="E126" s="2852">
        <v>0.1</v>
      </c>
      <c r="F126" s="2852">
        <v>15</v>
      </c>
    </row>
    <row r="127" spans="1:6" ht="24">
      <c r="A127" s="2852">
        <v>53</v>
      </c>
      <c r="B127" s="3505"/>
      <c r="C127" s="2852" t="s">
        <v>2755</v>
      </c>
      <c r="D127" s="2826" t="s">
        <v>2756</v>
      </c>
      <c r="E127" s="2852">
        <v>0.1</v>
      </c>
      <c r="F127" s="2852">
        <v>15</v>
      </c>
    </row>
    <row r="128" spans="1:6" ht="24">
      <c r="A128" s="2852">
        <v>54</v>
      </c>
      <c r="B128" s="2852" t="s">
        <v>2757</v>
      </c>
      <c r="C128" s="2852" t="s">
        <v>2758</v>
      </c>
      <c r="D128" s="2826" t="s">
        <v>2759</v>
      </c>
      <c r="E128" s="2852">
        <v>0.1</v>
      </c>
      <c r="F128" s="2852">
        <v>15</v>
      </c>
    </row>
    <row r="129" spans="1:6" ht="24">
      <c r="A129" s="2852">
        <v>55</v>
      </c>
      <c r="B129" s="3505" t="s">
        <v>2760</v>
      </c>
      <c r="C129" s="2852" t="s">
        <v>2761</v>
      </c>
      <c r="D129" s="2826" t="s">
        <v>2762</v>
      </c>
      <c r="E129" s="2852">
        <v>0.1</v>
      </c>
      <c r="F129" s="2852">
        <v>15</v>
      </c>
    </row>
    <row r="130" spans="1:6" ht="24">
      <c r="A130" s="2852">
        <v>56</v>
      </c>
      <c r="B130" s="3505"/>
      <c r="C130" s="2852" t="s">
        <v>2763</v>
      </c>
      <c r="D130" s="2826" t="s">
        <v>2764</v>
      </c>
      <c r="E130" s="2852">
        <v>0.1</v>
      </c>
      <c r="F130" s="2852">
        <v>15</v>
      </c>
    </row>
    <row r="131" spans="1:6" ht="24">
      <c r="A131" s="2852">
        <v>57</v>
      </c>
      <c r="B131" s="3505"/>
      <c r="C131" s="2852" t="s">
        <v>2765</v>
      </c>
      <c r="D131" s="2826" t="s">
        <v>2766</v>
      </c>
      <c r="E131" s="2852">
        <v>0.1</v>
      </c>
      <c r="F131" s="2852">
        <v>15</v>
      </c>
    </row>
    <row r="132" spans="1:6" ht="24">
      <c r="A132" s="2852">
        <v>58</v>
      </c>
      <c r="B132" s="3505" t="s">
        <v>2767</v>
      </c>
      <c r="C132" s="2852" t="s">
        <v>2768</v>
      </c>
      <c r="D132" s="2826" t="s">
        <v>2769</v>
      </c>
      <c r="E132" s="2852">
        <v>0.1</v>
      </c>
      <c r="F132" s="2852">
        <v>15</v>
      </c>
    </row>
    <row r="133" spans="1:6" ht="24">
      <c r="A133" s="2852">
        <v>59</v>
      </c>
      <c r="B133" s="3505"/>
      <c r="C133" s="2852" t="s">
        <v>2770</v>
      </c>
      <c r="D133" s="2826" t="s">
        <v>2771</v>
      </c>
      <c r="E133" s="2852">
        <v>0.1</v>
      </c>
      <c r="F133" s="2852">
        <v>15</v>
      </c>
    </row>
    <row r="134" spans="1:6" ht="24">
      <c r="A134" s="2852">
        <v>60</v>
      </c>
      <c r="B134" s="3506" t="s">
        <v>2772</v>
      </c>
      <c r="C134" s="2852" t="s">
        <v>2773</v>
      </c>
      <c r="D134" s="2826" t="s">
        <v>2774</v>
      </c>
      <c r="E134" s="2852">
        <v>0.1</v>
      </c>
      <c r="F134" s="2852">
        <v>15</v>
      </c>
    </row>
    <row r="135" spans="1:6" ht="24">
      <c r="A135" s="2852">
        <v>61</v>
      </c>
      <c r="B135" s="3507"/>
      <c r="C135" s="2852" t="s">
        <v>2775</v>
      </c>
      <c r="D135" s="2826" t="s">
        <v>2776</v>
      </c>
      <c r="E135" s="2852">
        <v>0.1</v>
      </c>
      <c r="F135" s="2852">
        <v>15</v>
      </c>
    </row>
    <row r="136" spans="1:6" ht="24">
      <c r="A136" s="2852">
        <v>62</v>
      </c>
      <c r="B136" s="2852" t="s">
        <v>2777</v>
      </c>
      <c r="C136" s="2852" t="s">
        <v>2778</v>
      </c>
      <c r="D136" s="2826" t="s">
        <v>2779</v>
      </c>
      <c r="E136" s="2852">
        <v>0.1</v>
      </c>
      <c r="F136" s="2852">
        <v>15</v>
      </c>
    </row>
    <row r="137" spans="1:6" ht="24">
      <c r="A137" s="2852">
        <v>63</v>
      </c>
      <c r="B137" s="3505" t="s">
        <v>2780</v>
      </c>
      <c r="C137" s="2852" t="s">
        <v>2781</v>
      </c>
      <c r="D137" s="2826" t="s">
        <v>2782</v>
      </c>
      <c r="E137" s="2852">
        <v>0.1</v>
      </c>
      <c r="F137" s="2852">
        <v>15</v>
      </c>
    </row>
    <row r="138" spans="1:6" ht="24">
      <c r="A138" s="2852">
        <v>64</v>
      </c>
      <c r="B138" s="3505"/>
      <c r="C138" s="2852" t="s">
        <v>2783</v>
      </c>
      <c r="D138" s="2826" t="s">
        <v>2784</v>
      </c>
      <c r="E138" s="2852">
        <v>0.1</v>
      </c>
      <c r="F138" s="2852">
        <v>15</v>
      </c>
    </row>
    <row r="139" spans="1:6" ht="24">
      <c r="A139" s="2852">
        <v>65</v>
      </c>
      <c r="B139" s="2852" t="s">
        <v>2785</v>
      </c>
      <c r="C139" s="2852" t="s">
        <v>2786</v>
      </c>
      <c r="D139" s="2826" t="s">
        <v>2787</v>
      </c>
      <c r="E139" s="2852">
        <v>0.1</v>
      </c>
      <c r="F139" s="2852">
        <v>15</v>
      </c>
    </row>
    <row r="140" spans="1:6" ht="14.4">
      <c r="A140" s="2852"/>
      <c r="B140" s="2852"/>
      <c r="C140" s="2852"/>
      <c r="D140" s="2852"/>
      <c r="E140" s="2852" t="s">
        <v>2788</v>
      </c>
      <c r="F140" s="2852"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2789</v>
      </c>
      <c r="B1" s="2860"/>
      <c r="C1" s="2860"/>
      <c r="D1" s="2860"/>
      <c r="E1" s="2860"/>
      <c r="F1" s="2860"/>
      <c r="G1" s="2860"/>
      <c r="H1" s="2860"/>
      <c r="I1" s="2860"/>
      <c r="J1" s="2860"/>
      <c r="K1" s="2860"/>
      <c r="L1" s="2860"/>
      <c r="M1" s="2860"/>
      <c r="N1" s="706"/>
    </row>
    <row r="2" spans="1:20">
      <c r="A2" s="2861" t="s">
        <v>2790</v>
      </c>
      <c r="B2" s="2862" t="s">
        <v>2586</v>
      </c>
      <c r="C2" s="2862" t="s">
        <v>2587</v>
      </c>
      <c r="D2" s="2862" t="s">
        <v>2588</v>
      </c>
      <c r="E2" s="2862" t="s">
        <v>2589</v>
      </c>
      <c r="F2" s="2862" t="s">
        <v>2590</v>
      </c>
      <c r="G2" s="2862" t="s">
        <v>2591</v>
      </c>
      <c r="H2" s="2863" t="s">
        <v>2592</v>
      </c>
      <c r="I2" s="2863" t="s">
        <v>2593</v>
      </c>
      <c r="J2" s="2864" t="s">
        <v>2594</v>
      </c>
      <c r="K2" s="2864" t="s">
        <v>2595</v>
      </c>
      <c r="L2" s="2864" t="s">
        <v>2596</v>
      </c>
      <c r="M2" s="2865" t="s">
        <v>2597</v>
      </c>
      <c r="Q2" s="2875" t="s">
        <v>2795</v>
      </c>
      <c r="R2" s="2875" t="s">
        <v>2796</v>
      </c>
      <c r="S2" s="2875" t="s">
        <v>2797</v>
      </c>
      <c r="T2" s="2875" t="s">
        <v>2798</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2791</v>
      </c>
      <c r="B93" s="2860"/>
      <c r="C93" s="2860"/>
      <c r="D93" s="2860"/>
      <c r="E93" s="2860"/>
      <c r="F93" s="2860"/>
      <c r="G93" s="2860"/>
      <c r="H93" s="2860"/>
      <c r="I93" s="2860"/>
      <c r="J93" s="2860"/>
      <c r="K93" s="2860"/>
      <c r="L93" s="2860"/>
      <c r="M93" s="2860"/>
    </row>
    <row r="94" spans="1:20">
      <c r="A94" s="2861" t="s">
        <v>2790</v>
      </c>
      <c r="B94" s="2862" t="s">
        <v>2586</v>
      </c>
      <c r="C94" s="2862" t="s">
        <v>2587</v>
      </c>
      <c r="D94" s="2862" t="s">
        <v>2588</v>
      </c>
      <c r="E94" s="2862" t="s">
        <v>2589</v>
      </c>
      <c r="F94" s="2862" t="s">
        <v>2590</v>
      </c>
      <c r="G94" s="2862" t="s">
        <v>2591</v>
      </c>
      <c r="H94" s="2863" t="s">
        <v>2592</v>
      </c>
      <c r="I94" s="2863" t="s">
        <v>2593</v>
      </c>
      <c r="J94" s="2864" t="s">
        <v>2594</v>
      </c>
      <c r="K94" s="2864" t="s">
        <v>2595</v>
      </c>
      <c r="L94" s="2864" t="s">
        <v>2596</v>
      </c>
      <c r="M94" s="2865" t="s">
        <v>2597</v>
      </c>
      <c r="N94">
        <f>SUMPRODUCT((A95:A184=ROUNDDOWN(基准地价修正!G3,1))*(B94:M94=基准地价修正!G2)*(B95:M184))</f>
        <v>0</v>
      </c>
      <c r="Q94" s="2875" t="s">
        <v>2795</v>
      </c>
      <c r="R94" s="2875" t="s">
        <v>2796</v>
      </c>
      <c r="S94" s="2875" t="s">
        <v>2797</v>
      </c>
      <c r="T94" s="2875" t="s">
        <v>2798</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2792</v>
      </c>
      <c r="B185" s="2860"/>
      <c r="C185" s="2860"/>
      <c r="D185" s="2860"/>
      <c r="E185" s="2860"/>
      <c r="F185" s="2860"/>
      <c r="G185" s="2860"/>
      <c r="H185" s="2860"/>
      <c r="I185" s="2860"/>
      <c r="J185" s="2860"/>
      <c r="K185" s="2860"/>
      <c r="L185" s="2860"/>
      <c r="M185" s="2860"/>
    </row>
    <row r="186" spans="1:20">
      <c r="A186" s="2861" t="s">
        <v>2790</v>
      </c>
      <c r="B186" s="2862" t="s">
        <v>2586</v>
      </c>
      <c r="C186" s="2862" t="s">
        <v>2587</v>
      </c>
      <c r="D186" s="2862" t="s">
        <v>2588</v>
      </c>
      <c r="E186" s="2862" t="s">
        <v>2589</v>
      </c>
      <c r="F186" s="2862" t="s">
        <v>2590</v>
      </c>
      <c r="G186" s="2862" t="s">
        <v>2591</v>
      </c>
      <c r="H186" s="2863" t="s">
        <v>2592</v>
      </c>
      <c r="I186" s="2863" t="s">
        <v>2593</v>
      </c>
      <c r="J186" s="2864" t="s">
        <v>2594</v>
      </c>
      <c r="K186" s="2864" t="s">
        <v>2595</v>
      </c>
      <c r="L186" s="2864" t="s">
        <v>2596</v>
      </c>
      <c r="M186" s="2865" t="s">
        <v>2597</v>
      </c>
      <c r="Q186" s="2875" t="s">
        <v>2795</v>
      </c>
      <c r="R186" s="2875" t="s">
        <v>2796</v>
      </c>
      <c r="S186" s="2875" t="s">
        <v>2797</v>
      </c>
      <c r="T186" s="2875" t="s">
        <v>2798</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2793</v>
      </c>
      <c r="B277" s="2860"/>
      <c r="C277" s="2860"/>
      <c r="D277" s="2860"/>
      <c r="E277" s="2860"/>
      <c r="F277" s="2860"/>
      <c r="G277" s="2860"/>
      <c r="H277" s="2860"/>
      <c r="I277" s="2860"/>
      <c r="J277" s="2860"/>
      <c r="K277" s="2860"/>
      <c r="L277" s="2860"/>
      <c r="M277" s="2860"/>
    </row>
    <row r="278" spans="1:21">
      <c r="A278" s="2861" t="s">
        <v>2790</v>
      </c>
      <c r="B278" s="2862" t="s">
        <v>2586</v>
      </c>
      <c r="C278" s="2862" t="s">
        <v>2587</v>
      </c>
      <c r="D278" s="2862" t="s">
        <v>2588</v>
      </c>
      <c r="E278" s="2862" t="s">
        <v>2589</v>
      </c>
      <c r="F278" s="2862" t="s">
        <v>2590</v>
      </c>
      <c r="G278" s="2862" t="s">
        <v>2591</v>
      </c>
      <c r="H278" s="2863" t="s">
        <v>2592</v>
      </c>
      <c r="I278" s="2863" t="s">
        <v>2593</v>
      </c>
      <c r="J278" s="2864" t="s">
        <v>2594</v>
      </c>
      <c r="K278" s="2864" t="s">
        <v>2595</v>
      </c>
      <c r="L278" s="2864" t="s">
        <v>2596</v>
      </c>
      <c r="M278" s="2865" t="s">
        <v>2597</v>
      </c>
      <c r="Q278" s="2875" t="s">
        <v>2795</v>
      </c>
      <c r="R278" s="2875" t="s">
        <v>2796</v>
      </c>
      <c r="S278" s="2875" t="s">
        <v>2799</v>
      </c>
      <c r="T278" s="2875" t="s">
        <v>2800</v>
      </c>
      <c r="U278" s="2875" t="s">
        <v>2798</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2794</v>
      </c>
      <c r="B369" s="2873"/>
      <c r="C369" s="2873"/>
      <c r="D369" s="2873"/>
      <c r="E369" s="2873"/>
      <c r="F369" s="2873"/>
      <c r="G369" s="2873"/>
      <c r="H369" s="2873"/>
      <c r="I369" s="2873"/>
      <c r="J369" s="2873"/>
      <c r="K369" s="2873"/>
      <c r="L369" s="2873"/>
      <c r="M369" s="2873"/>
    </row>
    <row r="370" spans="1:20">
      <c r="A370" s="2861" t="s">
        <v>2790</v>
      </c>
      <c r="B370" s="2862" t="s">
        <v>2586</v>
      </c>
      <c r="C370" s="2862" t="s">
        <v>2587</v>
      </c>
      <c r="D370" s="2862" t="s">
        <v>2588</v>
      </c>
      <c r="E370" s="2862" t="s">
        <v>2589</v>
      </c>
      <c r="F370" s="2862" t="s">
        <v>2590</v>
      </c>
      <c r="G370" s="2862" t="s">
        <v>2591</v>
      </c>
      <c r="H370" s="2863" t="s">
        <v>2592</v>
      </c>
      <c r="I370" s="2863" t="s">
        <v>2593</v>
      </c>
      <c r="J370" s="2864" t="s">
        <v>2594</v>
      </c>
      <c r="K370" s="2864" t="s">
        <v>2595</v>
      </c>
      <c r="L370" s="2864" t="s">
        <v>2596</v>
      </c>
      <c r="M370" s="2865" t="s">
        <v>2597</v>
      </c>
      <c r="N370">
        <f>SUMPRODUCT((A371:A460=ROUNDDOWN(基准地价修正!G3,1))*(B370:M370=基准地价修正!G2)*(B371:M460))</f>
        <v>0</v>
      </c>
      <c r="Q370" s="2875" t="s">
        <v>2795</v>
      </c>
      <c r="R370" s="2875" t="s">
        <v>2796</v>
      </c>
      <c r="S370" s="2875" t="s">
        <v>2797</v>
      </c>
      <c r="T370" s="2875" t="s">
        <v>2798</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7.399999999999999">
      <c r="A3" s="3203" t="str">
        <f>IF(项目基本情况!B9="房地产市场价值","估价结果一览表（市场价值不需“结果表-1”）","估价结果一览表")</f>
        <v>估价结果一览表</v>
      </c>
      <c r="B3" s="3203"/>
      <c r="C3" s="3203"/>
      <c r="D3" s="3203"/>
      <c r="E3" s="3203"/>
    </row>
    <row r="4" spans="1:5" ht="18" thickBot="1">
      <c r="A4" s="1390"/>
      <c r="B4" s="3201" t="s">
        <v>917</v>
      </c>
      <c r="C4" s="3201"/>
      <c r="D4" s="3201"/>
      <c r="E4" s="1390"/>
    </row>
    <row r="5" spans="1:5" ht="16.2" thickTop="1">
      <c r="B5" s="3199" t="s">
        <v>909</v>
      </c>
      <c r="C5" s="1391" t="s">
        <v>910</v>
      </c>
      <c r="D5" s="796">
        <f ca="1">结果表!H101</f>
        <v>93533</v>
      </c>
    </row>
    <row r="6" spans="1:5" ht="15.6">
      <c r="B6" s="3199"/>
      <c r="C6" s="1391" t="s">
        <v>911</v>
      </c>
      <c r="D6" s="796" t="str">
        <f ca="1">NUMBERSTRING(INT(D5*10000),2)&amp;"元整"</f>
        <v>玖亿叁仟伍佰叁拾叁万元整</v>
      </c>
    </row>
    <row r="7" spans="1:5" ht="15.6">
      <c r="B7" s="3204"/>
      <c r="C7" s="1392" t="s">
        <v>912</v>
      </c>
      <c r="D7" s="797">
        <f ca="1">结果表!H102</f>
        <v>21755</v>
      </c>
    </row>
    <row r="8" spans="1:5" ht="15.6">
      <c r="B8" s="3205" t="str">
        <f>结果表!E103</f>
        <v>2.估价师知悉的法定优先受偿款</v>
      </c>
      <c r="C8" s="1393" t="s">
        <v>913</v>
      </c>
      <c r="D8" s="797">
        <f>结果表!H103</f>
        <v>0</v>
      </c>
    </row>
    <row r="9" spans="1:5" ht="15.6">
      <c r="B9" s="3207"/>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98" t="str">
        <f>结果表!E107</f>
        <v>3.房地产抵押价值</v>
      </c>
      <c r="C13" s="1396" t="s">
        <v>910</v>
      </c>
      <c r="D13" s="799">
        <f ca="1">结果表!H107</f>
        <v>93533</v>
      </c>
    </row>
    <row r="14" spans="1:5" ht="15.6">
      <c r="B14" s="3199"/>
      <c r="C14" s="1391" t="s">
        <v>911</v>
      </c>
      <c r="D14" s="796" t="str">
        <f ca="1">NUMBERSTRING(INT(D13*10000),2)&amp;"元整"</f>
        <v>玖亿叁仟伍佰叁拾叁万元整</v>
      </c>
    </row>
    <row r="15" spans="1:5" ht="15.6">
      <c r="B15" s="3204"/>
      <c r="C15" s="1392" t="s">
        <v>921</v>
      </c>
      <c r="D15" s="805">
        <f ca="1">结果表!H108</f>
        <v>21755</v>
      </c>
    </row>
    <row r="16" spans="1:5" ht="15.6">
      <c r="B16" s="3205" t="str">
        <f>结果表!E109</f>
        <v>——</v>
      </c>
      <c r="C16" s="1396" t="s">
        <v>922</v>
      </c>
      <c r="D16" s="1397" t="str">
        <f>结果表!H109</f>
        <v>——</v>
      </c>
    </row>
    <row r="17" spans="1:5" ht="15.6">
      <c r="B17" s="3206"/>
      <c r="C17" s="1391" t="s">
        <v>923</v>
      </c>
      <c r="D17" s="796" t="e">
        <f>NUMBERSTRING(INT(D16*10000),2)&amp;"元整"</f>
        <v>#VALUE!</v>
      </c>
    </row>
    <row r="18" spans="1:5" ht="15.6">
      <c r="B18" s="3207"/>
      <c r="C18" s="1392" t="s">
        <v>912</v>
      </c>
      <c r="D18" s="805" t="str">
        <f>结果表!H110</f>
        <v>——</v>
      </c>
    </row>
    <row r="19" spans="1:5" ht="15.6">
      <c r="B19" s="3198" t="str">
        <f>结果表!E111</f>
        <v>——</v>
      </c>
      <c r="C19" s="1396" t="s">
        <v>910</v>
      </c>
      <c r="D19" s="797" t="str">
        <f>结果表!H111</f>
        <v>——</v>
      </c>
    </row>
    <row r="20" spans="1:5" ht="15.6">
      <c r="B20" s="3199"/>
      <c r="C20" s="1391" t="s">
        <v>923</v>
      </c>
      <c r="D20" s="796" t="e">
        <f>NUMBERSTRING(INT(D19*10000),2)&amp;"元整"</f>
        <v>#VALUE!</v>
      </c>
    </row>
    <row r="21" spans="1:5" ht="16.2" thickBot="1">
      <c r="B21" s="3200"/>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51004</v>
      </c>
      <c r="C2" s="2" t="s">
        <v>106</v>
      </c>
      <c r="D2" s="191"/>
      <c r="E2" s="191"/>
      <c r="F2" s="191"/>
      <c r="G2" s="191"/>
    </row>
    <row r="3" spans="1:7" s="192" customFormat="1" ht="18" customHeight="1" thickBot="1">
      <c r="A3" s="195" t="s">
        <v>58</v>
      </c>
      <c r="B3" s="196">
        <f ca="1">ROUND(B2*10000/'数据-汇总表'!E3,0)</f>
        <v>11863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584</v>
      </c>
      <c r="D9" s="794">
        <f>'数据-汇总表'!E5</f>
        <v>36485.100000000202</v>
      </c>
      <c r="E9" s="217">
        <f>'数据-取费表'!B27</f>
        <v>160</v>
      </c>
      <c r="F9" s="213"/>
      <c r="G9" s="218"/>
    </row>
    <row r="10" spans="1:7" s="206" customFormat="1" ht="13.5" customHeight="1">
      <c r="A10" s="732" t="s">
        <v>356</v>
      </c>
      <c r="B10" s="216" t="s">
        <v>67</v>
      </c>
      <c r="C10" s="217">
        <f>ROUND(D10*E10/10000,0)</f>
        <v>130</v>
      </c>
      <c r="D10" s="794">
        <f>'数据-汇总表'!E6</f>
        <v>6508.8100000000195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860</v>
      </c>
      <c r="D19" s="204">
        <f>'数据-汇总表'!E3</f>
        <v>42993.910000000222</v>
      </c>
      <c r="E19" s="203">
        <f>'数据-取费表'!B31</f>
        <v>200</v>
      </c>
      <c r="F19" s="223"/>
      <c r="G19" s="1" t="s">
        <v>436</v>
      </c>
    </row>
    <row r="20" spans="1:7" s="206" customFormat="1" ht="13.5" customHeight="1">
      <c r="A20" s="730" t="s">
        <v>419</v>
      </c>
      <c r="B20" s="202" t="s">
        <v>77</v>
      </c>
      <c r="C20" s="224">
        <f>ROUND((C5+C19)*F20,0)</f>
        <v>429</v>
      </c>
      <c r="D20" s="224"/>
      <c r="E20" s="224"/>
      <c r="F20" s="225">
        <f>'数据-取费表'!B37</f>
        <v>0.02</v>
      </c>
      <c r="G20" s="1003" t="s">
        <v>430</v>
      </c>
    </row>
    <row r="21" spans="1:7" s="206" customFormat="1" ht="13.5" customHeight="1">
      <c r="A21" s="730" t="s">
        <v>421</v>
      </c>
      <c r="B21" s="202" t="s">
        <v>78</v>
      </c>
      <c r="C21" s="227">
        <f>F21</f>
        <v>2.5000000000000001E-2</v>
      </c>
      <c r="D21" s="228" t="s">
        <v>99</v>
      </c>
      <c r="E21" s="224"/>
      <c r="F21" s="225">
        <f>'数据-取费表'!B38</f>
        <v>2.5000000000000001E-2</v>
      </c>
      <c r="G21" s="226" t="s">
        <v>79</v>
      </c>
    </row>
    <row r="22" spans="1:7" s="206" customFormat="1" ht="13.5" customHeight="1">
      <c r="A22" s="730" t="s">
        <v>341</v>
      </c>
      <c r="B22" s="202" t="s">
        <v>80</v>
      </c>
      <c r="C22" s="1040">
        <f ca="1">ROUND(SUM(C23:C25),0)</f>
        <v>938</v>
      </c>
      <c r="D22" s="227">
        <f ca="1">C26</f>
        <v>5.0000000000000001E-4</v>
      </c>
      <c r="E22" s="228" t="s">
        <v>99</v>
      </c>
      <c r="F22" s="229">
        <f ca="1">'数据-取费表'!B40</f>
        <v>3.1899999999999998E-2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892</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37</v>
      </c>
      <c r="D24" s="230"/>
      <c r="E24" s="230"/>
      <c r="F24" s="231"/>
      <c r="G24" s="232" t="s">
        <v>82</v>
      </c>
    </row>
    <row r="25" spans="1:7" s="206" customFormat="1" ht="24">
      <c r="A25" s="733" t="s">
        <v>348</v>
      </c>
      <c r="B25" s="207" t="s">
        <v>420</v>
      </c>
      <c r="C25" s="1041">
        <f ca="1">ROUND(IF('数据-取费表'!B22&lt;=1,C20*F22*'数据-取费表'!B23/2,C20*(POWER((1+F22),'数据-取费表'!B23/2)-1)),0)</f>
        <v>9</v>
      </c>
      <c r="D25" s="230"/>
      <c r="E25" s="233"/>
      <c r="F25" s="231"/>
      <c r="G25" s="234" t="s">
        <v>83</v>
      </c>
    </row>
    <row r="26" spans="1:7" s="206" customFormat="1">
      <c r="A26" s="733" t="s">
        <v>350</v>
      </c>
      <c r="B26" s="207" t="s">
        <v>422</v>
      </c>
      <c r="C26" s="230">
        <f ca="1">ROUND(IF('数据-取费表'!B22&lt;=1,F21*F22*'数据-取费表'!B23/2,F21*(POWER((1+F22),'数据-取费表'!B23/2)-1)),4)</f>
        <v>5.0000000000000001E-4</v>
      </c>
      <c r="D26" s="230"/>
      <c r="E26" s="233"/>
      <c r="F26" s="231"/>
      <c r="G26" s="235"/>
    </row>
    <row r="27" spans="1:7" s="206" customFormat="1" ht="26.4">
      <c r="A27" s="730" t="s">
        <v>342</v>
      </c>
      <c r="B27" s="236" t="s">
        <v>85</v>
      </c>
      <c r="C27" s="237">
        <f>C28</f>
        <v>2247</v>
      </c>
      <c r="D27" s="227">
        <f>C29</f>
        <v>2.5999999999999999E-3</v>
      </c>
      <c r="E27" s="228" t="s">
        <v>99</v>
      </c>
      <c r="F27" s="238">
        <f>'数据-取费表'!Q16</f>
        <v>0.19</v>
      </c>
      <c r="G27" s="239" t="s">
        <v>431</v>
      </c>
    </row>
    <row r="28" spans="1:7" s="206" customFormat="1" ht="13.5" customHeight="1">
      <c r="A28" s="733" t="s">
        <v>349</v>
      </c>
      <c r="B28" s="240" t="s">
        <v>424</v>
      </c>
      <c r="C28" s="241">
        <f>ROUND((C5+C19+C20)*F27*'数据-取费表'!B21/'数据-取费表'!B20,0)</f>
        <v>2247</v>
      </c>
      <c r="D28" s="227"/>
      <c r="E28" s="228"/>
      <c r="F28" s="238"/>
      <c r="G28" s="239"/>
    </row>
    <row r="29" spans="1:7" s="206" customFormat="1" ht="13.5" customHeight="1">
      <c r="A29" s="733" t="s">
        <v>347</v>
      </c>
      <c r="B29" s="240" t="s">
        <v>425</v>
      </c>
      <c r="C29" s="230">
        <f>ROUND(C21*F27*'数据-取费表'!B21/'数据-取费表'!B20,4)</f>
        <v>2.5999999999999999E-3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27279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17613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14550</v>
      </c>
      <c r="D34" s="209"/>
      <c r="E34" s="212"/>
      <c r="F34" s="249">
        <f>IF('数据-取费表'!B24=0,1,'数据-取费表'!N16)</f>
        <v>0.54900000000000004</v>
      </c>
      <c r="G34" s="211" t="s">
        <v>89</v>
      </c>
    </row>
    <row r="35" spans="1:7" ht="13.5" customHeight="1">
      <c r="A35" s="733" t="s">
        <v>351</v>
      </c>
      <c r="B35" s="207" t="s">
        <v>33</v>
      </c>
      <c r="C35" s="212">
        <f>ROUND(C34*F35,0)</f>
        <v>1019</v>
      </c>
      <c r="D35" s="212"/>
      <c r="E35" s="212"/>
      <c r="F35" s="251">
        <f>'数据-取费表'!B33</f>
        <v>7.0000000000000007E-2</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1281</v>
      </c>
      <c r="D36" s="212"/>
      <c r="E36" s="212"/>
      <c r="F36" s="251">
        <f>'数据-取费表'!B34</f>
        <v>0.1</v>
      </c>
      <c r="G36" s="252" t="s">
        <v>35</v>
      </c>
    </row>
    <row r="37" spans="1:7" s="250" customFormat="1" ht="13.5" customHeight="1">
      <c r="A37" s="733" t="s">
        <v>353</v>
      </c>
      <c r="B37" s="207" t="s">
        <v>91</v>
      </c>
      <c r="C37" s="241">
        <f>ROUND(E37*D37*F34/10000,0)</f>
        <v>472</v>
      </c>
      <c r="D37" s="209">
        <f>'数据-汇总表'!E3</f>
        <v>42993.910000000222</v>
      </c>
      <c r="E37" s="241">
        <f>'数据-取费表'!B35</f>
        <v>200</v>
      </c>
      <c r="F37" s="251"/>
      <c r="G37" s="253" t="s">
        <v>92</v>
      </c>
    </row>
    <row r="38" spans="1:7" ht="13.5" customHeight="1">
      <c r="A38" s="733" t="s">
        <v>354</v>
      </c>
      <c r="B38" s="207" t="s">
        <v>36</v>
      </c>
      <c r="C38" s="212">
        <f>ROUND(C34*F38,0)</f>
        <v>291</v>
      </c>
      <c r="D38" s="212"/>
      <c r="E38" s="212"/>
      <c r="F38" s="251">
        <f>'数据-取费表'!B36</f>
        <v>0.02</v>
      </c>
      <c r="G38" s="211" t="s">
        <v>90</v>
      </c>
    </row>
    <row r="39" spans="1:7" s="206" customFormat="1" ht="13.5" customHeight="1">
      <c r="A39" s="730" t="s">
        <v>338</v>
      </c>
      <c r="B39" s="202" t="s">
        <v>77</v>
      </c>
      <c r="C39" s="224">
        <f>ROUND(C33*F20,0)</f>
        <v>352</v>
      </c>
      <c r="D39" s="224"/>
      <c r="E39" s="224"/>
      <c r="F39" s="225"/>
      <c r="G39" s="1003" t="s">
        <v>433</v>
      </c>
    </row>
    <row r="40" spans="1:7" s="206" customFormat="1" ht="13.5" customHeight="1">
      <c r="A40" s="730" t="s">
        <v>339</v>
      </c>
      <c r="B40" s="202" t="s">
        <v>78</v>
      </c>
      <c r="C40" s="254">
        <f>F21</f>
        <v>2.5000000000000001E-2</v>
      </c>
      <c r="D40" s="228" t="s">
        <v>102</v>
      </c>
      <c r="E40" s="224"/>
      <c r="F40" s="225"/>
      <c r="G40" s="226" t="s">
        <v>93</v>
      </c>
    </row>
    <row r="41" spans="1:7" s="206" customFormat="1" ht="13.5" customHeight="1">
      <c r="A41" s="730" t="s">
        <v>340</v>
      </c>
      <c r="B41" s="202" t="s">
        <v>80</v>
      </c>
      <c r="C41" s="224">
        <f ca="1">ROUND(SUM(C42:C43),0)</f>
        <v>385</v>
      </c>
      <c r="D41" s="227">
        <f ca="1">C44</f>
        <v>5.0000000000000001E-4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377</v>
      </c>
      <c r="D42" s="230"/>
      <c r="E42" s="230"/>
      <c r="F42" s="231"/>
      <c r="G42" s="3424" t="s">
        <v>94</v>
      </c>
    </row>
    <row r="43" spans="1:7" ht="13.5" customHeight="1">
      <c r="A43" s="733" t="s">
        <v>347</v>
      </c>
      <c r="B43" s="207" t="s">
        <v>426</v>
      </c>
      <c r="C43" s="230">
        <f ca="1">ROUND(IF('数据-取费表'!B22&lt;=1,C39*F22*'数据-取费表'!B21/2,C39*(POWER((1+F22),'数据-取费表'!B21/2)-1)),0)</f>
        <v>8</v>
      </c>
      <c r="D43" s="230"/>
      <c r="E43" s="230"/>
      <c r="F43" s="231"/>
      <c r="G43" s="3425"/>
    </row>
    <row r="44" spans="1:7" ht="13.5" customHeight="1">
      <c r="A44" s="733" t="s">
        <v>348</v>
      </c>
      <c r="B44" s="207" t="s">
        <v>428</v>
      </c>
      <c r="C44" s="230">
        <f ca="1">ROUND(IF('数据-取费表'!B22&lt;=1,C40*F22*'数据-取费表'!B21/2,C40*(POWER((1+F22),'数据-取费表'!B21/2)-1)),4)</f>
        <v>5.0000000000000001E-4</v>
      </c>
      <c r="D44" s="230"/>
      <c r="E44" s="230"/>
      <c r="F44" s="231"/>
      <c r="G44" s="3426"/>
    </row>
    <row r="45" spans="1:7" s="206" customFormat="1" ht="13.5" customHeight="1">
      <c r="A45" s="730" t="s">
        <v>341</v>
      </c>
      <c r="B45" s="236" t="s">
        <v>85</v>
      </c>
      <c r="C45" s="237">
        <f>C46</f>
        <v>3413</v>
      </c>
      <c r="D45" s="227">
        <f>C47</f>
        <v>4.7999999999999996E-3</v>
      </c>
      <c r="E45" s="228" t="s">
        <v>102</v>
      </c>
      <c r="F45" s="238"/>
      <c r="G45" s="239" t="s">
        <v>434</v>
      </c>
    </row>
    <row r="46" spans="1:7" s="206" customFormat="1" ht="13.5" customHeight="1">
      <c r="A46" s="733" t="s">
        <v>349</v>
      </c>
      <c r="B46" s="240" t="s">
        <v>427</v>
      </c>
      <c r="C46" s="241">
        <f>ROUND((C33+C39)*F27,0)</f>
        <v>3413</v>
      </c>
      <c r="D46" s="255"/>
      <c r="E46" s="228"/>
      <c r="F46" s="238"/>
      <c r="G46" s="239"/>
    </row>
    <row r="47" spans="1:7" s="206" customFormat="1" ht="13.5" customHeight="1">
      <c r="A47" s="733" t="s">
        <v>347</v>
      </c>
      <c r="B47" s="240" t="s">
        <v>429</v>
      </c>
      <c r="C47" s="230">
        <f>ROUND(C40*F27,4)</f>
        <v>4.7999999999999996E-3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23725</v>
      </c>
      <c r="D49" s="224"/>
      <c r="E49" s="224"/>
      <c r="F49" s="256"/>
      <c r="G49" s="226" t="s">
        <v>435</v>
      </c>
    </row>
    <row r="50" spans="1:7" s="250" customFormat="1" ht="24">
      <c r="A50" s="730" t="s">
        <v>344</v>
      </c>
      <c r="B50" s="202" t="s">
        <v>97</v>
      </c>
      <c r="C50" s="224"/>
      <c r="D50" s="224"/>
      <c r="E50" s="224"/>
      <c r="F50" s="256">
        <f>IF('数据-取费表'!B24=0,'数据-取费表'!N16,1)</f>
        <v>1</v>
      </c>
      <c r="G50" s="239" t="s">
        <v>98</v>
      </c>
    </row>
    <row r="51" spans="1:7" ht="16.5" customHeight="1">
      <c r="A51" s="730" t="s">
        <v>345</v>
      </c>
      <c r="B51" s="202" t="s">
        <v>105</v>
      </c>
      <c r="C51" s="224">
        <f ca="1">ROUND(C49*F50,0)</f>
        <v>23725</v>
      </c>
      <c r="D51" s="224"/>
      <c r="E51" s="224"/>
      <c r="F51" s="256"/>
      <c r="G51" s="226" t="s">
        <v>37</v>
      </c>
    </row>
    <row r="52" spans="1:7" s="200" customFormat="1" ht="16.8" thickBot="1">
      <c r="A52" s="257" t="s">
        <v>38</v>
      </c>
      <c r="B52" s="258"/>
      <c r="C52" s="259">
        <f ca="1">C31+C51</f>
        <v>51004</v>
      </c>
      <c r="D52" s="258"/>
      <c r="E52" s="258"/>
      <c r="F52" s="258"/>
      <c r="G52" s="260"/>
    </row>
    <row r="55" spans="1:7" ht="15">
      <c r="B55" s="262" t="s">
        <v>39</v>
      </c>
      <c r="C55" s="263"/>
    </row>
    <row r="56" spans="1:7">
      <c r="B56" s="265" t="s">
        <v>40</v>
      </c>
      <c r="C56" s="266">
        <f ca="1">ROUND(C51/C52,3)</f>
        <v>0.46500000000000002</v>
      </c>
    </row>
    <row r="57" spans="1:7">
      <c r="B57" s="265" t="s">
        <v>41</v>
      </c>
      <c r="C57" s="267">
        <f ca="1">1-C56</f>
        <v>0.53499999999999992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19" t="s">
        <v>3172</v>
      </c>
      <c r="B1" s="3519"/>
    </row>
    <row r="2" spans="1:7" ht="15" thickBot="1">
      <c r="A2" s="2963"/>
      <c r="B2" s="2963"/>
    </row>
    <row r="3" spans="1:7" ht="15" thickBot="1">
      <c r="A3" s="2963"/>
      <c r="B3" s="2963"/>
      <c r="C3" s="2964" t="s">
        <v>2802</v>
      </c>
      <c r="D3" s="2964" t="s">
        <v>2858</v>
      </c>
      <c r="E3" s="2964" t="s">
        <v>2804</v>
      </c>
      <c r="F3" s="2964" t="s">
        <v>2859</v>
      </c>
      <c r="G3" s="2964" t="s">
        <v>2622</v>
      </c>
    </row>
    <row r="4" spans="1:7" ht="15" thickBot="1">
      <c r="A4" s="2965" t="s">
        <v>2857</v>
      </c>
      <c r="B4" s="2966" t="s">
        <v>2863</v>
      </c>
      <c r="C4" s="2964"/>
      <c r="D4" s="2964"/>
      <c r="E4" s="2964"/>
      <c r="F4" s="2964"/>
      <c r="G4" s="2964"/>
    </row>
    <row r="5" spans="1:7">
      <c r="A5" s="2967" t="s">
        <v>2831</v>
      </c>
      <c r="B5" s="2968" t="s">
        <v>2845</v>
      </c>
      <c r="C5" s="2969">
        <v>9.8000000000000004E-2</v>
      </c>
      <c r="D5" s="2969">
        <v>8.6999999999999994E-2</v>
      </c>
      <c r="E5" s="2969">
        <v>8.6999999999999994E-2</v>
      </c>
      <c r="F5" s="2969">
        <v>9.8000000000000004E-2</v>
      </c>
      <c r="G5" s="2970">
        <v>9.5000000000000001E-2</v>
      </c>
    </row>
    <row r="6" spans="1:7">
      <c r="A6" s="2971" t="s">
        <v>144</v>
      </c>
      <c r="B6" s="2972" t="s">
        <v>2860</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2846</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2896</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2914</v>
      </c>
      <c r="C29" s="2981"/>
      <c r="D29" s="2977">
        <v>5.1999999999999998E-2</v>
      </c>
      <c r="E29" s="2977">
        <v>7.0000000000000007E-2</v>
      </c>
      <c r="F29" s="2981"/>
      <c r="G29" s="2979">
        <v>7.0999999999999994E-2</v>
      </c>
    </row>
    <row r="30" spans="1:7">
      <c r="A30" s="2982" t="s">
        <v>296</v>
      </c>
      <c r="B30" s="2968" t="s">
        <v>2847</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2833</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2917</v>
      </c>
      <c r="C50" s="2973">
        <v>9.8000000000000004E-2</v>
      </c>
      <c r="D50" s="2973">
        <v>7.2999999999999995E-2</v>
      </c>
      <c r="E50" s="2973">
        <v>7.0999999999999994E-2</v>
      </c>
      <c r="F50" s="2984"/>
      <c r="G50" s="2974">
        <v>7.2999999999999995E-2</v>
      </c>
    </row>
    <row r="51" spans="1:7">
      <c r="A51" s="2983" t="s">
        <v>296</v>
      </c>
      <c r="B51" s="2972" t="s">
        <v>2919</v>
      </c>
      <c r="C51" s="2973">
        <v>9.9000000000000005E-2</v>
      </c>
      <c r="D51" s="2973">
        <v>8.5000000000000006E-2</v>
      </c>
      <c r="E51" s="2973">
        <v>6.3E-2</v>
      </c>
      <c r="F51" s="2984"/>
      <c r="G51" s="2974">
        <v>9.6000000000000002E-2</v>
      </c>
    </row>
    <row r="52" spans="1:7">
      <c r="A52" s="2983" t="s">
        <v>296</v>
      </c>
      <c r="B52" s="2972" t="s">
        <v>2923</v>
      </c>
      <c r="C52" s="2973">
        <v>7.3999999999999996E-2</v>
      </c>
      <c r="D52" s="2973">
        <v>9.6000000000000002E-2</v>
      </c>
      <c r="E52" s="2973">
        <v>0.05</v>
      </c>
      <c r="F52" s="2984"/>
      <c r="G52" s="2974">
        <v>9.8000000000000004E-2</v>
      </c>
    </row>
    <row r="53" spans="1:7">
      <c r="A53" s="2983" t="s">
        <v>296</v>
      </c>
      <c r="B53" s="2972" t="s">
        <v>2928</v>
      </c>
      <c r="C53" s="2973">
        <v>8.5999999999999993E-2</v>
      </c>
      <c r="D53" s="2984"/>
      <c r="E53" s="2973">
        <v>9.1999999999999998E-2</v>
      </c>
      <c r="F53" s="2984"/>
      <c r="G53" s="2985"/>
    </row>
    <row r="54" spans="1:7" ht="15" thickBot="1">
      <c r="A54" s="2986" t="s">
        <v>296</v>
      </c>
      <c r="B54" s="2976" t="s">
        <v>2931</v>
      </c>
      <c r="C54" s="2977">
        <v>9.6000000000000002E-2</v>
      </c>
      <c r="D54" s="2978"/>
      <c r="E54" s="2987"/>
      <c r="F54" s="2978"/>
      <c r="G54" s="2988"/>
    </row>
    <row r="55" spans="1:7">
      <c r="A55" s="2982" t="s">
        <v>110</v>
      </c>
      <c r="B55" s="2968" t="s">
        <v>2848</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2929</v>
      </c>
      <c r="C78" s="2973">
        <v>0.1</v>
      </c>
      <c r="D78" s="2973">
        <v>8.5000000000000006E-2</v>
      </c>
      <c r="E78" s="2973">
        <v>9.6000000000000002E-2</v>
      </c>
      <c r="F78" s="2984"/>
      <c r="G78" s="2974">
        <v>9.6000000000000002E-2</v>
      </c>
    </row>
    <row r="79" spans="1:7">
      <c r="A79" s="2983" t="s">
        <v>110</v>
      </c>
      <c r="B79" s="2972" t="s">
        <v>2932</v>
      </c>
      <c r="C79" s="2973">
        <v>0.05</v>
      </c>
      <c r="D79" s="2973">
        <v>9.6000000000000002E-2</v>
      </c>
      <c r="E79" s="2973">
        <v>9.5000000000000001E-2</v>
      </c>
      <c r="F79" s="2984"/>
      <c r="G79" s="2974">
        <v>9.8000000000000004E-2</v>
      </c>
    </row>
    <row r="80" spans="1:7">
      <c r="A80" s="2983" t="s">
        <v>110</v>
      </c>
      <c r="B80" s="2972" t="s">
        <v>2936</v>
      </c>
      <c r="C80" s="2973">
        <v>8.5999999999999993E-2</v>
      </c>
      <c r="D80" s="2989"/>
      <c r="E80" s="2973">
        <v>0.1</v>
      </c>
      <c r="F80" s="2984"/>
      <c r="G80" s="2985"/>
    </row>
    <row r="81" spans="1:7">
      <c r="A81" s="2983" t="s">
        <v>110</v>
      </c>
      <c r="B81" s="2972" t="s">
        <v>2941</v>
      </c>
      <c r="C81" s="2973">
        <v>9.6000000000000002E-2</v>
      </c>
      <c r="D81" s="2984"/>
      <c r="E81" s="2973">
        <v>9.8000000000000004E-2</v>
      </c>
      <c r="F81" s="2984"/>
      <c r="G81" s="2985"/>
    </row>
    <row r="82" spans="1:7">
      <c r="A82" s="2983" t="s">
        <v>110</v>
      </c>
      <c r="B82" s="2972" t="s">
        <v>2948</v>
      </c>
      <c r="C82" s="2989"/>
      <c r="D82" s="2984"/>
      <c r="E82" s="2973">
        <v>7.6999999999999999E-2</v>
      </c>
      <c r="F82" s="2984"/>
      <c r="G82" s="2985"/>
    </row>
    <row r="83" spans="1:7">
      <c r="A83" s="2983" t="s">
        <v>110</v>
      </c>
      <c r="B83" s="2972" t="s">
        <v>2954</v>
      </c>
      <c r="C83" s="2984"/>
      <c r="D83" s="2984"/>
      <c r="E83" s="2984"/>
      <c r="F83" s="2973">
        <v>0.1</v>
      </c>
      <c r="G83" s="2990"/>
    </row>
    <row r="84" spans="1:7">
      <c r="A84" s="2983" t="s">
        <v>110</v>
      </c>
      <c r="B84" s="2972" t="s">
        <v>2961</v>
      </c>
      <c r="C84" s="2984"/>
      <c r="D84" s="2984"/>
      <c r="E84" s="2984"/>
      <c r="F84" s="2973">
        <v>0.1</v>
      </c>
      <c r="G84" s="2990"/>
    </row>
    <row r="85" spans="1:7">
      <c r="A85" s="2983" t="s">
        <v>110</v>
      </c>
      <c r="B85" s="2972" t="s">
        <v>2968</v>
      </c>
      <c r="C85" s="2984"/>
      <c r="D85" s="2984"/>
      <c r="E85" s="2984"/>
      <c r="F85" s="2973">
        <v>0.1</v>
      </c>
      <c r="G85" s="2990"/>
    </row>
    <row r="86" spans="1:7" ht="15" thickBot="1">
      <c r="A86" s="2986" t="s">
        <v>110</v>
      </c>
      <c r="B86" s="2976" t="s">
        <v>2973</v>
      </c>
      <c r="C86" s="2977">
        <v>9.8000000000000004E-2</v>
      </c>
      <c r="D86" s="2977">
        <v>9.8000000000000004E-2</v>
      </c>
      <c r="E86" s="2977">
        <v>9.6000000000000002E-2</v>
      </c>
      <c r="F86" s="2987"/>
      <c r="G86" s="2979">
        <v>0.1</v>
      </c>
    </row>
    <row r="87" spans="1:7">
      <c r="A87" s="2982" t="s">
        <v>303</v>
      </c>
      <c r="B87" s="2968" t="s">
        <v>2849</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2942</v>
      </c>
      <c r="C113" s="2973">
        <v>0.1</v>
      </c>
      <c r="D113" s="2973">
        <v>0.1</v>
      </c>
      <c r="E113" s="2984"/>
      <c r="F113" s="2984"/>
      <c r="G113" s="2974">
        <v>0.1</v>
      </c>
    </row>
    <row r="114" spans="1:7">
      <c r="A114" s="2983" t="s">
        <v>303</v>
      </c>
      <c r="B114" s="2972" t="s">
        <v>2949</v>
      </c>
      <c r="C114" s="2973">
        <v>9.7000000000000003E-2</v>
      </c>
      <c r="D114" s="2973">
        <v>9.7000000000000003E-2</v>
      </c>
      <c r="E114" s="2984"/>
      <c r="F114" s="2984"/>
      <c r="G114" s="2974">
        <v>9.9000000000000005E-2</v>
      </c>
    </row>
    <row r="115" spans="1:7">
      <c r="A115" s="2983" t="s">
        <v>303</v>
      </c>
      <c r="B115" s="2972" t="s">
        <v>2955</v>
      </c>
      <c r="C115" s="2973">
        <v>0.1</v>
      </c>
      <c r="D115" s="2973">
        <v>0.1</v>
      </c>
      <c r="E115" s="2984"/>
      <c r="F115" s="2984"/>
      <c r="G115" s="2974">
        <v>0.1</v>
      </c>
    </row>
    <row r="116" spans="1:7">
      <c r="A116" s="2983" t="s">
        <v>303</v>
      </c>
      <c r="B116" s="2972" t="s">
        <v>2962</v>
      </c>
      <c r="C116" s="2973">
        <v>0.1</v>
      </c>
      <c r="D116" s="2973">
        <v>0.1</v>
      </c>
      <c r="E116" s="2984"/>
      <c r="F116" s="2984"/>
      <c r="G116" s="2974">
        <v>0.1</v>
      </c>
    </row>
    <row r="117" spans="1:7">
      <c r="A117" s="2983" t="s">
        <v>303</v>
      </c>
      <c r="B117" s="2972" t="s">
        <v>2969</v>
      </c>
      <c r="C117" s="2973">
        <v>9.7000000000000003E-2</v>
      </c>
      <c r="D117" s="2973">
        <v>9.7000000000000003E-2</v>
      </c>
      <c r="E117" s="2984"/>
      <c r="F117" s="2984"/>
      <c r="G117" s="2974">
        <v>9.7000000000000003E-2</v>
      </c>
    </row>
    <row r="118" spans="1:7">
      <c r="A118" s="2983" t="s">
        <v>303</v>
      </c>
      <c r="B118" s="2972" t="s">
        <v>2974</v>
      </c>
      <c r="C118" s="2973">
        <v>0.1</v>
      </c>
      <c r="D118" s="2973">
        <v>0.1</v>
      </c>
      <c r="E118" s="2984"/>
      <c r="F118" s="2984"/>
      <c r="G118" s="2974">
        <v>0.1</v>
      </c>
    </row>
    <row r="119" spans="1:7">
      <c r="A119" s="2983" t="s">
        <v>303</v>
      </c>
      <c r="B119" s="2972" t="s">
        <v>2978</v>
      </c>
      <c r="C119" s="2973">
        <v>5.0999999999999997E-2</v>
      </c>
      <c r="D119" s="2973">
        <v>5.1999999999999998E-2</v>
      </c>
      <c r="E119" s="2984"/>
      <c r="F119" s="2989"/>
      <c r="G119" s="2974">
        <v>0.06</v>
      </c>
    </row>
    <row r="120" spans="1:7">
      <c r="A120" s="2983" t="s">
        <v>303</v>
      </c>
      <c r="B120" s="2972" t="s">
        <v>2982</v>
      </c>
      <c r="C120" s="2984"/>
      <c r="D120" s="2984"/>
      <c r="E120" s="2984"/>
      <c r="F120" s="2973">
        <v>0.1</v>
      </c>
      <c r="G120" s="2990"/>
    </row>
    <row r="121" spans="1:7">
      <c r="A121" s="2983" t="s">
        <v>303</v>
      </c>
      <c r="B121" s="2972" t="s">
        <v>2987</v>
      </c>
      <c r="C121" s="2984"/>
      <c r="D121" s="2984"/>
      <c r="E121" s="2984"/>
      <c r="F121" s="2973">
        <v>0.1</v>
      </c>
      <c r="G121" s="2990"/>
    </row>
    <row r="122" spans="1:7">
      <c r="A122" s="2983" t="s">
        <v>303</v>
      </c>
      <c r="B122" s="2972" t="s">
        <v>2992</v>
      </c>
      <c r="C122" s="2973">
        <v>0.1</v>
      </c>
      <c r="D122" s="2973">
        <v>0.1</v>
      </c>
      <c r="E122" s="2973">
        <v>9.8000000000000004E-2</v>
      </c>
      <c r="F122" s="2973">
        <v>0.1</v>
      </c>
      <c r="G122" s="2974">
        <v>0.1</v>
      </c>
    </row>
    <row r="123" spans="1:7">
      <c r="A123" s="2983" t="s">
        <v>303</v>
      </c>
      <c r="B123" s="2972" t="s">
        <v>2997</v>
      </c>
      <c r="C123" s="2973">
        <v>0.1</v>
      </c>
      <c r="D123" s="2973">
        <v>0.1</v>
      </c>
      <c r="E123" s="2973">
        <v>9.8000000000000004E-2</v>
      </c>
      <c r="F123" s="2973">
        <v>0.1</v>
      </c>
      <c r="G123" s="2974">
        <v>0.1</v>
      </c>
    </row>
    <row r="124" spans="1:7">
      <c r="A124" s="2983" t="s">
        <v>303</v>
      </c>
      <c r="B124" s="2972" t="s">
        <v>3002</v>
      </c>
      <c r="C124" s="2973">
        <v>0.1</v>
      </c>
      <c r="D124" s="2973">
        <v>0.1</v>
      </c>
      <c r="E124" s="2973">
        <v>9.8000000000000004E-2</v>
      </c>
      <c r="F124" s="2989"/>
      <c r="G124" s="2974">
        <v>0.1</v>
      </c>
    </row>
    <row r="125" spans="1:7">
      <c r="A125" s="2983" t="s">
        <v>303</v>
      </c>
      <c r="B125" s="2972" t="s">
        <v>3007</v>
      </c>
      <c r="C125" s="2973">
        <v>9.8000000000000004E-2</v>
      </c>
      <c r="D125" s="2973">
        <v>9.8000000000000004E-2</v>
      </c>
      <c r="E125" s="2973">
        <v>9.6000000000000002E-2</v>
      </c>
      <c r="F125" s="2989"/>
      <c r="G125" s="2974">
        <v>0.1</v>
      </c>
    </row>
    <row r="126" spans="1:7" ht="15" thickBot="1">
      <c r="A126" s="2986" t="s">
        <v>303</v>
      </c>
      <c r="B126" s="2976" t="s">
        <v>3173</v>
      </c>
      <c r="C126" s="2977">
        <v>0.1</v>
      </c>
      <c r="D126" s="2977">
        <v>0.1</v>
      </c>
      <c r="E126" s="2977">
        <v>9.8000000000000004E-2</v>
      </c>
      <c r="F126" s="2977">
        <v>0.1</v>
      </c>
      <c r="G126" s="2979">
        <v>0.1</v>
      </c>
    </row>
    <row r="127" spans="1:7">
      <c r="A127" s="2982" t="s">
        <v>29</v>
      </c>
      <c r="B127" s="2968" t="s">
        <v>2850</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2920</v>
      </c>
      <c r="C148" s="2973">
        <v>0.13</v>
      </c>
      <c r="D148" s="2973">
        <v>0.13</v>
      </c>
      <c r="E148" s="2973">
        <v>0.13</v>
      </c>
      <c r="F148" s="2984"/>
      <c r="G148" s="2974">
        <v>0.13</v>
      </c>
    </row>
    <row r="149" spans="1:7">
      <c r="A149" s="2983" t="s">
        <v>29</v>
      </c>
      <c r="B149" s="2972" t="s">
        <v>2924</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2943</v>
      </c>
      <c r="C153" s="2973">
        <v>0.13</v>
      </c>
      <c r="D153" s="2973">
        <v>0.13</v>
      </c>
      <c r="E153" s="2973">
        <v>0.13</v>
      </c>
      <c r="F153" s="2973">
        <v>0.13</v>
      </c>
      <c r="G153" s="2974">
        <v>0.13</v>
      </c>
    </row>
    <row r="154" spans="1:7">
      <c r="A154" s="2983" t="s">
        <v>29</v>
      </c>
      <c r="B154" s="2972" t="s">
        <v>2950</v>
      </c>
      <c r="C154" s="2973">
        <v>0.121</v>
      </c>
      <c r="D154" s="2973">
        <v>0.121</v>
      </c>
      <c r="E154" s="2973">
        <v>0.105</v>
      </c>
      <c r="F154" s="2973">
        <v>0.121</v>
      </c>
      <c r="G154" s="2974">
        <v>0.123</v>
      </c>
    </row>
    <row r="155" spans="1:7">
      <c r="A155" s="2983" t="s">
        <v>29</v>
      </c>
      <c r="B155" s="2972" t="s">
        <v>2956</v>
      </c>
      <c r="C155" s="2973">
        <v>0.1</v>
      </c>
      <c r="D155" s="2973">
        <v>0.1</v>
      </c>
      <c r="E155" s="2973">
        <v>0.1</v>
      </c>
      <c r="F155" s="2973">
        <v>0.1</v>
      </c>
      <c r="G155" s="2974">
        <v>0.1</v>
      </c>
    </row>
    <row r="156" spans="1:7">
      <c r="A156" s="2983" t="s">
        <v>29</v>
      </c>
      <c r="B156" s="2972" t="s">
        <v>2963</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2983</v>
      </c>
      <c r="C160" s="2973">
        <v>0.13</v>
      </c>
      <c r="D160" s="2973">
        <v>0.13</v>
      </c>
      <c r="E160" s="2973">
        <v>0.124</v>
      </c>
      <c r="F160" s="2973">
        <v>0.126</v>
      </c>
      <c r="G160" s="2974">
        <v>0.13</v>
      </c>
    </row>
    <row r="161" spans="1:7">
      <c r="A161" s="2983" t="s">
        <v>29</v>
      </c>
      <c r="B161" s="2972" t="s">
        <v>2988</v>
      </c>
      <c r="C161" s="2973">
        <v>0.13</v>
      </c>
      <c r="D161" s="2973">
        <v>0.13</v>
      </c>
      <c r="E161" s="2973">
        <v>0.124</v>
      </c>
      <c r="F161" s="2973">
        <v>0.127</v>
      </c>
      <c r="G161" s="2974">
        <v>0.13</v>
      </c>
    </row>
    <row r="162" spans="1:7">
      <c r="A162" s="2983" t="s">
        <v>29</v>
      </c>
      <c r="B162" s="2972" t="s">
        <v>2993</v>
      </c>
      <c r="C162" s="2973">
        <v>0.1</v>
      </c>
      <c r="D162" s="2973">
        <v>0.1</v>
      </c>
      <c r="E162" s="2973">
        <v>0.1</v>
      </c>
      <c r="F162" s="2973">
        <v>0.121</v>
      </c>
      <c r="G162" s="2974">
        <v>0.105</v>
      </c>
    </row>
    <row r="163" spans="1:7">
      <c r="A163" s="2983" t="s">
        <v>29</v>
      </c>
      <c r="B163" s="2972" t="s">
        <v>2998</v>
      </c>
      <c r="C163" s="2973">
        <v>0.1</v>
      </c>
      <c r="D163" s="2973">
        <v>0.1</v>
      </c>
      <c r="E163" s="2973">
        <v>0.1</v>
      </c>
      <c r="F163" s="2973">
        <v>0.1</v>
      </c>
      <c r="G163" s="2974">
        <v>0.1</v>
      </c>
    </row>
    <row r="164" spans="1:7">
      <c r="A164" s="2983" t="s">
        <v>29</v>
      </c>
      <c r="B164" s="2972" t="s">
        <v>3003</v>
      </c>
      <c r="C164" s="2989"/>
      <c r="D164" s="2989"/>
      <c r="E164" s="2989"/>
      <c r="F164" s="2973">
        <v>0.1</v>
      </c>
      <c r="G164" s="2985"/>
    </row>
    <row r="165" spans="1:7">
      <c r="A165" s="2983" t="s">
        <v>29</v>
      </c>
      <c r="B165" s="2972" t="s">
        <v>3174</v>
      </c>
      <c r="C165" s="2973">
        <v>0.126</v>
      </c>
      <c r="D165" s="2973">
        <v>0.126</v>
      </c>
      <c r="E165" s="2973">
        <v>0.11899999999999999</v>
      </c>
      <c r="F165" s="2973">
        <v>0.13</v>
      </c>
      <c r="G165" s="2974">
        <v>0.128</v>
      </c>
    </row>
    <row r="166" spans="1:7">
      <c r="A166" s="2983" t="s">
        <v>29</v>
      </c>
      <c r="B166" s="2972" t="s">
        <v>3013</v>
      </c>
      <c r="C166" s="2973">
        <v>0.129</v>
      </c>
      <c r="D166" s="2973">
        <v>0.129</v>
      </c>
      <c r="E166" s="2973">
        <v>0.123</v>
      </c>
      <c r="F166" s="2973">
        <v>0.128</v>
      </c>
      <c r="G166" s="2974">
        <v>0.13</v>
      </c>
    </row>
    <row r="167" spans="1:7">
      <c r="A167" s="2983" t="s">
        <v>29</v>
      </c>
      <c r="B167" s="2972" t="s">
        <v>3017</v>
      </c>
      <c r="C167" s="2973">
        <v>0.125</v>
      </c>
      <c r="D167" s="2973">
        <v>0.125</v>
      </c>
      <c r="E167" s="2973">
        <v>0.11700000000000001</v>
      </c>
      <c r="F167" s="2973">
        <v>0.13</v>
      </c>
      <c r="G167" s="2974">
        <v>0.126</v>
      </c>
    </row>
    <row r="168" spans="1:7">
      <c r="A168" s="2983" t="s">
        <v>29</v>
      </c>
      <c r="B168" s="2972" t="s">
        <v>3022</v>
      </c>
      <c r="C168" s="2973">
        <v>0.128</v>
      </c>
      <c r="D168" s="2973">
        <v>0.128</v>
      </c>
      <c r="E168" s="2973">
        <v>0.123</v>
      </c>
      <c r="F168" s="2984"/>
      <c r="G168" s="2974">
        <v>0.13</v>
      </c>
    </row>
    <row r="169" spans="1:7">
      <c r="A169" s="2983" t="s">
        <v>29</v>
      </c>
      <c r="B169" s="2972" t="s">
        <v>3175</v>
      </c>
      <c r="C169" s="2989"/>
      <c r="D169" s="2989"/>
      <c r="E169" s="2989"/>
      <c r="F169" s="2973">
        <v>0.05</v>
      </c>
      <c r="G169" s="2985"/>
    </row>
    <row r="170" spans="1:7">
      <c r="A170" s="2983" t="s">
        <v>29</v>
      </c>
      <c r="B170" s="2972" t="s">
        <v>3176</v>
      </c>
      <c r="C170" s="2989"/>
      <c r="D170" s="2989"/>
      <c r="E170" s="2989"/>
      <c r="F170" s="2973">
        <v>0.05</v>
      </c>
      <c r="G170" s="2985"/>
    </row>
    <row r="171" spans="1:7">
      <c r="A171" s="2983" t="s">
        <v>29</v>
      </c>
      <c r="B171" s="2972" t="s">
        <v>3177</v>
      </c>
      <c r="C171" s="2989"/>
      <c r="D171" s="2989"/>
      <c r="E171" s="2989"/>
      <c r="F171" s="2973">
        <v>0.05</v>
      </c>
      <c r="G171" s="2990"/>
    </row>
    <row r="172" spans="1:7">
      <c r="A172" s="2983" t="s">
        <v>29</v>
      </c>
      <c r="B172" s="2972" t="s">
        <v>3178</v>
      </c>
      <c r="C172" s="2989"/>
      <c r="D172" s="2989"/>
      <c r="E172" s="2989"/>
      <c r="F172" s="2973">
        <v>0.05</v>
      </c>
      <c r="G172" s="2990"/>
    </row>
    <row r="173" spans="1:7">
      <c r="A173" s="2983" t="s">
        <v>29</v>
      </c>
      <c r="B173" s="2972" t="s">
        <v>3179</v>
      </c>
      <c r="C173" s="2989"/>
      <c r="D173" s="2989"/>
      <c r="E173" s="2989"/>
      <c r="F173" s="2973">
        <v>0.05</v>
      </c>
      <c r="G173" s="2985"/>
    </row>
    <row r="174" spans="1:7">
      <c r="A174" s="2983" t="s">
        <v>29</v>
      </c>
      <c r="B174" s="2972" t="s">
        <v>3180</v>
      </c>
      <c r="C174" s="2989"/>
      <c r="D174" s="2989"/>
      <c r="E174" s="2989"/>
      <c r="F174" s="2973">
        <v>0.05</v>
      </c>
      <c r="G174" s="2985"/>
    </row>
    <row r="175" spans="1:7">
      <c r="A175" s="2983" t="s">
        <v>29</v>
      </c>
      <c r="B175" s="2972" t="s">
        <v>3181</v>
      </c>
      <c r="C175" s="2989"/>
      <c r="D175" s="2989"/>
      <c r="E175" s="2989"/>
      <c r="F175" s="2973">
        <v>0.05</v>
      </c>
      <c r="G175" s="2985"/>
    </row>
    <row r="176" spans="1:7">
      <c r="A176" s="2983" t="s">
        <v>29</v>
      </c>
      <c r="B176" s="2972" t="s">
        <v>3182</v>
      </c>
      <c r="C176" s="2989"/>
      <c r="D176" s="2989"/>
      <c r="E176" s="2989"/>
      <c r="F176" s="2973">
        <v>0.05</v>
      </c>
      <c r="G176" s="2985"/>
    </row>
    <row r="177" spans="1:7">
      <c r="A177" s="2983" t="s">
        <v>29</v>
      </c>
      <c r="B177" s="2972" t="s">
        <v>3183</v>
      </c>
      <c r="C177" s="2984"/>
      <c r="D177" s="2984"/>
      <c r="E177" s="2984"/>
      <c r="F177" s="2973">
        <v>0.05</v>
      </c>
      <c r="G177" s="2990"/>
    </row>
    <row r="178" spans="1:7">
      <c r="A178" s="2983" t="s">
        <v>29</v>
      </c>
      <c r="B178" s="2972" t="s">
        <v>3184</v>
      </c>
      <c r="C178" s="2984"/>
      <c r="D178" s="2984"/>
      <c r="E178" s="2984"/>
      <c r="F178" s="2973">
        <v>0.05</v>
      </c>
      <c r="G178" s="2990"/>
    </row>
    <row r="179" spans="1:7">
      <c r="A179" s="2983" t="s">
        <v>29</v>
      </c>
      <c r="B179" s="2972" t="s">
        <v>3185</v>
      </c>
      <c r="C179" s="2984"/>
      <c r="D179" s="2984"/>
      <c r="E179" s="2984"/>
      <c r="F179" s="2973">
        <v>0.05</v>
      </c>
      <c r="G179" s="2990"/>
    </row>
    <row r="180" spans="1:7">
      <c r="A180" s="2983" t="s">
        <v>29</v>
      </c>
      <c r="B180" s="2972" t="s">
        <v>3186</v>
      </c>
      <c r="C180" s="2984"/>
      <c r="D180" s="2984"/>
      <c r="E180" s="2984"/>
      <c r="F180" s="2973">
        <v>0.05</v>
      </c>
      <c r="G180" s="2990"/>
    </row>
    <row r="181" spans="1:7">
      <c r="A181" s="2983" t="s">
        <v>29</v>
      </c>
      <c r="B181" s="2972" t="s">
        <v>3187</v>
      </c>
      <c r="C181" s="2984"/>
      <c r="D181" s="2984"/>
      <c r="E181" s="2984"/>
      <c r="F181" s="2973">
        <v>0.05</v>
      </c>
      <c r="G181" s="2990"/>
    </row>
    <row r="182" spans="1:7">
      <c r="A182" s="2983" t="s">
        <v>29</v>
      </c>
      <c r="B182" s="2972" t="s">
        <v>3188</v>
      </c>
      <c r="C182" s="2984"/>
      <c r="D182" s="2984"/>
      <c r="E182" s="2984"/>
      <c r="F182" s="2973">
        <v>0.05</v>
      </c>
      <c r="G182" s="2990"/>
    </row>
    <row r="183" spans="1:7">
      <c r="A183" s="2983" t="s">
        <v>29</v>
      </c>
      <c r="B183" s="2972" t="s">
        <v>3189</v>
      </c>
      <c r="C183" s="2984"/>
      <c r="D183" s="2984"/>
      <c r="E183" s="2984"/>
      <c r="F183" s="2973">
        <v>0.05</v>
      </c>
      <c r="G183" s="2990"/>
    </row>
    <row r="184" spans="1:7">
      <c r="A184" s="2983" t="s">
        <v>29</v>
      </c>
      <c r="B184" s="2972" t="s">
        <v>3190</v>
      </c>
      <c r="C184" s="2984"/>
      <c r="D184" s="2984"/>
      <c r="E184" s="2984"/>
      <c r="F184" s="2973">
        <v>0.05</v>
      </c>
      <c r="G184" s="2990"/>
    </row>
    <row r="185" spans="1:7">
      <c r="A185" s="2983" t="s">
        <v>29</v>
      </c>
      <c r="B185" s="2972" t="s">
        <v>3191</v>
      </c>
      <c r="C185" s="2984"/>
      <c r="D185" s="2984"/>
      <c r="E185" s="2984"/>
      <c r="F185" s="2973">
        <v>0.05</v>
      </c>
      <c r="G185" s="2990"/>
    </row>
    <row r="186" spans="1:7">
      <c r="A186" s="2983" t="s">
        <v>29</v>
      </c>
      <c r="B186" s="2972" t="s">
        <v>3192</v>
      </c>
      <c r="C186" s="2984"/>
      <c r="D186" s="2984"/>
      <c r="E186" s="2984"/>
      <c r="F186" s="2973">
        <v>0.05</v>
      </c>
      <c r="G186" s="2990"/>
    </row>
    <row r="187" spans="1:7">
      <c r="A187" s="2983" t="s">
        <v>29</v>
      </c>
      <c r="B187" s="2972" t="s">
        <v>3193</v>
      </c>
      <c r="C187" s="2984"/>
      <c r="D187" s="2984"/>
      <c r="E187" s="2984"/>
      <c r="F187" s="2973">
        <v>0.05</v>
      </c>
      <c r="G187" s="2990"/>
    </row>
    <row r="188" spans="1:7">
      <c r="A188" s="2983" t="s">
        <v>29</v>
      </c>
      <c r="B188" s="2972" t="s">
        <v>3194</v>
      </c>
      <c r="C188" s="2984"/>
      <c r="D188" s="2984"/>
      <c r="E188" s="2984"/>
      <c r="F188" s="2973">
        <v>0.05</v>
      </c>
      <c r="G188" s="2990"/>
    </row>
    <row r="189" spans="1:7" ht="15" thickBot="1">
      <c r="A189" s="2986" t="s">
        <v>29</v>
      </c>
      <c r="B189" s="2976" t="s">
        <v>3195</v>
      </c>
      <c r="C189" s="2978"/>
      <c r="D189" s="2978"/>
      <c r="E189" s="2978"/>
      <c r="F189" s="2977">
        <v>0.05</v>
      </c>
      <c r="G189" s="2991"/>
    </row>
    <row r="190" spans="1:7">
      <c r="A190" s="2982" t="s">
        <v>304</v>
      </c>
      <c r="B190" s="2968" t="s">
        <v>2851</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2887</v>
      </c>
      <c r="C199" s="2973">
        <v>0.13</v>
      </c>
      <c r="D199" s="2973">
        <v>0.13</v>
      </c>
      <c r="E199" s="2973">
        <v>0.13</v>
      </c>
      <c r="F199" s="2973">
        <v>0.13</v>
      </c>
      <c r="G199" s="2974">
        <v>0.13</v>
      </c>
    </row>
    <row r="200" spans="1:7">
      <c r="A200" s="2983" t="s">
        <v>304</v>
      </c>
      <c r="B200" s="2972" t="s">
        <v>2890</v>
      </c>
      <c r="C200" s="2989"/>
      <c r="D200" s="2989"/>
      <c r="E200" s="2989"/>
      <c r="F200" s="2973">
        <v>0.13</v>
      </c>
      <c r="G200" s="2985"/>
    </row>
    <row r="201" spans="1:7">
      <c r="A201" s="2983" t="s">
        <v>304</v>
      </c>
      <c r="B201" s="2972" t="s">
        <v>2895</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2898</v>
      </c>
      <c r="C203" s="2973">
        <v>0.129</v>
      </c>
      <c r="D203" s="2973">
        <v>0.129</v>
      </c>
      <c r="E203" s="2973">
        <v>0.13</v>
      </c>
      <c r="F203" s="2973">
        <v>0.13</v>
      </c>
      <c r="G203" s="2974">
        <v>0.13</v>
      </c>
    </row>
    <row r="204" spans="1:7">
      <c r="A204" s="2983" t="s">
        <v>304</v>
      </c>
      <c r="B204" s="2972" t="s">
        <v>2901</v>
      </c>
      <c r="C204" s="2973">
        <v>0.129</v>
      </c>
      <c r="D204" s="2973">
        <v>0.129</v>
      </c>
      <c r="E204" s="2973">
        <v>0.123</v>
      </c>
      <c r="F204" s="2973">
        <v>0.13</v>
      </c>
      <c r="G204" s="2974">
        <v>0.13</v>
      </c>
    </row>
    <row r="205" spans="1:7">
      <c r="A205" s="2983" t="s">
        <v>304</v>
      </c>
      <c r="B205" s="2972" t="s">
        <v>2903</v>
      </c>
      <c r="C205" s="2973">
        <v>0.13</v>
      </c>
      <c r="D205" s="2973">
        <v>0.13</v>
      </c>
      <c r="E205" s="2973">
        <v>0.13</v>
      </c>
      <c r="F205" s="2973">
        <v>0.13</v>
      </c>
      <c r="G205" s="2974">
        <v>0.13</v>
      </c>
    </row>
    <row r="206" spans="1:7">
      <c r="A206" s="2983" t="s">
        <v>304</v>
      </c>
      <c r="B206" s="2972" t="s">
        <v>2906</v>
      </c>
      <c r="C206" s="2973">
        <v>0.13</v>
      </c>
      <c r="D206" s="2973">
        <v>0.13</v>
      </c>
      <c r="E206" s="2973">
        <v>0.13</v>
      </c>
      <c r="F206" s="2973">
        <v>0.128</v>
      </c>
      <c r="G206" s="2974">
        <v>0.13</v>
      </c>
    </row>
    <row r="207" spans="1:7">
      <c r="A207" s="2983" t="s">
        <v>304</v>
      </c>
      <c r="B207" s="2972" t="s">
        <v>2908</v>
      </c>
      <c r="C207" s="2973">
        <v>0.13</v>
      </c>
      <c r="D207" s="2973">
        <v>0.13</v>
      </c>
      <c r="E207" s="2973">
        <v>0.13</v>
      </c>
      <c r="F207" s="2973">
        <v>0.13</v>
      </c>
      <c r="G207" s="2974">
        <v>0.13</v>
      </c>
    </row>
    <row r="208" spans="1:7">
      <c r="A208" s="2983" t="s">
        <v>304</v>
      </c>
      <c r="B208" s="2972" t="s">
        <v>2911</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2918</v>
      </c>
      <c r="C210" s="2973">
        <v>0.121</v>
      </c>
      <c r="D210" s="2973">
        <v>0.121</v>
      </c>
      <c r="E210" s="2973">
        <v>0.125</v>
      </c>
      <c r="F210" s="2973">
        <v>0.13</v>
      </c>
      <c r="G210" s="2974">
        <v>0.123</v>
      </c>
    </row>
    <row r="211" spans="1:7">
      <c r="A211" s="2983" t="s">
        <v>304</v>
      </c>
      <c r="B211" s="2972" t="s">
        <v>2921</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2933</v>
      </c>
      <c r="C214" s="2973">
        <v>0.128</v>
      </c>
      <c r="D214" s="2973">
        <v>0.128</v>
      </c>
      <c r="E214" s="2973">
        <v>0.13</v>
      </c>
      <c r="F214" s="2973">
        <v>0.13</v>
      </c>
      <c r="G214" s="2974">
        <v>0.13</v>
      </c>
    </row>
    <row r="215" spans="1:7">
      <c r="A215" s="2983" t="s">
        <v>304</v>
      </c>
      <c r="B215" s="2972" t="s">
        <v>2937</v>
      </c>
      <c r="C215" s="2973">
        <v>0.13</v>
      </c>
      <c r="D215" s="2973">
        <v>0.13</v>
      </c>
      <c r="E215" s="2973">
        <v>0.13</v>
      </c>
      <c r="F215" s="2973">
        <v>0.129</v>
      </c>
      <c r="G215" s="2974">
        <v>0.13</v>
      </c>
    </row>
    <row r="216" spans="1:7">
      <c r="A216" s="2983" t="s">
        <v>304</v>
      </c>
      <c r="B216" s="2972" t="s">
        <v>2944</v>
      </c>
      <c r="C216" s="2973">
        <v>0.13</v>
      </c>
      <c r="D216" s="2973">
        <v>0.13</v>
      </c>
      <c r="E216" s="2973">
        <v>0.13</v>
      </c>
      <c r="F216" s="2973">
        <v>0.13</v>
      </c>
      <c r="G216" s="2974">
        <v>0.13</v>
      </c>
    </row>
    <row r="217" spans="1:7">
      <c r="A217" s="2983" t="s">
        <v>304</v>
      </c>
      <c r="B217" s="2972" t="s">
        <v>2951</v>
      </c>
      <c r="C217" s="2973">
        <v>0.129</v>
      </c>
      <c r="D217" s="2973">
        <v>0.129</v>
      </c>
      <c r="E217" s="2973">
        <v>0.13</v>
      </c>
      <c r="F217" s="2973">
        <v>0.13</v>
      </c>
      <c r="G217" s="2974">
        <v>0.13</v>
      </c>
    </row>
    <row r="218" spans="1:7">
      <c r="A218" s="2983" t="s">
        <v>304</v>
      </c>
      <c r="B218" s="2972" t="s">
        <v>2957</v>
      </c>
      <c r="C218" s="2984"/>
      <c r="D218" s="2984"/>
      <c r="E218" s="2984"/>
      <c r="F218" s="2973">
        <v>0.05</v>
      </c>
      <c r="G218" s="2990"/>
    </row>
    <row r="219" spans="1:7">
      <c r="A219" s="2983" t="s">
        <v>304</v>
      </c>
      <c r="B219" s="2972" t="s">
        <v>2964</v>
      </c>
      <c r="C219" s="2984"/>
      <c r="D219" s="2984"/>
      <c r="E219" s="2984"/>
      <c r="F219" s="2973">
        <v>0.05</v>
      </c>
      <c r="G219" s="2990"/>
    </row>
    <row r="220" spans="1:7">
      <c r="A220" s="2983" t="s">
        <v>304</v>
      </c>
      <c r="B220" s="2972" t="s">
        <v>2970</v>
      </c>
      <c r="C220" s="2984"/>
      <c r="D220" s="2984"/>
      <c r="E220" s="2984"/>
      <c r="F220" s="2973">
        <v>0.05</v>
      </c>
      <c r="G220" s="2990"/>
    </row>
    <row r="221" spans="1:7">
      <c r="A221" s="2983" t="s">
        <v>304</v>
      </c>
      <c r="B221" s="2972" t="s">
        <v>2975</v>
      </c>
      <c r="C221" s="2984"/>
      <c r="D221" s="2984"/>
      <c r="E221" s="2984"/>
      <c r="F221" s="2973">
        <v>0.05</v>
      </c>
      <c r="G221" s="2990"/>
    </row>
    <row r="222" spans="1:7">
      <c r="A222" s="2983" t="s">
        <v>304</v>
      </c>
      <c r="B222" s="2972" t="s">
        <v>2979</v>
      </c>
      <c r="C222" s="2984"/>
      <c r="D222" s="2984"/>
      <c r="E222" s="2984"/>
      <c r="F222" s="2973">
        <v>0.05</v>
      </c>
      <c r="G222" s="2990"/>
    </row>
    <row r="223" spans="1:7">
      <c r="A223" s="2983" t="s">
        <v>304</v>
      </c>
      <c r="B223" s="2972" t="s">
        <v>2984</v>
      </c>
      <c r="C223" s="2984"/>
      <c r="D223" s="2984"/>
      <c r="E223" s="2984"/>
      <c r="F223" s="2973">
        <v>0.05</v>
      </c>
      <c r="G223" s="2990"/>
    </row>
    <row r="224" spans="1:7">
      <c r="A224" s="2983" t="s">
        <v>304</v>
      </c>
      <c r="B224" s="2972" t="s">
        <v>2989</v>
      </c>
      <c r="C224" s="2984"/>
      <c r="D224" s="2984"/>
      <c r="E224" s="2984"/>
      <c r="F224" s="2973">
        <v>0.05</v>
      </c>
      <c r="G224" s="2990"/>
    </row>
    <row r="225" spans="1:7">
      <c r="A225" s="2983" t="s">
        <v>304</v>
      </c>
      <c r="B225" s="2972" t="s">
        <v>2994</v>
      </c>
      <c r="C225" s="2984"/>
      <c r="D225" s="2984"/>
      <c r="E225" s="2984"/>
      <c r="F225" s="2973">
        <v>0.05</v>
      </c>
      <c r="G225" s="2990"/>
    </row>
    <row r="226" spans="1:7">
      <c r="A226" s="2983" t="s">
        <v>304</v>
      </c>
      <c r="B226" s="2972" t="s">
        <v>3196</v>
      </c>
      <c r="C226" s="2984"/>
      <c r="D226" s="2984"/>
      <c r="E226" s="2984"/>
      <c r="F226" s="2973">
        <v>0.05</v>
      </c>
      <c r="G226" s="2990"/>
    </row>
    <row r="227" spans="1:7">
      <c r="A227" s="2983" t="s">
        <v>304</v>
      </c>
      <c r="B227" s="2972" t="s">
        <v>3197</v>
      </c>
      <c r="C227" s="2984"/>
      <c r="D227" s="2984"/>
      <c r="E227" s="2984"/>
      <c r="F227" s="2973">
        <v>0.05</v>
      </c>
      <c r="G227" s="2990"/>
    </row>
    <row r="228" spans="1:7">
      <c r="A228" s="2983" t="s">
        <v>304</v>
      </c>
      <c r="B228" s="2972" t="s">
        <v>3198</v>
      </c>
      <c r="C228" s="2984"/>
      <c r="D228" s="2984"/>
      <c r="E228" s="2984"/>
      <c r="F228" s="2973">
        <v>0.05</v>
      </c>
      <c r="G228" s="2990"/>
    </row>
    <row r="229" spans="1:7">
      <c r="A229" s="2983" t="s">
        <v>304</v>
      </c>
      <c r="B229" s="2972" t="s">
        <v>3199</v>
      </c>
      <c r="C229" s="2984"/>
      <c r="D229" s="2984"/>
      <c r="E229" s="2984"/>
      <c r="F229" s="2973">
        <v>0.05</v>
      </c>
      <c r="G229" s="2990"/>
    </row>
    <row r="230" spans="1:7">
      <c r="A230" s="2983" t="s">
        <v>304</v>
      </c>
      <c r="B230" s="2972" t="s">
        <v>3200</v>
      </c>
      <c r="C230" s="2984"/>
      <c r="D230" s="2984"/>
      <c r="E230" s="2984"/>
      <c r="F230" s="2973">
        <v>0.05</v>
      </c>
      <c r="G230" s="2990"/>
    </row>
    <row r="231" spans="1:7">
      <c r="A231" s="2983" t="s">
        <v>304</v>
      </c>
      <c r="B231" s="2972" t="s">
        <v>3201</v>
      </c>
      <c r="C231" s="2984"/>
      <c r="D231" s="2984"/>
      <c r="E231" s="2984"/>
      <c r="F231" s="2973">
        <v>0.05</v>
      </c>
      <c r="G231" s="2990"/>
    </row>
    <row r="232" spans="1:7">
      <c r="A232" s="2983" t="s">
        <v>304</v>
      </c>
      <c r="B232" s="2972" t="s">
        <v>3202</v>
      </c>
      <c r="C232" s="2984"/>
      <c r="D232" s="2984"/>
      <c r="E232" s="2984"/>
      <c r="F232" s="2973">
        <v>0.05</v>
      </c>
      <c r="G232" s="2990"/>
    </row>
    <row r="233" spans="1:7" ht="15" thickBot="1">
      <c r="A233" s="2986" t="s">
        <v>304</v>
      </c>
      <c r="B233" s="2976" t="s">
        <v>3203</v>
      </c>
      <c r="C233" s="2978"/>
      <c r="D233" s="2978"/>
      <c r="E233" s="2978"/>
      <c r="F233" s="2977">
        <v>0.05</v>
      </c>
      <c r="G233" s="2991"/>
    </row>
    <row r="234" spans="1:7">
      <c r="A234" s="2982" t="s">
        <v>305</v>
      </c>
      <c r="B234" s="2968" t="s">
        <v>2852</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2872</v>
      </c>
      <c r="C238" s="2973">
        <v>0.14899999999999999</v>
      </c>
      <c r="D238" s="2973">
        <v>0.14899999999999999</v>
      </c>
      <c r="E238" s="2973">
        <v>0.15</v>
      </c>
      <c r="F238" s="2973">
        <v>0.15</v>
      </c>
      <c r="G238" s="2974">
        <v>0.15</v>
      </c>
    </row>
    <row r="239" spans="1:7">
      <c r="A239" s="2983" t="s">
        <v>305</v>
      </c>
      <c r="B239" s="2972" t="s">
        <v>2876</v>
      </c>
      <c r="C239" s="2973">
        <v>0.15</v>
      </c>
      <c r="D239" s="2973">
        <v>0.15</v>
      </c>
      <c r="E239" s="2973">
        <v>0.15</v>
      </c>
      <c r="F239" s="2973">
        <v>0.15</v>
      </c>
      <c r="G239" s="2974">
        <v>0.15</v>
      </c>
    </row>
    <row r="240" spans="1:7">
      <c r="A240" s="2983" t="s">
        <v>305</v>
      </c>
      <c r="B240" s="2972" t="s">
        <v>2881</v>
      </c>
      <c r="C240" s="2973">
        <v>0.15</v>
      </c>
      <c r="D240" s="2973">
        <v>0.15</v>
      </c>
      <c r="E240" s="2973">
        <v>0.15</v>
      </c>
      <c r="F240" s="2973">
        <v>0.15</v>
      </c>
      <c r="G240" s="2974">
        <v>0.15</v>
      </c>
    </row>
    <row r="241" spans="1:7">
      <c r="A241" s="2983" t="s">
        <v>305</v>
      </c>
      <c r="B241" s="2972" t="s">
        <v>2885</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2891</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2899</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2904</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2912</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2925</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2934</v>
      </c>
      <c r="C258" s="2973">
        <v>0.14299999999999999</v>
      </c>
      <c r="D258" s="2973">
        <v>0.14299999999999999</v>
      </c>
      <c r="E258" s="2973">
        <v>0.15</v>
      </c>
      <c r="F258" s="2973">
        <v>0.14799999999999999</v>
      </c>
      <c r="G258" s="2974">
        <v>0.14599999999999999</v>
      </c>
    </row>
    <row r="259" spans="1:7">
      <c r="A259" s="2983" t="s">
        <v>305</v>
      </c>
      <c r="B259" s="2972" t="s">
        <v>2938</v>
      </c>
      <c r="C259" s="2973">
        <v>0.14399999999999999</v>
      </c>
      <c r="D259" s="2973">
        <v>0.14399999999999999</v>
      </c>
      <c r="E259" s="2973">
        <v>0.14899999999999999</v>
      </c>
      <c r="F259" s="2973">
        <v>0.14699999999999999</v>
      </c>
      <c r="G259" s="2974">
        <v>0.14599999999999999</v>
      </c>
    </row>
    <row r="260" spans="1:7">
      <c r="A260" s="2983" t="s">
        <v>305</v>
      </c>
      <c r="B260" s="2972" t="s">
        <v>2945</v>
      </c>
      <c r="C260" s="2973">
        <v>0.109</v>
      </c>
      <c r="D260" s="2973">
        <v>0.111</v>
      </c>
      <c r="E260" s="2973">
        <v>0.13100000000000001</v>
      </c>
      <c r="F260" s="2973">
        <v>0.126</v>
      </c>
      <c r="G260" s="2974">
        <v>0.11899999999999999</v>
      </c>
    </row>
    <row r="261" spans="1:7">
      <c r="A261" s="2983" t="s">
        <v>305</v>
      </c>
      <c r="B261" s="2972" t="s">
        <v>2952</v>
      </c>
      <c r="C261" s="2973">
        <v>0.1</v>
      </c>
      <c r="D261" s="2973">
        <v>0.1</v>
      </c>
      <c r="E261" s="2973">
        <v>0.11799999999999999</v>
      </c>
      <c r="F261" s="2973">
        <v>0.108</v>
      </c>
      <c r="G261" s="2974">
        <v>0.107</v>
      </c>
    </row>
    <row r="262" spans="1:7">
      <c r="A262" s="2983" t="s">
        <v>305</v>
      </c>
      <c r="B262" s="2972" t="s">
        <v>2958</v>
      </c>
      <c r="C262" s="2973">
        <v>0.1</v>
      </c>
      <c r="D262" s="2973">
        <v>0.1</v>
      </c>
      <c r="E262" s="2973">
        <v>0.1</v>
      </c>
      <c r="F262" s="2973">
        <v>0.14099999999999999</v>
      </c>
      <c r="G262" s="2974">
        <v>0.1</v>
      </c>
    </row>
    <row r="263" spans="1:7">
      <c r="A263" s="2983" t="s">
        <v>305</v>
      </c>
      <c r="B263" s="2972" t="s">
        <v>2965</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2976</v>
      </c>
      <c r="C265" s="2984"/>
      <c r="D265" s="2984"/>
      <c r="E265" s="2984"/>
      <c r="F265" s="2973">
        <v>0.05</v>
      </c>
      <c r="G265" s="2990"/>
    </row>
    <row r="266" spans="1:7">
      <c r="A266" s="2983" t="s">
        <v>305</v>
      </c>
      <c r="B266" s="2972" t="s">
        <v>2980</v>
      </c>
      <c r="C266" s="2984"/>
      <c r="D266" s="2984"/>
      <c r="E266" s="2984"/>
      <c r="F266" s="2973">
        <v>0.05</v>
      </c>
      <c r="G266" s="2990"/>
    </row>
    <row r="267" spans="1:7">
      <c r="A267" s="2983" t="s">
        <v>305</v>
      </c>
      <c r="B267" s="2972" t="s">
        <v>2985</v>
      </c>
      <c r="C267" s="2984"/>
      <c r="D267" s="2984"/>
      <c r="E267" s="2984"/>
      <c r="F267" s="2973">
        <v>0.05</v>
      </c>
      <c r="G267" s="2990"/>
    </row>
    <row r="268" spans="1:7">
      <c r="A268" s="2983" t="s">
        <v>305</v>
      </c>
      <c r="B268" s="2972" t="s">
        <v>2990</v>
      </c>
      <c r="C268" s="2984"/>
      <c r="D268" s="2984"/>
      <c r="E268" s="2984"/>
      <c r="F268" s="2973">
        <v>0.05</v>
      </c>
      <c r="G268" s="2990"/>
    </row>
    <row r="269" spans="1:7">
      <c r="A269" s="2983" t="s">
        <v>305</v>
      </c>
      <c r="B269" s="2972" t="s">
        <v>2995</v>
      </c>
      <c r="C269" s="2984"/>
      <c r="D269" s="2984"/>
      <c r="E269" s="2984"/>
      <c r="F269" s="2973">
        <v>0.05</v>
      </c>
      <c r="G269" s="2990"/>
    </row>
    <row r="270" spans="1:7">
      <c r="A270" s="2983" t="s">
        <v>305</v>
      </c>
      <c r="B270" s="2972" t="s">
        <v>3000</v>
      </c>
      <c r="C270" s="2984"/>
      <c r="D270" s="2984"/>
      <c r="E270" s="2984"/>
      <c r="F270" s="2973">
        <v>0.05</v>
      </c>
      <c r="G270" s="2990"/>
    </row>
    <row r="271" spans="1:7">
      <c r="A271" s="2983" t="s">
        <v>305</v>
      </c>
      <c r="B271" s="2972" t="s">
        <v>3204</v>
      </c>
      <c r="C271" s="2984"/>
      <c r="D271" s="2984"/>
      <c r="E271" s="2984"/>
      <c r="F271" s="2973">
        <v>0.05</v>
      </c>
      <c r="G271" s="2990"/>
    </row>
    <row r="272" spans="1:7">
      <c r="A272" s="2983" t="s">
        <v>305</v>
      </c>
      <c r="B272" s="2972" t="s">
        <v>3205</v>
      </c>
      <c r="C272" s="2984"/>
      <c r="D272" s="2984"/>
      <c r="E272" s="2984"/>
      <c r="F272" s="2973">
        <v>0.05</v>
      </c>
      <c r="G272" s="2990"/>
    </row>
    <row r="273" spans="1:7">
      <c r="A273" s="2983" t="s">
        <v>305</v>
      </c>
      <c r="B273" s="2972" t="s">
        <v>3206</v>
      </c>
      <c r="C273" s="2984"/>
      <c r="D273" s="2984"/>
      <c r="E273" s="2984"/>
      <c r="F273" s="2973">
        <v>0.05</v>
      </c>
      <c r="G273" s="2990"/>
    </row>
    <row r="274" spans="1:7">
      <c r="A274" s="2983" t="s">
        <v>305</v>
      </c>
      <c r="B274" s="2972" t="s">
        <v>3207</v>
      </c>
      <c r="C274" s="2984"/>
      <c r="D274" s="2984"/>
      <c r="E274" s="2984"/>
      <c r="F274" s="2973">
        <v>0.05</v>
      </c>
      <c r="G274" s="2990"/>
    </row>
    <row r="275" spans="1:7">
      <c r="A275" s="2983" t="s">
        <v>305</v>
      </c>
      <c r="B275" s="2972" t="s">
        <v>3208</v>
      </c>
      <c r="C275" s="2984"/>
      <c r="D275" s="2984"/>
      <c r="E275" s="2984"/>
      <c r="F275" s="2973">
        <v>0.05</v>
      </c>
      <c r="G275" s="2990"/>
    </row>
    <row r="276" spans="1:7" ht="15" thickBot="1">
      <c r="A276" s="2986" t="s">
        <v>305</v>
      </c>
      <c r="B276" s="2976" t="s">
        <v>3209</v>
      </c>
      <c r="C276" s="2978"/>
      <c r="D276" s="2978"/>
      <c r="E276" s="2978"/>
      <c r="F276" s="2977">
        <v>0.05</v>
      </c>
      <c r="G276" s="2991"/>
    </row>
    <row r="277" spans="1:7">
      <c r="A277" s="2982" t="s">
        <v>306</v>
      </c>
      <c r="B277" s="2968" t="s">
        <v>2853</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2865</v>
      </c>
      <c r="C279" s="2973">
        <v>0.15</v>
      </c>
      <c r="D279" s="2973">
        <v>0.15</v>
      </c>
      <c r="E279" s="2973">
        <v>0.15</v>
      </c>
      <c r="F279" s="2973">
        <v>0.15</v>
      </c>
      <c r="G279" s="2974">
        <v>0.15</v>
      </c>
    </row>
    <row r="280" spans="1:7">
      <c r="A280" s="2983" t="s">
        <v>306</v>
      </c>
      <c r="B280" s="2972" t="s">
        <v>2869</v>
      </c>
      <c r="C280" s="2973">
        <v>0.15</v>
      </c>
      <c r="D280" s="2973">
        <v>0.15</v>
      </c>
      <c r="E280" s="2973">
        <v>0.15</v>
      </c>
      <c r="F280" s="2973">
        <v>0.15</v>
      </c>
      <c r="G280" s="2974">
        <v>0.15</v>
      </c>
    </row>
    <row r="281" spans="1:7">
      <c r="A281" s="2983" t="s">
        <v>306</v>
      </c>
      <c r="B281" s="2972" t="s">
        <v>2873</v>
      </c>
      <c r="C281" s="2973">
        <v>0.15</v>
      </c>
      <c r="D281" s="2973">
        <v>0.15</v>
      </c>
      <c r="E281" s="2973">
        <v>0.15</v>
      </c>
      <c r="F281" s="2973">
        <v>0.15</v>
      </c>
      <c r="G281" s="2974">
        <v>0.15</v>
      </c>
    </row>
    <row r="282" spans="1:7">
      <c r="A282" s="2983" t="s">
        <v>306</v>
      </c>
      <c r="B282" s="2972" t="s">
        <v>2877</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2892</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2897</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2907</v>
      </c>
      <c r="C293" s="2973">
        <v>0.15</v>
      </c>
      <c r="D293" s="2973">
        <v>0.15</v>
      </c>
      <c r="E293" s="2973">
        <v>0.15</v>
      </c>
      <c r="F293" s="2973">
        <v>0.14499999999999999</v>
      </c>
      <c r="G293" s="2974">
        <v>0.15</v>
      </c>
    </row>
    <row r="294" spans="1:7">
      <c r="A294" s="2983" t="s">
        <v>306</v>
      </c>
      <c r="B294" s="2972" t="s">
        <v>2909</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2926</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2939</v>
      </c>
      <c r="C302" s="2973">
        <v>0.15</v>
      </c>
      <c r="D302" s="2973">
        <v>0.15</v>
      </c>
      <c r="E302" s="2973">
        <v>0.15</v>
      </c>
      <c r="F302" s="2973">
        <v>0.14699999999999999</v>
      </c>
      <c r="G302" s="2974">
        <v>0.15</v>
      </c>
    </row>
    <row r="303" spans="1:7">
      <c r="A303" s="2983" t="s">
        <v>306</v>
      </c>
      <c r="B303" s="2972" t="s">
        <v>2946</v>
      </c>
      <c r="C303" s="2973">
        <v>0.15</v>
      </c>
      <c r="D303" s="2973">
        <v>0.15</v>
      </c>
      <c r="E303" s="2973">
        <v>0.15</v>
      </c>
      <c r="F303" s="2973">
        <v>0.14199999999999999</v>
      </c>
      <c r="G303" s="2974">
        <v>0.15</v>
      </c>
    </row>
    <row r="304" spans="1:7">
      <c r="A304" s="2983" t="s">
        <v>306</v>
      </c>
      <c r="B304" s="2972" t="s">
        <v>2953</v>
      </c>
      <c r="C304" s="2973">
        <v>0.15</v>
      </c>
      <c r="D304" s="2973">
        <v>0.15</v>
      </c>
      <c r="E304" s="2973">
        <v>0.15</v>
      </c>
      <c r="F304" s="2973">
        <v>0.14499999999999999</v>
      </c>
      <c r="G304" s="2974">
        <v>0.15</v>
      </c>
    </row>
    <row r="305" spans="1:7">
      <c r="A305" s="2983" t="s">
        <v>306</v>
      </c>
      <c r="B305" s="2972" t="s">
        <v>2959</v>
      </c>
      <c r="C305" s="2973">
        <v>0.15</v>
      </c>
      <c r="D305" s="2973">
        <v>0.15</v>
      </c>
      <c r="E305" s="2973">
        <v>0.15</v>
      </c>
      <c r="F305" s="2973">
        <v>0.111</v>
      </c>
      <c r="G305" s="2974">
        <v>0.15</v>
      </c>
    </row>
    <row r="306" spans="1:7">
      <c r="A306" s="2983" t="s">
        <v>306</v>
      </c>
      <c r="B306" s="2972" t="s">
        <v>2966</v>
      </c>
      <c r="C306" s="2973">
        <v>0.15</v>
      </c>
      <c r="D306" s="2973">
        <v>0.15</v>
      </c>
      <c r="E306" s="2973">
        <v>0.15</v>
      </c>
      <c r="F306" s="2973">
        <v>0.126</v>
      </c>
      <c r="G306" s="2974">
        <v>0.15</v>
      </c>
    </row>
    <row r="307" spans="1:7">
      <c r="A307" s="2983" t="s">
        <v>306</v>
      </c>
      <c r="B307" s="2972" t="s">
        <v>2971</v>
      </c>
      <c r="C307" s="2973">
        <v>0.15</v>
      </c>
      <c r="D307" s="2973">
        <v>0.15</v>
      </c>
      <c r="E307" s="2973">
        <v>0.15</v>
      </c>
      <c r="F307" s="2973">
        <v>0.12</v>
      </c>
      <c r="G307" s="2974">
        <v>0.15</v>
      </c>
    </row>
    <row r="308" spans="1:7">
      <c r="A308" s="2983" t="s">
        <v>306</v>
      </c>
      <c r="B308" s="2972" t="s">
        <v>2977</v>
      </c>
      <c r="C308" s="2973">
        <v>0.15</v>
      </c>
      <c r="D308" s="2973">
        <v>0.15</v>
      </c>
      <c r="E308" s="2973">
        <v>0.15</v>
      </c>
      <c r="F308" s="2973">
        <v>0.13</v>
      </c>
      <c r="G308" s="2974">
        <v>0.15</v>
      </c>
    </row>
    <row r="309" spans="1:7">
      <c r="A309" s="2983" t="s">
        <v>306</v>
      </c>
      <c r="B309" s="2972" t="s">
        <v>2981</v>
      </c>
      <c r="C309" s="2973">
        <v>0.15</v>
      </c>
      <c r="D309" s="2973">
        <v>0.15</v>
      </c>
      <c r="E309" s="2973">
        <v>0.15</v>
      </c>
      <c r="F309" s="2973">
        <v>0.14099999999999999</v>
      </c>
      <c r="G309" s="2974">
        <v>0.15</v>
      </c>
    </row>
    <row r="310" spans="1:7">
      <c r="A310" s="2983" t="s">
        <v>306</v>
      </c>
      <c r="B310" s="2972" t="s">
        <v>2986</v>
      </c>
      <c r="C310" s="2973">
        <v>0.15</v>
      </c>
      <c r="D310" s="2973">
        <v>0.15</v>
      </c>
      <c r="E310" s="2973">
        <v>0.15</v>
      </c>
      <c r="F310" s="2973">
        <v>0.15</v>
      </c>
      <c r="G310" s="2974">
        <v>0.15</v>
      </c>
    </row>
    <row r="311" spans="1:7">
      <c r="A311" s="2983" t="s">
        <v>306</v>
      </c>
      <c r="B311" s="2972" t="s">
        <v>2991</v>
      </c>
      <c r="C311" s="2973">
        <v>0.13200000000000001</v>
      </c>
      <c r="D311" s="2973">
        <v>0.13300000000000001</v>
      </c>
      <c r="E311" s="2973">
        <v>0.14499999999999999</v>
      </c>
      <c r="F311" s="2973">
        <v>0.14199999999999999</v>
      </c>
      <c r="G311" s="2974">
        <v>0.14000000000000001</v>
      </c>
    </row>
    <row r="312" spans="1:7">
      <c r="A312" s="2983" t="s">
        <v>306</v>
      </c>
      <c r="B312" s="2972" t="s">
        <v>2996</v>
      </c>
      <c r="C312" s="2973">
        <v>0.13800000000000001</v>
      </c>
      <c r="D312" s="2973">
        <v>0.14000000000000001</v>
      </c>
      <c r="E312" s="2973">
        <v>0.14599999999999999</v>
      </c>
      <c r="F312" s="2973">
        <v>0.14899999999999999</v>
      </c>
      <c r="G312" s="2974">
        <v>0.14199999999999999</v>
      </c>
    </row>
    <row r="313" spans="1:7">
      <c r="A313" s="2983" t="s">
        <v>306</v>
      </c>
      <c r="B313" s="2972" t="s">
        <v>3001</v>
      </c>
      <c r="C313" s="2973">
        <v>0.125</v>
      </c>
      <c r="D313" s="2973">
        <v>0.127</v>
      </c>
      <c r="E313" s="2973">
        <v>0.14399999999999999</v>
      </c>
      <c r="F313" s="2973">
        <v>0.115</v>
      </c>
      <c r="G313" s="2974">
        <v>0.13600000000000001</v>
      </c>
    </row>
    <row r="314" spans="1:7">
      <c r="A314" s="2983" t="s">
        <v>306</v>
      </c>
      <c r="B314" s="2972" t="s">
        <v>3210</v>
      </c>
      <c r="C314" s="2989"/>
      <c r="D314" s="2989"/>
      <c r="E314" s="2989"/>
      <c r="F314" s="2973">
        <v>0.05</v>
      </c>
      <c r="G314" s="2990"/>
    </row>
    <row r="315" spans="1:7">
      <c r="A315" s="2983" t="s">
        <v>306</v>
      </c>
      <c r="B315" s="2972" t="s">
        <v>3211</v>
      </c>
      <c r="C315" s="2989"/>
      <c r="D315" s="2989"/>
      <c r="E315" s="2989"/>
      <c r="F315" s="2973">
        <v>0.05</v>
      </c>
      <c r="G315" s="2990"/>
    </row>
    <row r="316" spans="1:7">
      <c r="A316" s="2983" t="s">
        <v>306</v>
      </c>
      <c r="B316" s="2972" t="s">
        <v>3212</v>
      </c>
      <c r="C316" s="2984"/>
      <c r="D316" s="2984"/>
      <c r="E316" s="2984"/>
      <c r="F316" s="2973">
        <v>0.05</v>
      </c>
      <c r="G316" s="2990"/>
    </row>
    <row r="317" spans="1:7">
      <c r="A317" s="2983" t="s">
        <v>306</v>
      </c>
      <c r="B317" s="2972" t="s">
        <v>3213</v>
      </c>
      <c r="C317" s="2984"/>
      <c r="D317" s="2984"/>
      <c r="E317" s="2984"/>
      <c r="F317" s="2973">
        <v>0.05</v>
      </c>
      <c r="G317" s="2990"/>
    </row>
    <row r="318" spans="1:7">
      <c r="A318" s="2983" t="s">
        <v>306</v>
      </c>
      <c r="B318" s="2972" t="s">
        <v>3214</v>
      </c>
      <c r="C318" s="2984"/>
      <c r="D318" s="2984"/>
      <c r="E318" s="2984"/>
      <c r="F318" s="2973">
        <v>0.05</v>
      </c>
      <c r="G318" s="2990"/>
    </row>
    <row r="319" spans="1:7">
      <c r="A319" s="2983" t="s">
        <v>306</v>
      </c>
      <c r="B319" s="2972" t="s">
        <v>3215</v>
      </c>
      <c r="C319" s="2984"/>
      <c r="D319" s="2984"/>
      <c r="E319" s="2984"/>
      <c r="F319" s="2973">
        <v>0.05</v>
      </c>
      <c r="G319" s="2990"/>
    </row>
    <row r="320" spans="1:7">
      <c r="A320" s="2983" t="s">
        <v>306</v>
      </c>
      <c r="B320" s="2972" t="s">
        <v>3216</v>
      </c>
      <c r="C320" s="2984"/>
      <c r="D320" s="2984"/>
      <c r="E320" s="2984"/>
      <c r="F320" s="2973">
        <v>0.05</v>
      </c>
      <c r="G320" s="2990"/>
    </row>
    <row r="321" spans="1:7">
      <c r="A321" s="2983" t="s">
        <v>306</v>
      </c>
      <c r="B321" s="2972" t="s">
        <v>3217</v>
      </c>
      <c r="C321" s="2984"/>
      <c r="D321" s="2984"/>
      <c r="E321" s="2984"/>
      <c r="F321" s="2973">
        <v>0.05</v>
      </c>
      <c r="G321" s="2990"/>
    </row>
    <row r="322" spans="1:7">
      <c r="A322" s="2983" t="s">
        <v>306</v>
      </c>
      <c r="B322" s="2972" t="s">
        <v>3218</v>
      </c>
      <c r="C322" s="2984"/>
      <c r="D322" s="2984"/>
      <c r="E322" s="2984"/>
      <c r="F322" s="2973">
        <v>0.05</v>
      </c>
      <c r="G322" s="2990"/>
    </row>
    <row r="323" spans="1:7">
      <c r="A323" s="2983" t="s">
        <v>306</v>
      </c>
      <c r="B323" s="2972" t="s">
        <v>3219</v>
      </c>
      <c r="C323" s="2984"/>
      <c r="D323" s="2984"/>
      <c r="E323" s="2984"/>
      <c r="F323" s="2973">
        <v>0.05</v>
      </c>
      <c r="G323" s="2990"/>
    </row>
    <row r="324" spans="1:7">
      <c r="A324" s="2983" t="s">
        <v>306</v>
      </c>
      <c r="B324" s="2972" t="s">
        <v>3220</v>
      </c>
      <c r="C324" s="2984"/>
      <c r="D324" s="2984"/>
      <c r="E324" s="2984"/>
      <c r="F324" s="2973">
        <v>0.05</v>
      </c>
      <c r="G324" s="2990"/>
    </row>
    <row r="325" spans="1:7">
      <c r="A325" s="2983" t="s">
        <v>306</v>
      </c>
      <c r="B325" s="2972" t="s">
        <v>3221</v>
      </c>
      <c r="C325" s="2984"/>
      <c r="D325" s="2984"/>
      <c r="E325" s="2984"/>
      <c r="F325" s="2973">
        <v>0.05</v>
      </c>
      <c r="G325" s="2990"/>
    </row>
    <row r="326" spans="1:7" ht="15" thickBot="1">
      <c r="A326" s="2986" t="s">
        <v>306</v>
      </c>
      <c r="B326" s="2976" t="s">
        <v>3222</v>
      </c>
      <c r="C326" s="2978"/>
      <c r="D326" s="2978"/>
      <c r="E326" s="2978"/>
      <c r="F326" s="2977">
        <v>0.05</v>
      </c>
      <c r="G326" s="2991"/>
    </row>
    <row r="327" spans="1:7">
      <c r="A327" s="2982" t="s">
        <v>307</v>
      </c>
      <c r="B327" s="2968" t="s">
        <v>2854</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2866</v>
      </c>
      <c r="C329" s="2973">
        <v>0.15</v>
      </c>
      <c r="D329" s="2973">
        <v>0.15</v>
      </c>
      <c r="E329" s="2973">
        <v>0.15</v>
      </c>
      <c r="F329" s="2973">
        <v>0.15</v>
      </c>
      <c r="G329" s="2974">
        <v>0.15</v>
      </c>
    </row>
    <row r="330" spans="1:7">
      <c r="A330" s="2983" t="s">
        <v>307</v>
      </c>
      <c r="B330" s="2972" t="s">
        <v>2870</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2878</v>
      </c>
      <c r="C332" s="2973">
        <v>0.15</v>
      </c>
      <c r="D332" s="2973">
        <v>0.15</v>
      </c>
      <c r="E332" s="2973">
        <v>0.15</v>
      </c>
      <c r="F332" s="2973">
        <v>0.15</v>
      </c>
      <c r="G332" s="2974">
        <v>0.15</v>
      </c>
    </row>
    <row r="333" spans="1:7">
      <c r="A333" s="2983" t="s">
        <v>307</v>
      </c>
      <c r="B333" s="2972" t="s">
        <v>2882</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2888</v>
      </c>
      <c r="C336" s="2973">
        <v>0.15</v>
      </c>
      <c r="D336" s="2973">
        <v>0.15</v>
      </c>
      <c r="E336" s="2973">
        <v>0.15</v>
      </c>
      <c r="F336" s="2973">
        <v>0.14199999999999999</v>
      </c>
      <c r="G336" s="2974">
        <v>0.15</v>
      </c>
    </row>
    <row r="337" spans="1:7">
      <c r="A337" s="2983" t="s">
        <v>307</v>
      </c>
      <c r="B337" s="2972" t="s">
        <v>2893</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2900</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2905</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2913</v>
      </c>
      <c r="C345" s="2973">
        <v>0.15</v>
      </c>
      <c r="D345" s="2973">
        <v>0.15</v>
      </c>
      <c r="E345" s="2973">
        <v>0.15</v>
      </c>
      <c r="F345" s="2973">
        <v>0.13800000000000001</v>
      </c>
      <c r="G345" s="2974">
        <v>0.15</v>
      </c>
    </row>
    <row r="346" spans="1:7">
      <c r="A346" s="2983" t="s">
        <v>307</v>
      </c>
      <c r="B346" s="2972" t="s">
        <v>2915</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2922</v>
      </c>
      <c r="C348" s="2973">
        <v>0.15</v>
      </c>
      <c r="D348" s="2973">
        <v>0.15</v>
      </c>
      <c r="E348" s="2973">
        <v>0.15</v>
      </c>
      <c r="F348" s="2973">
        <v>0.14399999999999999</v>
      </c>
      <c r="G348" s="2974">
        <v>0.15</v>
      </c>
    </row>
    <row r="349" spans="1:7">
      <c r="A349" s="2983" t="s">
        <v>307</v>
      </c>
      <c r="B349" s="2972" t="s">
        <v>2927</v>
      </c>
      <c r="C349" s="2973">
        <v>0.15</v>
      </c>
      <c r="D349" s="2973">
        <v>0.15</v>
      </c>
      <c r="E349" s="2973">
        <v>0.15</v>
      </c>
      <c r="F349" s="2973">
        <v>0.15</v>
      </c>
      <c r="G349" s="2974">
        <v>0.15</v>
      </c>
    </row>
    <row r="350" spans="1:7">
      <c r="A350" s="2983" t="s">
        <v>307</v>
      </c>
      <c r="B350" s="2972" t="s">
        <v>2930</v>
      </c>
      <c r="C350" s="2973">
        <v>0.15</v>
      </c>
      <c r="D350" s="2973">
        <v>0.15</v>
      </c>
      <c r="E350" s="2973">
        <v>0.15</v>
      </c>
      <c r="F350" s="2973">
        <v>0.14699999999999999</v>
      </c>
      <c r="G350" s="2974">
        <v>0.15</v>
      </c>
    </row>
    <row r="351" spans="1:7">
      <c r="A351" s="2983" t="s">
        <v>307</v>
      </c>
      <c r="B351" s="2972" t="s">
        <v>2935</v>
      </c>
      <c r="C351" s="2973">
        <v>0.15</v>
      </c>
      <c r="D351" s="2973">
        <v>0.15</v>
      </c>
      <c r="E351" s="2973">
        <v>0.15</v>
      </c>
      <c r="F351" s="2973">
        <v>0.13</v>
      </c>
      <c r="G351" s="2974">
        <v>0.15</v>
      </c>
    </row>
    <row r="352" spans="1:7">
      <c r="A352" s="2983" t="s">
        <v>307</v>
      </c>
      <c r="B352" s="2972" t="s">
        <v>2940</v>
      </c>
      <c r="C352" s="2973">
        <v>0.15</v>
      </c>
      <c r="D352" s="2973">
        <v>0.15</v>
      </c>
      <c r="E352" s="2973">
        <v>0.15</v>
      </c>
      <c r="F352" s="2973">
        <v>0.14599999999999999</v>
      </c>
      <c r="G352" s="2974">
        <v>0.15</v>
      </c>
    </row>
    <row r="353" spans="1:7">
      <c r="A353" s="2983" t="s">
        <v>307</v>
      </c>
      <c r="B353" s="2972" t="s">
        <v>2947</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2960</v>
      </c>
      <c r="C355" s="2973">
        <v>0.15</v>
      </c>
      <c r="D355" s="2973">
        <v>0.15</v>
      </c>
      <c r="E355" s="2973">
        <v>0.15</v>
      </c>
      <c r="F355" s="2973">
        <v>0.15</v>
      </c>
      <c r="G355" s="2974">
        <v>0.15</v>
      </c>
    </row>
    <row r="356" spans="1:7">
      <c r="A356" s="2983" t="s">
        <v>307</v>
      </c>
      <c r="B356" s="2972" t="s">
        <v>2967</v>
      </c>
      <c r="C356" s="2973">
        <v>0.15</v>
      </c>
      <c r="D356" s="2973">
        <v>0.15</v>
      </c>
      <c r="E356" s="2973">
        <v>0.15</v>
      </c>
      <c r="F356" s="2973">
        <v>0.15</v>
      </c>
      <c r="G356" s="2974">
        <v>0.15</v>
      </c>
    </row>
    <row r="357" spans="1:7" ht="15" thickBot="1">
      <c r="A357" s="2986" t="s">
        <v>307</v>
      </c>
      <c r="B357" s="2976" t="s">
        <v>2972</v>
      </c>
      <c r="C357" s="2977">
        <v>0.126</v>
      </c>
      <c r="D357" s="2977">
        <v>0.127</v>
      </c>
      <c r="E357" s="2977">
        <v>0.14299999999999999</v>
      </c>
      <c r="F357" s="2977">
        <v>0.125</v>
      </c>
      <c r="G357" s="2979">
        <v>0.129</v>
      </c>
    </row>
    <row r="358" spans="1:7">
      <c r="A358" s="2982" t="s">
        <v>2841</v>
      </c>
      <c r="B358" s="2968" t="s">
        <v>2855</v>
      </c>
      <c r="C358" s="2969">
        <v>0.15</v>
      </c>
      <c r="D358" s="2969">
        <v>0.15</v>
      </c>
      <c r="E358" s="2969">
        <v>0.15</v>
      </c>
      <c r="F358" s="2969">
        <v>0.15</v>
      </c>
      <c r="G358" s="2970">
        <v>0.15</v>
      </c>
    </row>
    <row r="359" spans="1:7">
      <c r="A359" s="2983" t="s">
        <v>2841</v>
      </c>
      <c r="B359" s="2972" t="s">
        <v>2861</v>
      </c>
      <c r="C359" s="2973">
        <v>0.1</v>
      </c>
      <c r="D359" s="2973">
        <v>0.1</v>
      </c>
      <c r="E359" s="2973">
        <v>0.1</v>
      </c>
      <c r="F359" s="2973">
        <v>0.1</v>
      </c>
      <c r="G359" s="2974">
        <v>0.1</v>
      </c>
    </row>
    <row r="360" spans="1:7">
      <c r="A360" s="2983" t="s">
        <v>2841</v>
      </c>
      <c r="B360" s="2972" t="s">
        <v>2867</v>
      </c>
      <c r="C360" s="2973">
        <v>0.15</v>
      </c>
      <c r="D360" s="2973">
        <v>0.15</v>
      </c>
      <c r="E360" s="2973">
        <v>0.15</v>
      </c>
      <c r="F360" s="2973">
        <v>0.14899999999999999</v>
      </c>
      <c r="G360" s="2974">
        <v>0.15</v>
      </c>
    </row>
    <row r="361" spans="1:7">
      <c r="A361" s="2983" t="s">
        <v>2841</v>
      </c>
      <c r="B361" s="2972" t="s">
        <v>153</v>
      </c>
      <c r="C361" s="2973">
        <v>0.15</v>
      </c>
      <c r="D361" s="2973">
        <v>0.15</v>
      </c>
      <c r="E361" s="2973">
        <v>0.15</v>
      </c>
      <c r="F361" s="2973">
        <v>0.115</v>
      </c>
      <c r="G361" s="2974">
        <v>0.15</v>
      </c>
    </row>
    <row r="362" spans="1:7">
      <c r="A362" s="2983" t="s">
        <v>2841</v>
      </c>
      <c r="B362" s="2972" t="s">
        <v>2874</v>
      </c>
      <c r="C362" s="2973">
        <v>0.15</v>
      </c>
      <c r="D362" s="2973">
        <v>0.15</v>
      </c>
      <c r="E362" s="2973">
        <v>0.15</v>
      </c>
      <c r="F362" s="2973">
        <v>0.106</v>
      </c>
      <c r="G362" s="2974">
        <v>0.15</v>
      </c>
    </row>
    <row r="363" spans="1:7">
      <c r="A363" s="2983" t="s">
        <v>2841</v>
      </c>
      <c r="B363" s="2972" t="s">
        <v>2879</v>
      </c>
      <c r="C363" s="2973">
        <v>0.15</v>
      </c>
      <c r="D363" s="2973">
        <v>0.15</v>
      </c>
      <c r="E363" s="2973">
        <v>0.15</v>
      </c>
      <c r="F363" s="2973">
        <v>0.14699999999999999</v>
      </c>
      <c r="G363" s="2974">
        <v>0.15</v>
      </c>
    </row>
    <row r="364" spans="1:7">
      <c r="A364" s="2983" t="s">
        <v>2841</v>
      </c>
      <c r="B364" s="2972" t="s">
        <v>2883</v>
      </c>
      <c r="C364" s="2973">
        <v>0.15</v>
      </c>
      <c r="D364" s="2973">
        <v>0.15</v>
      </c>
      <c r="E364" s="2973">
        <v>0.15</v>
      </c>
      <c r="F364" s="2973">
        <v>0.14799999999999999</v>
      </c>
      <c r="G364" s="2974">
        <v>0.15</v>
      </c>
    </row>
    <row r="365" spans="1:7">
      <c r="A365" s="2983" t="s">
        <v>2841</v>
      </c>
      <c r="B365" s="2972" t="s">
        <v>200</v>
      </c>
      <c r="C365" s="2973">
        <v>0.15</v>
      </c>
      <c r="D365" s="2973">
        <v>0.15</v>
      </c>
      <c r="E365" s="2973">
        <v>0.15</v>
      </c>
      <c r="F365" s="2973">
        <v>0.15</v>
      </c>
      <c r="G365" s="2974">
        <v>0.15</v>
      </c>
    </row>
    <row r="366" spans="1:7">
      <c r="A366" s="2983" t="s">
        <v>2841</v>
      </c>
      <c r="B366" s="2972" t="s">
        <v>2886</v>
      </c>
      <c r="C366" s="2973">
        <v>0.15</v>
      </c>
      <c r="D366" s="2973">
        <v>0.15</v>
      </c>
      <c r="E366" s="2973">
        <v>0.15</v>
      </c>
      <c r="F366" s="2973">
        <v>0.15</v>
      </c>
      <c r="G366" s="2974">
        <v>0.15</v>
      </c>
    </row>
    <row r="367" spans="1:7">
      <c r="A367" s="2983" t="s">
        <v>2841</v>
      </c>
      <c r="B367" s="2972" t="s">
        <v>2889</v>
      </c>
      <c r="C367" s="2973">
        <v>0.15</v>
      </c>
      <c r="D367" s="2973">
        <v>0.15</v>
      </c>
      <c r="E367" s="2973">
        <v>0.15</v>
      </c>
      <c r="F367" s="2973">
        <v>0.14699999999999999</v>
      </c>
      <c r="G367" s="2974">
        <v>0.15</v>
      </c>
    </row>
    <row r="368" spans="1:7">
      <c r="A368" s="2983" t="s">
        <v>2841</v>
      </c>
      <c r="B368" s="2972" t="s">
        <v>2894</v>
      </c>
      <c r="C368" s="2973">
        <v>0.15</v>
      </c>
      <c r="D368" s="2973">
        <v>0.15</v>
      </c>
      <c r="E368" s="2973">
        <v>0.15</v>
      </c>
      <c r="F368" s="2973">
        <v>0.13600000000000001</v>
      </c>
      <c r="G368" s="2974">
        <v>0.15</v>
      </c>
    </row>
    <row r="369" spans="1:7">
      <c r="A369" s="2983" t="s">
        <v>2841</v>
      </c>
      <c r="B369" s="2972" t="s">
        <v>214</v>
      </c>
      <c r="C369" s="2973">
        <v>0.15</v>
      </c>
      <c r="D369" s="2973">
        <v>0.15</v>
      </c>
      <c r="E369" s="2973">
        <v>0.15</v>
      </c>
      <c r="F369" s="2973">
        <v>0.14399999999999999</v>
      </c>
      <c r="G369" s="2974">
        <v>0.15</v>
      </c>
    </row>
    <row r="370" spans="1:7">
      <c r="A370" s="2983" t="s">
        <v>2841</v>
      </c>
      <c r="B370" s="2972" t="s">
        <v>221</v>
      </c>
      <c r="C370" s="2973">
        <v>0.15</v>
      </c>
      <c r="D370" s="2973">
        <v>0.15</v>
      </c>
      <c r="E370" s="2973">
        <v>0.15</v>
      </c>
      <c r="F370" s="2973">
        <v>0.14599999999999999</v>
      </c>
      <c r="G370" s="2974">
        <v>0.15</v>
      </c>
    </row>
    <row r="371" spans="1:7">
      <c r="A371" s="2983" t="s">
        <v>2841</v>
      </c>
      <c r="B371" s="2972" t="s">
        <v>229</v>
      </c>
      <c r="C371" s="2973">
        <v>0.15</v>
      </c>
      <c r="D371" s="2973">
        <v>0.15</v>
      </c>
      <c r="E371" s="2973">
        <v>0.15</v>
      </c>
      <c r="F371" s="2973">
        <v>0.12</v>
      </c>
      <c r="G371" s="2974">
        <v>0.15</v>
      </c>
    </row>
    <row r="372" spans="1:7">
      <c r="A372" s="2983" t="s">
        <v>2841</v>
      </c>
      <c r="B372" s="2972" t="s">
        <v>2902</v>
      </c>
      <c r="C372" s="2973">
        <v>0.15</v>
      </c>
      <c r="D372" s="2973">
        <v>0.15</v>
      </c>
      <c r="E372" s="2973">
        <v>0.15</v>
      </c>
      <c r="F372" s="2973">
        <v>0.14299999999999999</v>
      </c>
      <c r="G372" s="2974">
        <v>0.15</v>
      </c>
    </row>
    <row r="373" spans="1:7">
      <c r="A373" s="2983" t="s">
        <v>2841</v>
      </c>
      <c r="B373" s="2972" t="s">
        <v>258</v>
      </c>
      <c r="C373" s="2973">
        <v>0.15</v>
      </c>
      <c r="D373" s="2973">
        <v>0.15</v>
      </c>
      <c r="E373" s="2973">
        <v>0.15</v>
      </c>
      <c r="F373" s="2973">
        <v>0.14599999999999999</v>
      </c>
      <c r="G373" s="2974">
        <v>0.15</v>
      </c>
    </row>
    <row r="374" spans="1:7">
      <c r="A374" s="2983" t="s">
        <v>2841</v>
      </c>
      <c r="B374" s="2972" t="s">
        <v>266</v>
      </c>
      <c r="C374" s="2973">
        <v>0.15</v>
      </c>
      <c r="D374" s="2973">
        <v>0.15</v>
      </c>
      <c r="E374" s="2973">
        <v>0.15</v>
      </c>
      <c r="F374" s="2973">
        <v>0.14399999999999999</v>
      </c>
      <c r="G374" s="2974">
        <v>0.15</v>
      </c>
    </row>
    <row r="375" spans="1:7">
      <c r="A375" s="2983" t="s">
        <v>2841</v>
      </c>
      <c r="B375" s="2972" t="s">
        <v>2910</v>
      </c>
      <c r="C375" s="2973">
        <v>0.15</v>
      </c>
      <c r="D375" s="2973">
        <v>0.15</v>
      </c>
      <c r="E375" s="2973">
        <v>0.15</v>
      </c>
      <c r="F375" s="2973">
        <v>0.13</v>
      </c>
      <c r="G375" s="2974">
        <v>0.15</v>
      </c>
    </row>
    <row r="376" spans="1:7">
      <c r="A376" s="2983" t="s">
        <v>2841</v>
      </c>
      <c r="B376" s="2972" t="s">
        <v>277</v>
      </c>
      <c r="C376" s="2973">
        <v>0.15</v>
      </c>
      <c r="D376" s="2973">
        <v>0.15</v>
      </c>
      <c r="E376" s="2973">
        <v>0.15</v>
      </c>
      <c r="F376" s="2973">
        <v>0.14199999999999999</v>
      </c>
      <c r="G376" s="2974">
        <v>0.15</v>
      </c>
    </row>
    <row r="377" spans="1:7" ht="15" thickBot="1">
      <c r="A377" s="2986" t="s">
        <v>2841</v>
      </c>
      <c r="B377" s="2976" t="s">
        <v>2916</v>
      </c>
      <c r="C377" s="2977">
        <v>0.15</v>
      </c>
      <c r="D377" s="2977">
        <v>0.15</v>
      </c>
      <c r="E377" s="2977">
        <v>0.15</v>
      </c>
      <c r="F377" s="2977">
        <v>0.14000000000000001</v>
      </c>
      <c r="G377" s="2979">
        <v>0.15</v>
      </c>
    </row>
    <row r="378" spans="1:7">
      <c r="A378" s="2982" t="s">
        <v>2842</v>
      </c>
      <c r="B378" s="2968" t="s">
        <v>2856</v>
      </c>
      <c r="C378" s="2969">
        <v>0.15</v>
      </c>
      <c r="D378" s="2969">
        <v>0.15</v>
      </c>
      <c r="E378" s="2969">
        <v>0.15</v>
      </c>
      <c r="F378" s="2969">
        <v>0.107</v>
      </c>
      <c r="G378" s="2970">
        <v>0.15</v>
      </c>
    </row>
    <row r="379" spans="1:7">
      <c r="A379" s="2983" t="s">
        <v>2842</v>
      </c>
      <c r="B379" s="2972" t="s">
        <v>2862</v>
      </c>
      <c r="C379" s="2973">
        <v>0.15</v>
      </c>
      <c r="D379" s="2973">
        <v>0.15</v>
      </c>
      <c r="E379" s="2973">
        <v>0.15</v>
      </c>
      <c r="F379" s="2973">
        <v>0.115</v>
      </c>
      <c r="G379" s="2974">
        <v>0.14899999999999999</v>
      </c>
    </row>
    <row r="380" spans="1:7">
      <c r="A380" s="2983" t="s">
        <v>2842</v>
      </c>
      <c r="B380" s="2972" t="s">
        <v>2868</v>
      </c>
      <c r="C380" s="2973">
        <v>0.15</v>
      </c>
      <c r="D380" s="2973">
        <v>0.15</v>
      </c>
      <c r="E380" s="2973">
        <v>0.15</v>
      </c>
      <c r="F380" s="2973">
        <v>0.1</v>
      </c>
      <c r="G380" s="2974">
        <v>0.14799999999999999</v>
      </c>
    </row>
    <row r="381" spans="1:7">
      <c r="A381" s="2983" t="s">
        <v>2842</v>
      </c>
      <c r="B381" s="2972" t="s">
        <v>2871</v>
      </c>
      <c r="C381" s="2973">
        <v>0.15</v>
      </c>
      <c r="D381" s="2973">
        <v>0.15</v>
      </c>
      <c r="E381" s="2973">
        <v>0.15</v>
      </c>
      <c r="F381" s="2973">
        <v>0.126</v>
      </c>
      <c r="G381" s="2974">
        <v>0.15</v>
      </c>
    </row>
    <row r="382" spans="1:7">
      <c r="A382" s="2983" t="s">
        <v>2842</v>
      </c>
      <c r="B382" s="2972" t="s">
        <v>2875</v>
      </c>
      <c r="C382" s="2973">
        <v>0.15</v>
      </c>
      <c r="D382" s="2973">
        <v>0.15</v>
      </c>
      <c r="E382" s="2973">
        <v>0.15</v>
      </c>
      <c r="F382" s="2973">
        <v>0.15</v>
      </c>
      <c r="G382" s="2974">
        <v>0.15</v>
      </c>
    </row>
    <row r="383" spans="1:7">
      <c r="A383" s="2983" t="s">
        <v>2842</v>
      </c>
      <c r="B383" s="2972" t="s">
        <v>2880</v>
      </c>
      <c r="C383" s="2973">
        <v>0.15</v>
      </c>
      <c r="D383" s="2973">
        <v>0.15</v>
      </c>
      <c r="E383" s="2973">
        <v>0.15</v>
      </c>
      <c r="F383" s="2973">
        <v>0.14699999999999999</v>
      </c>
      <c r="G383" s="2974">
        <v>0.15</v>
      </c>
    </row>
    <row r="384" spans="1:7" ht="15" thickBot="1">
      <c r="A384" s="2993" t="s">
        <v>2842</v>
      </c>
      <c r="B384" s="2994" t="s">
        <v>2884</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8"/>
  </cols>
  <sheetData>
    <row r="1" spans="1:6">
      <c r="A1" s="3520" t="s">
        <v>3223</v>
      </c>
      <c r="B1" s="3520"/>
      <c r="C1" s="3520"/>
      <c r="D1" s="3520"/>
      <c r="E1" s="3520"/>
      <c r="F1" s="3521"/>
    </row>
    <row r="2" spans="1:6">
      <c r="A2" s="2997" t="s">
        <v>3224</v>
      </c>
    </row>
    <row r="3" spans="1:6">
      <c r="A3" s="2997" t="s">
        <v>3225</v>
      </c>
      <c r="F3" s="2998" t="s">
        <v>3226</v>
      </c>
    </row>
    <row r="4" spans="1:6">
      <c r="A4" s="2999" t="s">
        <v>672</v>
      </c>
      <c r="B4" s="2999" t="s">
        <v>673</v>
      </c>
      <c r="C4" s="2999" t="s">
        <v>21</v>
      </c>
      <c r="D4" s="2999" t="s">
        <v>674</v>
      </c>
      <c r="E4" s="2999" t="s">
        <v>3</v>
      </c>
      <c r="F4" s="2999" t="s">
        <v>3227</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CCE28-2502-412A-8D1E-20273DB94753}">
  <sheetPr>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673</v>
      </c>
      <c r="D1" s="1270" t="s">
        <v>3603</v>
      </c>
      <c r="E1" s="1271" t="s">
        <v>678</v>
      </c>
      <c r="F1" s="998">
        <f ca="1">J53</f>
        <v>37.57</v>
      </c>
      <c r="G1" s="1285">
        <f>MATCH(C1,'数据-取费表'!A6:A16,0)+5</f>
        <v>8</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1225</v>
      </c>
      <c r="C2" s="1288" t="s">
        <v>805</v>
      </c>
      <c r="D2" s="1288"/>
      <c r="E2" s="1294"/>
      <c r="F2" s="1295"/>
      <c r="G2" s="2473"/>
      <c r="H2" s="2463"/>
      <c r="I2" s="2463"/>
      <c r="J2" s="2463"/>
      <c r="K2" s="2464"/>
      <c r="L2" s="2463"/>
      <c r="M2" s="2463"/>
    </row>
    <row r="3" spans="1:37" ht="18" customHeight="1" thickBot="1">
      <c r="A3" s="1296" t="s">
        <v>806</v>
      </c>
      <c r="B3" s="1297">
        <f ca="1">IF(ISERROR(B2*10000/F43),0,ROUND(B2*10000/F43,0))</f>
        <v>9906</v>
      </c>
      <c r="C3" s="1288" t="s">
        <v>807</v>
      </c>
      <c r="D3" s="1288"/>
      <c r="E3" s="1294"/>
      <c r="F3" s="1295"/>
      <c r="G3" s="2473"/>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81</v>
      </c>
      <c r="D5" s="1272" t="s">
        <v>693</v>
      </c>
      <c r="E5" s="1007"/>
      <c r="F5" s="1008"/>
      <c r="G5" s="1291"/>
      <c r="H5" s="291">
        <v>1</v>
      </c>
      <c r="I5" s="292" t="s">
        <v>692</v>
      </c>
      <c r="J5" s="1006">
        <f ca="1">J6+J10+J12</f>
        <v>0</v>
      </c>
      <c r="K5" s="1272" t="s">
        <v>693</v>
      </c>
      <c r="L5" s="1007"/>
      <c r="M5" s="1008"/>
    </row>
    <row r="6" spans="1:37" ht="18" customHeight="1">
      <c r="A6" s="1005" t="s">
        <v>398</v>
      </c>
      <c r="B6" s="3427" t="s">
        <v>694</v>
      </c>
      <c r="C6" s="1010">
        <f ca="1">ROUND(F6*F8*F7*(1-F9)/10000,0)</f>
        <v>81</v>
      </c>
      <c r="D6" s="147" t="s">
        <v>2109</v>
      </c>
      <c r="E6" s="294" t="s">
        <v>696</v>
      </c>
      <c r="F6" s="295">
        <f ca="1">INDIRECT("'数据-取费表'!u"&amp;$G$1)</f>
        <v>2</v>
      </c>
      <c r="G6" s="1291"/>
      <c r="H6" s="1005" t="s">
        <v>398</v>
      </c>
      <c r="I6" s="3427" t="s">
        <v>694</v>
      </c>
      <c r="J6" s="293">
        <f ca="1">ROUND(M6*M8*M7*(1-M9)/10000,0)</f>
        <v>0</v>
      </c>
      <c r="K6" s="147" t="s">
        <v>2108</v>
      </c>
      <c r="L6" s="294" t="s">
        <v>696</v>
      </c>
      <c r="M6" s="295">
        <f ca="1">INDIRECT("'数据-取费表'!z"&amp;$G$1)</f>
        <v>0</v>
      </c>
    </row>
    <row r="7" spans="1:37" ht="18" customHeight="1">
      <c r="A7" s="1009"/>
      <c r="B7" s="3428"/>
      <c r="C7" s="1011"/>
      <c r="D7" s="299"/>
      <c r="E7" s="1012" t="s">
        <v>697</v>
      </c>
      <c r="F7" s="295">
        <f ca="1">IF(INDIRECT("'数据-取费表'!ah"&amp;$G$1)="",INDIRECT("'数据-取费表'!k"&amp;$G$1),INDIRECT("'数据-取费表'!ah"&amp;$G$1))</f>
        <v>1236.5999999999999</v>
      </c>
      <c r="G7" s="1291"/>
      <c r="H7" s="296"/>
      <c r="I7" s="3428"/>
      <c r="J7" s="298"/>
      <c r="K7" s="299"/>
      <c r="L7" s="294" t="s">
        <v>697</v>
      </c>
      <c r="M7" s="295">
        <f ca="1">F7</f>
        <v>1236.5999999999999</v>
      </c>
    </row>
    <row r="8" spans="1:37" ht="18" customHeight="1">
      <c r="A8" s="296"/>
      <c r="B8" s="3428"/>
      <c r="C8" s="298"/>
      <c r="D8" s="299"/>
      <c r="E8" s="294" t="s">
        <v>698</v>
      </c>
      <c r="F8" s="295">
        <f ca="1">INDIRECT("'数据-取费表'!ai"&amp;$G$1)</f>
        <v>365</v>
      </c>
      <c r="G8" s="1291"/>
      <c r="H8" s="296"/>
      <c r="I8" s="3428"/>
      <c r="J8" s="298"/>
      <c r="K8" s="299"/>
      <c r="L8" s="294" t="s">
        <v>698</v>
      </c>
      <c r="M8" s="295">
        <f ca="1">INDIRECT("'数据-取费表'!ai"&amp;$G$1)</f>
        <v>365</v>
      </c>
    </row>
    <row r="9" spans="1:37" ht="18" customHeight="1">
      <c r="A9" s="296"/>
      <c r="B9" s="3429"/>
      <c r="C9" s="298"/>
      <c r="D9" s="299"/>
      <c r="E9" s="294" t="s">
        <v>699</v>
      </c>
      <c r="F9" s="304">
        <f ca="1">INDIRECT("'数据-取费表'!w"&amp;$G$1)</f>
        <v>0.1</v>
      </c>
      <c r="G9" s="1291"/>
      <c r="H9" s="296"/>
      <c r="I9" s="3429"/>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t="s">
        <v>4042</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813</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556</v>
      </c>
      <c r="D14" s="1256" t="s">
        <v>708</v>
      </c>
      <c r="E14" s="1254"/>
      <c r="F14" s="311"/>
      <c r="G14" s="1291"/>
      <c r="H14" s="927" t="s">
        <v>398</v>
      </c>
      <c r="I14" s="294" t="s">
        <v>709</v>
      </c>
      <c r="J14" s="21">
        <f ca="1">C29</f>
        <v>813</v>
      </c>
      <c r="K14" s="12"/>
      <c r="L14" s="758"/>
      <c r="M14" s="759"/>
    </row>
    <row r="15" spans="1:37" s="1303" customFormat="1" ht="18" customHeight="1" thickBot="1">
      <c r="A15" s="927" t="s">
        <v>399</v>
      </c>
      <c r="B15" s="294" t="s">
        <v>710</v>
      </c>
      <c r="C15" s="21">
        <f ca="1">ROUND(C14*F15,0)</f>
        <v>39</v>
      </c>
      <c r="D15" s="312" t="s">
        <v>711</v>
      </c>
      <c r="E15" s="312" t="s">
        <v>712</v>
      </c>
      <c r="F15" s="313">
        <f>'数据-取费表'!B33</f>
        <v>7.0000000000000007E-2</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3</v>
      </c>
      <c r="K16" s="1023" t="s">
        <v>715</v>
      </c>
      <c r="L16" s="1024"/>
      <c r="M16" s="1008"/>
    </row>
    <row r="17" spans="1:37" s="1303" customFormat="1" ht="18" customHeight="1">
      <c r="A17" s="927" t="s">
        <v>681</v>
      </c>
      <c r="B17" s="294" t="s">
        <v>716</v>
      </c>
      <c r="C17" s="21">
        <f ca="1">ROUND(F17*(F43+INDIRECT("'数据-取费表'!S"&amp;$G$1))/10000,0)</f>
        <v>25</v>
      </c>
      <c r="D17" s="294" t="s">
        <v>717</v>
      </c>
      <c r="E17" s="294" t="s">
        <v>718</v>
      </c>
      <c r="F17" s="23">
        <f>'数据-取费表'!B35</f>
        <v>200</v>
      </c>
      <c r="G17" s="1302"/>
      <c r="H17" s="927" t="s">
        <v>398</v>
      </c>
      <c r="I17" s="294" t="s">
        <v>719</v>
      </c>
      <c r="J17" s="2139">
        <f ca="1">ROUND(IF(AND(项目基本情况!B11="自然人",项目基本情况!B10="北京市"),J6*M17/(1+'数据-取费表'!C42),J18+J19+J20),2)</f>
        <v>0.08</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11</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631</v>
      </c>
      <c r="D19" s="123" t="s">
        <v>726</v>
      </c>
      <c r="E19" s="1268"/>
      <c r="F19" s="23"/>
      <c r="G19" s="1291"/>
      <c r="H19" s="927" t="s">
        <v>399</v>
      </c>
      <c r="I19" s="294" t="s">
        <v>727</v>
      </c>
      <c r="J19" s="21">
        <f ca="1">IF(K19="按租金收入计税",ROUND(J6*M19/(1+'数据-取费表'!C42),2),ROUND(C29*M19*0.7,2))</f>
        <v>0</v>
      </c>
      <c r="K19" s="1277" t="s">
        <v>3325</v>
      </c>
      <c r="L19" s="294" t="s">
        <v>712</v>
      </c>
      <c r="M19" s="314">
        <f>IF(K19="按租金收入计税",'数据-取费表'!B51,'数据-取费表'!B50)</f>
        <v>0.12</v>
      </c>
    </row>
    <row r="20" spans="1:37" s="1303" customFormat="1" ht="18" customHeight="1">
      <c r="A20" s="927" t="s">
        <v>402</v>
      </c>
      <c r="B20" s="294" t="s">
        <v>728</v>
      </c>
      <c r="C20" s="21">
        <f ca="1">ROUND(C19*F20,0)</f>
        <v>13</v>
      </c>
      <c r="D20" s="315" t="s">
        <v>729</v>
      </c>
      <c r="E20" s="294" t="s">
        <v>712</v>
      </c>
      <c r="F20" s="314">
        <f>'数据-取费表'!B37</f>
        <v>0.02</v>
      </c>
      <c r="G20" s="1302"/>
      <c r="H20" s="927" t="s">
        <v>680</v>
      </c>
      <c r="I20" s="147" t="s">
        <v>730</v>
      </c>
      <c r="J20" s="22">
        <f ca="1">ROUND(M20*M21/10000,2)</f>
        <v>0.08</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2.5000000000000001E-2</v>
      </c>
      <c r="G21" s="1302"/>
      <c r="H21" s="318"/>
      <c r="I21" s="303"/>
      <c r="J21" s="26"/>
      <c r="K21" s="319"/>
      <c r="L21" s="294" t="s">
        <v>736</v>
      </c>
      <c r="M21" s="295">
        <f ca="1">INDIRECT("'数据-取费表'!r"&amp;$G$1)</f>
        <v>509.3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2.44</v>
      </c>
      <c r="K22" s="1255" t="s">
        <v>739</v>
      </c>
      <c r="L22" s="294" t="s">
        <v>712</v>
      </c>
      <c r="M22" s="320">
        <f ca="1">INDIRECT("'数据-取费表'!Ak"&amp;$G$1)</f>
        <v>3.0000000000000001E-3</v>
      </c>
    </row>
    <row r="23" spans="1:37" s="1303" customFormat="1" ht="18" customHeight="1">
      <c r="A23" s="927"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2.5</v>
      </c>
      <c r="G23" s="1302"/>
      <c r="H23" s="927" t="s">
        <v>437</v>
      </c>
      <c r="I23" s="294" t="s">
        <v>742</v>
      </c>
      <c r="J23" s="21">
        <f ca="1">ROUND(J13*M23,2)</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3.1899999999999998E-2</v>
      </c>
      <c r="G24" s="1302"/>
      <c r="H24" s="1025" t="s">
        <v>683</v>
      </c>
      <c r="I24" s="1026" t="s">
        <v>728</v>
      </c>
      <c r="J24" s="1027">
        <f ca="1">ROUND(J5*M24,2)</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-3</v>
      </c>
      <c r="K25" s="1031" t="s">
        <v>753</v>
      </c>
      <c r="L25" s="1032"/>
      <c r="M25" s="1033"/>
    </row>
    <row r="26" spans="1:37">
      <c r="A26" s="927" t="s">
        <v>397</v>
      </c>
      <c r="B26" s="294" t="s">
        <v>754</v>
      </c>
      <c r="C26" s="21">
        <f ca="1">ROUND((C19+C20)*F26,0)</f>
        <v>77</v>
      </c>
      <c r="D26" s="315" t="s">
        <v>755</v>
      </c>
      <c r="E26" s="305" t="s">
        <v>756</v>
      </c>
      <c r="F26" s="304">
        <f ca="1">INDIRECT("'数据-取费表'!q"&amp;$G$1)</f>
        <v>0.12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813</v>
      </c>
      <c r="D29" s="1028"/>
      <c r="E29" s="1026"/>
      <c r="F29" s="1029"/>
      <c r="G29" s="1302"/>
      <c r="H29" s="325" t="s">
        <v>396</v>
      </c>
      <c r="I29" s="326" t="s">
        <v>768</v>
      </c>
      <c r="J29" s="327">
        <f ca="1">ROUND(J26/(1+F40)^F41,0)</f>
        <v>0</v>
      </c>
      <c r="K29" s="328" t="s">
        <v>769</v>
      </c>
      <c r="L29" s="329"/>
      <c r="M29" s="330">
        <f ca="1">INDIRECT("'数据-取费表'!k"&amp;$G$1)</f>
        <v>1236.5999999999999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17</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ROUND(IF(AND(项目基本情况!B11="自然人",项目基本情况!B10="北京市"),C6*F31/(1+'数据-取费表'!C42),C32+C33+C34),2)</f>
        <v>13.58</v>
      </c>
      <c r="D31" s="1256" t="s">
        <v>720</v>
      </c>
      <c r="E31" s="1255" t="s">
        <v>770</v>
      </c>
      <c r="F31" s="2138">
        <f ca="1">IF(项目基本情况!B11="企业","——",IF(M47="住宅",IF(F6*F7*F8/12/(1+'数据-取费表'!F30)&gt;100000,4%,2.5%),IF(F6*F7*F8/12/(1+'数据-取费表'!F30)&gt;100000,12%,7%)))</f>
        <v>7.0000000000000007E-2</v>
      </c>
      <c r="G31" s="1291"/>
      <c r="H31" s="2564" t="s">
        <v>2297</v>
      </c>
      <c r="I31" s="1304"/>
      <c r="J31" s="1305"/>
      <c r="K31" s="121"/>
      <c r="L31" s="2466"/>
      <c r="M31" s="2467"/>
    </row>
    <row r="32" spans="1:37" ht="18" customHeight="1">
      <c r="A32" s="927" t="s">
        <v>397</v>
      </c>
      <c r="B32" s="294" t="s">
        <v>723</v>
      </c>
      <c r="C32" s="21">
        <f ca="1">IF(项目基本情况!B11="自然人","——",ROUND(C6*F32/(1+'数据-取费表'!C42),2))</f>
        <v>4.24</v>
      </c>
      <c r="D32" s="1255" t="s">
        <v>724</v>
      </c>
      <c r="E32" s="294" t="s">
        <v>712</v>
      </c>
      <c r="F32" s="322">
        <f>'数据-取费表'!B41</f>
        <v>5.5000000000000007E-2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IF(项目基本情况!B11="自然人","——",IF(D33="按租金收入计税",ROUND(C6*F33/(1+'数据-取费表'!C42),2),IF(D33="按房产原值计税",ROUND(C29*F33*0.7,2),INDIRECT("'数据-取费表'!Aj"&amp;$G$1))))</f>
        <v>9.26</v>
      </c>
      <c r="D33" s="1277" t="s">
        <v>3325</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IF(项目基本情况!B11="自然人","——",ROUND(F34*F35/10000,2))</f>
        <v>0.08</v>
      </c>
      <c r="D34" s="316" t="s">
        <v>731</v>
      </c>
      <c r="E34" s="294" t="s">
        <v>732</v>
      </c>
      <c r="F34" s="317">
        <f>'数据-取费表'!B52</f>
        <v>1.5</v>
      </c>
      <c r="G34" s="1291"/>
      <c r="H34" s="2465"/>
      <c r="I34" s="1304"/>
      <c r="J34" s="1305"/>
      <c r="K34" s="2470"/>
      <c r="L34" s="2471"/>
      <c r="M34" s="2471"/>
    </row>
    <row r="35" spans="1:18" ht="18" customHeight="1">
      <c r="A35" s="1039"/>
      <c r="B35" s="1037"/>
      <c r="C35" s="26"/>
      <c r="D35" s="319"/>
      <c r="E35" s="294" t="s">
        <v>736</v>
      </c>
      <c r="F35" s="295">
        <f ca="1">INDIRECT("'数据-取费表'!r"&amp;$G$1)</f>
        <v>509.3</v>
      </c>
      <c r="G35" s="1291"/>
      <c r="H35" s="2465"/>
      <c r="I35" s="1304"/>
      <c r="J35" s="1305"/>
      <c r="K35" s="2469"/>
      <c r="L35" s="2468"/>
      <c r="M35" s="2468"/>
    </row>
    <row r="36" spans="1:18" ht="18" customHeight="1">
      <c r="A36" s="1038" t="s">
        <v>402</v>
      </c>
      <c r="B36" s="294" t="s">
        <v>738</v>
      </c>
      <c r="C36" s="21">
        <f ca="1">ROUND(C29*F36,2)</f>
        <v>2.44</v>
      </c>
      <c r="D36" s="1255" t="s">
        <v>771</v>
      </c>
      <c r="E36" s="294" t="s">
        <v>712</v>
      </c>
      <c r="F36" s="320">
        <f ca="1">INDIRECT("'数据-取费表'!Ak"&amp;$G$1)</f>
        <v>3.0000000000000001E-3</v>
      </c>
      <c r="G36" s="1291"/>
      <c r="H36" s="2468"/>
      <c r="I36" s="1304"/>
      <c r="J36" s="1305"/>
      <c r="K36" s="2325"/>
      <c r="L36" s="2468"/>
      <c r="M36" s="2468"/>
    </row>
    <row r="37" spans="1:18" ht="18" customHeight="1">
      <c r="A37" s="927" t="s">
        <v>437</v>
      </c>
      <c r="B37" s="294" t="s">
        <v>742</v>
      </c>
      <c r="C37" s="21">
        <f ca="1">ROUND(C13*F37,2)</f>
        <v>0.81</v>
      </c>
      <c r="D37" s="1255" t="s">
        <v>743</v>
      </c>
      <c r="E37" s="294" t="s">
        <v>712</v>
      </c>
      <c r="F37" s="321">
        <f ca="1">INDIRECT("'数据-取费表'!Al"&amp;$G$1)</f>
        <v>1E-3</v>
      </c>
      <c r="G37" s="1291"/>
      <c r="H37" s="2468"/>
      <c r="I37" s="1304"/>
      <c r="J37" s="1305"/>
      <c r="K37" s="2325"/>
      <c r="L37" s="2468"/>
      <c r="M37" s="2468"/>
    </row>
    <row r="38" spans="1:18" ht="18" customHeight="1" thickBot="1">
      <c r="A38" s="1025" t="s">
        <v>683</v>
      </c>
      <c r="B38" s="1026" t="s">
        <v>728</v>
      </c>
      <c r="C38" s="1027">
        <f ca="1">ROUND(C5*F38,2)</f>
        <v>0.41</v>
      </c>
      <c r="D38" s="1028" t="s">
        <v>748</v>
      </c>
      <c r="E38" s="1026" t="s">
        <v>712</v>
      </c>
      <c r="F38" s="1022">
        <f ca="1">INDIRECT("'数据-取费表'!Am"&amp;$G$1)</f>
        <v>5.0000000000000001E-3</v>
      </c>
      <c r="G38" s="1291"/>
      <c r="H38" s="2468"/>
      <c r="I38" s="1304"/>
      <c r="J38" s="1305"/>
      <c r="K38" s="2466"/>
      <c r="L38" s="2468"/>
      <c r="M38" s="2468"/>
    </row>
    <row r="39" spans="1:18" ht="24.6" customHeight="1" thickTop="1">
      <c r="A39" s="1015" t="s">
        <v>394</v>
      </c>
      <c r="B39" s="1030" t="s">
        <v>752</v>
      </c>
      <c r="C39" s="302">
        <f ca="1">C5-C30</f>
        <v>64</v>
      </c>
      <c r="D39" s="1031" t="s">
        <v>753</v>
      </c>
      <c r="E39" s="1032"/>
      <c r="F39" s="1033"/>
      <c r="G39" s="1291"/>
      <c r="H39" s="2468"/>
      <c r="I39" s="1304"/>
      <c r="J39" s="1305"/>
      <c r="K39" s="2466"/>
      <c r="L39" s="2468"/>
      <c r="M39" s="2468"/>
    </row>
    <row r="40" spans="1:18" ht="18" customHeight="1">
      <c r="A40" s="291" t="s">
        <v>395</v>
      </c>
      <c r="B40" s="292" t="s">
        <v>774</v>
      </c>
      <c r="C40" s="293">
        <f ca="1">ROUND(C39*(1-((1+F42)/(1+F40))^F41)/(F40-F42),0)</f>
        <v>1225</v>
      </c>
      <c r="D40" s="316" t="s">
        <v>758</v>
      </c>
      <c r="E40" s="294" t="s">
        <v>759</v>
      </c>
      <c r="F40" s="304">
        <f ca="1">INDIRECT("'数据-取费表'!I"&amp;$G$1)</f>
        <v>5.5E-2</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37.57</v>
      </c>
      <c r="G41" s="1291"/>
      <c r="H41" s="121"/>
      <c r="I41" s="1304"/>
      <c r="J41" s="1305"/>
      <c r="K41" s="2325"/>
      <c r="L41" s="121"/>
      <c r="M41" s="121"/>
    </row>
    <row r="42" spans="1:18" ht="18" customHeight="1">
      <c r="A42" s="300"/>
      <c r="B42" s="301"/>
      <c r="C42" s="302"/>
      <c r="D42" s="319"/>
      <c r="E42" s="294" t="s">
        <v>766</v>
      </c>
      <c r="F42" s="304">
        <f ca="1">INDIRECT("'数据-取费表'!v"&amp;$G$1)</f>
        <v>1.4999999999999999E-2</v>
      </c>
      <c r="G42" s="1291"/>
      <c r="H42" s="121"/>
      <c r="I42" s="1304"/>
      <c r="J42" s="1305"/>
      <c r="K42" s="2325"/>
      <c r="L42" s="121"/>
      <c r="M42" s="121"/>
    </row>
    <row r="43" spans="1:18" ht="18" customHeight="1" thickBot="1">
      <c r="A43" s="325" t="s">
        <v>396</v>
      </c>
      <c r="B43" s="326" t="s">
        <v>776</v>
      </c>
      <c r="C43" s="327">
        <f ca="1">ROUND(C40*10000/F43,0)</f>
        <v>9906</v>
      </c>
      <c r="D43" s="328" t="s">
        <v>777</v>
      </c>
      <c r="E43" s="329" t="s">
        <v>778</v>
      </c>
      <c r="F43" s="330">
        <f ca="1">INDIRECT("'数据-取费表'!k"&amp;$G$1)</f>
        <v>1236.5999999999999</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808</v>
      </c>
      <c r="P45" s="1365"/>
      <c r="Q45" s="1365"/>
      <c r="R45" s="1365"/>
    </row>
    <row r="46" spans="1:18" s="1291" customFormat="1" ht="13.8" thickBot="1">
      <c r="A46" s="1310" t="s">
        <v>809</v>
      </c>
      <c r="C46" s="1311">
        <f ca="1">C68-C40</f>
        <v>-1272</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1"/>
      <c r="I47" s="1320" t="s">
        <v>815</v>
      </c>
      <c r="J47" s="1321" t="s">
        <v>3601</v>
      </c>
      <c r="K47" s="1322" t="s">
        <v>816</v>
      </c>
      <c r="L47" s="1323">
        <f ca="1">INDIRECT("'数据-取费表'!d"&amp;$G$1)</f>
        <v>40</v>
      </c>
      <c r="M47" s="1287" t="str">
        <f>IF(ISNUMBER(FIND("住宅",C1)),"住宅","非住宅")</f>
        <v>非住宅</v>
      </c>
      <c r="O47" s="1324" t="s">
        <v>403</v>
      </c>
      <c r="P47" s="1325" t="s">
        <v>817</v>
      </c>
      <c r="Q47" s="1326">
        <f ca="1">C40+J29</f>
        <v>1225</v>
      </c>
      <c r="R47" s="1326" t="s">
        <v>818</v>
      </c>
    </row>
    <row r="48" spans="1:18" s="1291" customFormat="1" ht="40.200000000000003" thickBot="1">
      <c r="A48" s="1046" t="s">
        <v>438</v>
      </c>
      <c r="B48" s="292" t="s">
        <v>692</v>
      </c>
      <c r="C48" s="1267">
        <f ca="1">C49+C53+C55</f>
        <v>0</v>
      </c>
      <c r="D48" s="1048"/>
      <c r="E48" s="1049"/>
      <c r="F48" s="907"/>
      <c r="G48" s="681"/>
      <c r="H48" s="682"/>
      <c r="I48" s="1327" t="s">
        <v>819</v>
      </c>
      <c r="J48" s="1328" t="s">
        <v>3602</v>
      </c>
      <c r="K48" s="1329" t="s">
        <v>820</v>
      </c>
      <c r="L48" s="1330">
        <f ca="1">INDIRECT("'数据-取费表'!f"&amp;$G$1)</f>
        <v>38.72</v>
      </c>
      <c r="O48" s="1324" t="s">
        <v>404</v>
      </c>
      <c r="P48" s="1325" t="s">
        <v>821</v>
      </c>
      <c r="Q48" s="1326" t="str">
        <f ca="1">J60</f>
        <v>0</v>
      </c>
      <c r="R48" s="1326" t="s">
        <v>822</v>
      </c>
    </row>
    <row r="49" spans="1:18" s="1291" customFormat="1" ht="13.8" thickBot="1">
      <c r="A49" s="920" t="s">
        <v>439</v>
      </c>
      <c r="B49" s="1278" t="s">
        <v>779</v>
      </c>
      <c r="C49" s="1050">
        <f ca="1">ROUND(F49*F51*F50*(1-F52)/10000,0)</f>
        <v>0</v>
      </c>
      <c r="D49" s="991" t="s">
        <v>2108</v>
      </c>
      <c r="E49" s="1279" t="s">
        <v>780</v>
      </c>
      <c r="F49" s="996"/>
      <c r="H49" s="682"/>
      <c r="I49" s="1327" t="s">
        <v>823</v>
      </c>
      <c r="J49" s="1331"/>
      <c r="K49" s="1329" t="s">
        <v>824</v>
      </c>
      <c r="L49" s="1332"/>
      <c r="O49" s="1333" t="s">
        <v>405</v>
      </c>
      <c r="P49" s="1325" t="s">
        <v>825</v>
      </c>
      <c r="Q49" s="1326">
        <f ca="1">C29</f>
        <v>813</v>
      </c>
      <c r="R49" s="1326" t="s">
        <v>818</v>
      </c>
    </row>
    <row r="50" spans="1:18" s="1291" customFormat="1" ht="13.8" thickBot="1">
      <c r="A50" s="921"/>
      <c r="B50" s="924"/>
      <c r="C50" s="1054"/>
      <c r="D50" s="898"/>
      <c r="E50" s="992" t="s">
        <v>697</v>
      </c>
      <c r="F50" s="993">
        <f ca="1">F7</f>
        <v>1236.5999999999999</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8" thickBot="1">
      <c r="A51" s="922"/>
      <c r="B51" s="924"/>
      <c r="C51" s="925"/>
      <c r="D51" s="898"/>
      <c r="E51" s="926" t="s">
        <v>698</v>
      </c>
      <c r="F51" s="295">
        <f ca="1">F8</f>
        <v>365</v>
      </c>
      <c r="I51" s="1337" t="s">
        <v>829</v>
      </c>
      <c r="J51" s="1330">
        <f>IF(J49="",J50,J49+J50-YEAR('数据-取费表'!B2))</f>
        <v>60</v>
      </c>
      <c r="K51" s="1338" t="s">
        <v>830</v>
      </c>
      <c r="L51" s="1339">
        <f ca="1">ROUND(-PV(INDIRECT("'数据-取费表'!h"&amp;$G$1),J51,(C39-C13*C76),0),0)</f>
        <v>134</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37.57</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37.57</v>
      </c>
      <c r="K53" s="3430" t="s">
        <v>837</v>
      </c>
      <c r="L53" s="3431"/>
      <c r="O53" s="1324" t="s">
        <v>409</v>
      </c>
      <c r="P53" s="1325" t="s">
        <v>838</v>
      </c>
      <c r="Q53" s="1326">
        <f ca="1">Q47+Q48</f>
        <v>1225</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813</v>
      </c>
      <c r="D56" s="1351"/>
      <c r="E56" s="1352"/>
      <c r="F56" s="1344"/>
      <c r="I56" s="1353" t="s">
        <v>842</v>
      </c>
      <c r="J56" s="1354" t="s">
        <v>3413</v>
      </c>
      <c r="K56" s="1327" t="s">
        <v>843</v>
      </c>
      <c r="L56" s="1330" t="str">
        <f ca="1">IF(L48&lt;J51,"——",L48-J53)</f>
        <v>——</v>
      </c>
      <c r="O56" s="1324" t="s">
        <v>403</v>
      </c>
      <c r="P56" s="1325" t="s">
        <v>817</v>
      </c>
      <c r="Q56" s="1326">
        <f ca="1">C40+J29</f>
        <v>1225</v>
      </c>
      <c r="R56" s="1326" t="s">
        <v>818</v>
      </c>
    </row>
    <row r="57" spans="1:18" s="1291" customFormat="1" ht="24.6" thickBot="1">
      <c r="A57" s="1355"/>
      <c r="B57" s="895" t="s">
        <v>767</v>
      </c>
      <c r="C57" s="230">
        <f ca="1">C29</f>
        <v>813</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3" t="s">
        <v>714</v>
      </c>
      <c r="C58" s="308">
        <f ca="1">ROUND(C59+C64+C65+C66,0)</f>
        <v>3</v>
      </c>
      <c r="D58" s="905" t="s">
        <v>715</v>
      </c>
      <c r="E58" s="906"/>
      <c r="F58" s="907"/>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727</v>
      </c>
      <c r="C61" s="21">
        <f ca="1">IF(项目基本情况!B11="自然人","——",IF(D61="按租金收入计税",ROUND(C49*F61/(1+'数据-取费表'!C42),2),IF(D61="按房产原值计税",ROUND(C57*F61*0.7,2),INDIRECT("'数据-取费表'!Aj"&amp;$G$1))))</f>
        <v>0</v>
      </c>
      <c r="D61" s="1277" t="s">
        <v>3325</v>
      </c>
      <c r="E61" s="895" t="s">
        <v>712</v>
      </c>
      <c r="F61" s="314">
        <f t="shared" si="0"/>
        <v>0.12</v>
      </c>
      <c r="I61" s="1365"/>
      <c r="J61" s="1365"/>
      <c r="K61" s="1365"/>
      <c r="L61" s="1365"/>
      <c r="O61" s="1333" t="s">
        <v>408</v>
      </c>
      <c r="P61" s="1325" t="str">
        <f>K59</f>
        <v>续建工期及建筑物耐用年限下的土地年期修正系数Kn</v>
      </c>
      <c r="Q61" s="1326" t="e">
        <f ca="1">L59</f>
        <v>#DIV/0!</v>
      </c>
      <c r="R61" s="1326" t="s">
        <v>857</v>
      </c>
    </row>
    <row r="62" spans="1:18" s="1291" customFormat="1" ht="13.8" thickBot="1">
      <c r="A62" s="927" t="s">
        <v>784</v>
      </c>
      <c r="B62" s="894" t="s">
        <v>730</v>
      </c>
      <c r="C62" s="22">
        <f ca="1">IF(项目基本情况!B11="自然人","——",ROUND(F62*F63/10000,2))</f>
        <v>0.08</v>
      </c>
      <c r="D62" s="910" t="s">
        <v>731</v>
      </c>
      <c r="E62" s="895" t="s">
        <v>732</v>
      </c>
      <c r="F62" s="317">
        <f t="shared" si="0"/>
        <v>1.5</v>
      </c>
      <c r="I62" s="1366" t="s">
        <v>858</v>
      </c>
      <c r="J62" s="610" t="s">
        <v>859</v>
      </c>
      <c r="K62" s="610" t="s">
        <v>860</v>
      </c>
      <c r="L62" s="610" t="s">
        <v>861</v>
      </c>
      <c r="M62" s="1367" t="s">
        <v>862</v>
      </c>
      <c r="O62" s="1324" t="s">
        <v>409</v>
      </c>
      <c r="P62" s="1325" t="s">
        <v>838</v>
      </c>
      <c r="Q62" s="1326">
        <f ca="1">Q56+Q57</f>
        <v>1225</v>
      </c>
      <c r="R62" s="1326" t="s">
        <v>410</v>
      </c>
    </row>
    <row r="63" spans="1:18" s="1291" customFormat="1" ht="13.8" thickBot="1">
      <c r="A63" s="318"/>
      <c r="B63" s="901"/>
      <c r="C63" s="26"/>
      <c r="D63" s="911"/>
      <c r="E63" s="895" t="s">
        <v>736</v>
      </c>
      <c r="F63" s="295">
        <f t="shared" ca="1" si="0"/>
        <v>509.3</v>
      </c>
      <c r="I63" s="1366" t="s">
        <v>864</v>
      </c>
      <c r="J63" s="610">
        <v>70</v>
      </c>
      <c r="K63" s="610">
        <v>50</v>
      </c>
      <c r="L63" s="610">
        <v>80</v>
      </c>
      <c r="M63" s="1368">
        <v>0.02</v>
      </c>
      <c r="O63" s="1309" t="s">
        <v>865</v>
      </c>
      <c r="P63" s="1288"/>
      <c r="Q63" s="1288"/>
      <c r="R63" s="1288"/>
    </row>
    <row r="64" spans="1:18" s="1291" customFormat="1" ht="13.8" thickBot="1">
      <c r="A64" s="927" t="s">
        <v>402</v>
      </c>
      <c r="B64" s="895" t="s">
        <v>738</v>
      </c>
      <c r="C64" s="21">
        <f ca="1">ROUND(C57*F64,2)</f>
        <v>2.44</v>
      </c>
      <c r="D64" s="909" t="s">
        <v>771</v>
      </c>
      <c r="E64" s="895" t="s">
        <v>712</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0.81</v>
      </c>
      <c r="D65" s="909" t="s">
        <v>743</v>
      </c>
      <c r="E65" s="895" t="s">
        <v>712</v>
      </c>
      <c r="F65" s="321">
        <f t="shared" ca="1" si="0"/>
        <v>1E-3</v>
      </c>
      <c r="I65" s="1366" t="s">
        <v>867</v>
      </c>
      <c r="J65" s="610">
        <v>40</v>
      </c>
      <c r="K65" s="610">
        <v>30</v>
      </c>
      <c r="L65" s="610">
        <v>50</v>
      </c>
      <c r="M65" s="1368">
        <v>0.02</v>
      </c>
      <c r="O65" s="1324" t="s">
        <v>403</v>
      </c>
      <c r="P65" s="1325" t="s">
        <v>817</v>
      </c>
      <c r="Q65" s="1326">
        <f ca="1">C40+J29</f>
        <v>1225</v>
      </c>
      <c r="R65" s="1326" t="s">
        <v>818</v>
      </c>
    </row>
    <row r="66" spans="1:18" s="1291" customFormat="1" ht="16.2" thickBot="1">
      <c r="A66" s="927" t="s">
        <v>793</v>
      </c>
      <c r="B66" s="895" t="s">
        <v>728</v>
      </c>
      <c r="C66" s="21">
        <f ca="1">ROUND(C48*F66,2)</f>
        <v>0</v>
      </c>
      <c r="D66" s="909" t="s">
        <v>748</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-3</v>
      </c>
      <c r="D67" s="908" t="s">
        <v>753</v>
      </c>
      <c r="E67" s="913"/>
      <c r="F67" s="914"/>
      <c r="O67" s="1333" t="s">
        <v>405</v>
      </c>
      <c r="P67" s="1325" t="s">
        <v>850</v>
      </c>
      <c r="Q67" s="1369">
        <f ca="1">L51</f>
        <v>134</v>
      </c>
      <c r="R67" s="1326" t="s">
        <v>870</v>
      </c>
    </row>
    <row r="68" spans="1:18" s="1291" customFormat="1" ht="16.2" thickBot="1">
      <c r="A68" s="892" t="s">
        <v>395</v>
      </c>
      <c r="B68" s="893" t="s">
        <v>774</v>
      </c>
      <c r="C68" s="293">
        <f ca="1">ROUND(C67*(1-((1+F70)/(1+F68))^F69)/(F68-F70),0)</f>
        <v>-47</v>
      </c>
      <c r="D68" s="910" t="s">
        <v>758</v>
      </c>
      <c r="E68" s="895" t="s">
        <v>759</v>
      </c>
      <c r="F68" s="304">
        <f ca="1">F40</f>
        <v>5.5E-2</v>
      </c>
      <c r="O68" s="1333" t="s">
        <v>406</v>
      </c>
      <c r="P68" s="1370" t="s">
        <v>871</v>
      </c>
      <c r="Q68" s="1326">
        <f ca="1">ROUND(Q69-Q70*Q71,0)</f>
        <v>7</v>
      </c>
      <c r="R68" s="1326" t="s">
        <v>414</v>
      </c>
    </row>
    <row r="69" spans="1:18" s="1291" customFormat="1" ht="13.8" thickBot="1">
      <c r="A69" s="896"/>
      <c r="B69" s="897"/>
      <c r="C69" s="298"/>
      <c r="D69" s="915" t="s">
        <v>762</v>
      </c>
      <c r="E69" s="895" t="s">
        <v>763</v>
      </c>
      <c r="F69" s="324">
        <f ca="1">F41</f>
        <v>37.57</v>
      </c>
      <c r="O69" s="1333" t="s">
        <v>411</v>
      </c>
      <c r="P69" s="1370" t="s">
        <v>872</v>
      </c>
      <c r="Q69" s="1326">
        <f ca="1">C39</f>
        <v>64</v>
      </c>
      <c r="R69" s="1326" t="s">
        <v>818</v>
      </c>
    </row>
    <row r="70" spans="1:18" s="1291" customFormat="1" ht="13.8" thickBot="1">
      <c r="A70" s="899"/>
      <c r="B70" s="900"/>
      <c r="C70" s="302"/>
      <c r="D70" s="911"/>
      <c r="E70" s="895" t="s">
        <v>766</v>
      </c>
      <c r="F70" s="990"/>
      <c r="O70" s="1333" t="s">
        <v>412</v>
      </c>
      <c r="P70" s="1370" t="s">
        <v>873</v>
      </c>
      <c r="Q70" s="1326">
        <f ca="1">C13</f>
        <v>813</v>
      </c>
      <c r="R70" s="1326" t="s">
        <v>818</v>
      </c>
    </row>
    <row r="71" spans="1:18" s="1291" customFormat="1" ht="13.8" thickBot="1">
      <c r="A71" s="916" t="s">
        <v>396</v>
      </c>
      <c r="B71" s="917" t="s">
        <v>776</v>
      </c>
      <c r="C71" s="327">
        <f ca="1">ROUND(C68*10000/F71,0)</f>
        <v>-380</v>
      </c>
      <c r="D71" s="918" t="s">
        <v>777</v>
      </c>
      <c r="E71" s="919" t="s">
        <v>778</v>
      </c>
      <c r="F71" s="330">
        <f ca="1">F43</f>
        <v>1236.5999999999999</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续建工期及建筑物耐用年限下的土地年期修正系数Kn</v>
      </c>
      <c r="Q74" s="1326" t="e">
        <f ca="1">L59</f>
        <v>#DIV/0!</v>
      </c>
      <c r="R74" s="1326" t="s">
        <v>857</v>
      </c>
    </row>
    <row r="75" spans="1:18" ht="13.8" thickBot="1">
      <c r="A75" s="1291"/>
      <c r="B75" s="331" t="s">
        <v>795</v>
      </c>
      <c r="C75" s="332">
        <f ca="1">ROUND(C13*C76,0)</f>
        <v>57</v>
      </c>
      <c r="D75" s="1291"/>
      <c r="E75" s="1291"/>
      <c r="F75" s="1291"/>
      <c r="K75" s="1308"/>
      <c r="L75" s="1291"/>
      <c r="O75" s="1324" t="s">
        <v>409</v>
      </c>
      <c r="P75" s="1325" t="s">
        <v>838</v>
      </c>
      <c r="Q75" s="1326">
        <f ca="1">Q65+Q66</f>
        <v>1225</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0.10899999999999999</v>
      </c>
    </row>
    <row r="80" spans="1:18">
      <c r="B80" s="331" t="s">
        <v>800</v>
      </c>
      <c r="C80" s="266">
        <f ca="1">ROUND(C75/C39,3)</f>
        <v>0.89100000000000001</v>
      </c>
    </row>
    <row r="81" spans="2:3">
      <c r="B81" s="262" t="s">
        <v>801</v>
      </c>
      <c r="C81" s="230"/>
    </row>
    <row r="82" spans="2:3">
      <c r="B82" s="265" t="s">
        <v>802</v>
      </c>
      <c r="C82" s="267">
        <f ca="1">1-C83</f>
        <v>0.33599999999999997</v>
      </c>
    </row>
    <row r="83" spans="2:3">
      <c r="B83" s="265" t="s">
        <v>803</v>
      </c>
      <c r="C83" s="266">
        <f ca="1">ROUND(C13/C40,3)</f>
        <v>0.66400000000000003</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xr:uid="{FF2B4634-CF13-404B-BFEE-4C3EEBF2ACE6}">
      <formula1>"在建（套用方法）,土地（套用方法）,——"</formula1>
    </dataValidation>
    <dataValidation type="list" allowBlank="1" showInputMessage="1" showErrorMessage="1" sqref="M10 F10 F53" xr:uid="{F908F72A-C329-4828-B485-5CE0C9D31858}">
      <formula1>"押一,押二,押三,自定义"</formula1>
    </dataValidation>
    <dataValidation type="list" allowBlank="1" showInputMessage="1" showErrorMessage="1" sqref="L55" xr:uid="{393FE063-62BF-4B43-BB05-17F51D171E8D}">
      <formula1>"比较法,基准地价,收益还原"</formula1>
    </dataValidation>
    <dataValidation type="list" allowBlank="1" showInputMessage="1" showErrorMessage="1" sqref="J56" xr:uid="{E0F01C47-DA71-4B85-9C5D-3AEFF372C7BE}">
      <formula1>估价范围判定</formula1>
    </dataValidation>
    <dataValidation type="list" allowBlank="1" showInputMessage="1" showErrorMessage="1" sqref="J48" xr:uid="{ED20B741-E0FF-415A-B022-5B9F02C66D99}">
      <formula1>"非生产用房,生产用房,受腐蚀的生产用房"</formula1>
    </dataValidation>
    <dataValidation type="list" allowBlank="1" showInputMessage="1" showErrorMessage="1" sqref="J47" xr:uid="{A2BBA4DB-C034-4E8F-8E47-850289127A55}">
      <formula1>"钢,钢混,砖混"</formula1>
    </dataValidation>
    <dataValidation type="list" allowBlank="1" showInputMessage="1" showErrorMessage="1" sqref="C1" xr:uid="{E3905602-D46F-4FEE-AAB3-C936FA4AA5C4}">
      <formula1>项目类型</formula1>
    </dataValidation>
    <dataValidation type="list" allowBlank="1" showInputMessage="1" showErrorMessage="1" sqref="D33 D61" xr:uid="{CA0306B5-E909-446C-9CB7-B42F2B74F7C8}">
      <formula1>"按租金收入计税,按房产原值计税,按票据"</formula1>
    </dataValidation>
    <dataValidation type="list" allowBlank="1" showInputMessage="1" showErrorMessage="1" sqref="K19" xr:uid="{47C2F2F6-E935-4AE7-945E-DD63C176876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70" zoomScaleNormal="70" zoomScaleSheetLayoutView="70" workbookViewId="0">
      <selection activeCell="I43" sqref="I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3416</v>
      </c>
      <c r="D1" s="1270" t="s">
        <v>3603</v>
      </c>
      <c r="E1" s="1271" t="s">
        <v>678</v>
      </c>
      <c r="F1" s="998">
        <f ca="1">J53</f>
        <v>47.57</v>
      </c>
      <c r="G1" s="1285">
        <f>MATCH(C1,'数据-取费表'!A6:A16,0)+5</f>
        <v>9</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572</v>
      </c>
      <c r="C2" s="1288" t="s">
        <v>805</v>
      </c>
      <c r="D2" s="1288"/>
      <c r="E2" s="1294"/>
      <c r="F2" s="1295"/>
      <c r="G2" s="2473"/>
      <c r="H2" s="2463"/>
      <c r="I2" s="2463"/>
      <c r="J2" s="2463"/>
      <c r="K2" s="2464"/>
      <c r="L2" s="2463"/>
      <c r="M2" s="2463"/>
    </row>
    <row r="3" spans="1:37" ht="18" customHeight="1" thickBot="1">
      <c r="A3" s="1296" t="s">
        <v>806</v>
      </c>
      <c r="B3" s="1297">
        <f ca="1">IF(ISERROR(B2*10000/F43),0,ROUND(B2*10000/F43,0))</f>
        <v>7272</v>
      </c>
      <c r="C3" s="1288" t="s">
        <v>807</v>
      </c>
      <c r="D3" s="1288"/>
      <c r="E3" s="1294"/>
      <c r="F3" s="1295"/>
      <c r="G3" s="2473"/>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33</v>
      </c>
      <c r="D5" s="1272" t="s">
        <v>693</v>
      </c>
      <c r="E5" s="1007"/>
      <c r="F5" s="1008"/>
      <c r="G5" s="1291"/>
      <c r="H5" s="291">
        <v>1</v>
      </c>
      <c r="I5" s="292" t="s">
        <v>692</v>
      </c>
      <c r="J5" s="1006">
        <f ca="1">J6+J10+J12</f>
        <v>0</v>
      </c>
      <c r="K5" s="1272" t="s">
        <v>693</v>
      </c>
      <c r="L5" s="1007"/>
      <c r="M5" s="1008"/>
    </row>
    <row r="6" spans="1:37" ht="18" customHeight="1">
      <c r="A6" s="1005" t="s">
        <v>398</v>
      </c>
      <c r="B6" s="3427" t="s">
        <v>694</v>
      </c>
      <c r="C6" s="1010">
        <f ca="1">ROUND(F6*F8*F7*(1-F9)/10000,0)</f>
        <v>33</v>
      </c>
      <c r="D6" s="147" t="s">
        <v>2109</v>
      </c>
      <c r="E6" s="294" t="s">
        <v>696</v>
      </c>
      <c r="F6" s="295">
        <f ca="1">INDIRECT("'数据-取费表'!u"&amp;$G$1)</f>
        <v>300</v>
      </c>
      <c r="G6" s="1291"/>
      <c r="H6" s="1005" t="s">
        <v>398</v>
      </c>
      <c r="I6" s="3427" t="s">
        <v>694</v>
      </c>
      <c r="J6" s="293">
        <f ca="1">ROUND(M6*M8*M7*(1-M9)/10000,0)</f>
        <v>0</v>
      </c>
      <c r="K6" s="147" t="s">
        <v>2108</v>
      </c>
      <c r="L6" s="294" t="s">
        <v>696</v>
      </c>
      <c r="M6" s="295">
        <f ca="1">INDIRECT("'数据-取费表'!z"&amp;$G$1)</f>
        <v>0</v>
      </c>
    </row>
    <row r="7" spans="1:37" ht="18" customHeight="1">
      <c r="A7" s="1009"/>
      <c r="B7" s="3428"/>
      <c r="C7" s="1011"/>
      <c r="D7" s="299"/>
      <c r="E7" s="1012" t="s">
        <v>697</v>
      </c>
      <c r="F7" s="295">
        <f ca="1">IF(INDIRECT("'数据-取费表'!ah"&amp;$G$1)="",INDIRECT("'数据-取费表'!k"&amp;$G$1),INDIRECT("'数据-取费表'!ah"&amp;$G$1))</f>
        <v>102</v>
      </c>
      <c r="G7" s="1291"/>
      <c r="H7" s="296"/>
      <c r="I7" s="3428"/>
      <c r="J7" s="298"/>
      <c r="K7" s="299"/>
      <c r="L7" s="294" t="s">
        <v>697</v>
      </c>
      <c r="M7" s="295">
        <f ca="1">F7</f>
        <v>102</v>
      </c>
    </row>
    <row r="8" spans="1:37" ht="18" customHeight="1">
      <c r="A8" s="296"/>
      <c r="B8" s="3428"/>
      <c r="C8" s="298"/>
      <c r="D8" s="299"/>
      <c r="E8" s="294" t="s">
        <v>698</v>
      </c>
      <c r="F8" s="295">
        <f ca="1">INDIRECT("'数据-取费表'!ai"&amp;$G$1)</f>
        <v>12</v>
      </c>
      <c r="G8" s="1291"/>
      <c r="H8" s="296"/>
      <c r="I8" s="3428"/>
      <c r="J8" s="298"/>
      <c r="K8" s="299"/>
      <c r="L8" s="294" t="s">
        <v>698</v>
      </c>
      <c r="M8" s="295">
        <f ca="1">INDIRECT("'数据-取费表'!ai"&amp;$G$1)</f>
        <v>12</v>
      </c>
    </row>
    <row r="9" spans="1:37" ht="18" customHeight="1">
      <c r="A9" s="296"/>
      <c r="B9" s="3429"/>
      <c r="C9" s="298"/>
      <c r="D9" s="299"/>
      <c r="E9" s="294" t="s">
        <v>699</v>
      </c>
      <c r="F9" s="304">
        <f ca="1">INDIRECT("'数据-取费表'!w"&amp;$G$1)</f>
        <v>0.1</v>
      </c>
      <c r="G9" s="1291"/>
      <c r="H9" s="296"/>
      <c r="I9" s="3429"/>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508</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354</v>
      </c>
      <c r="D14" s="1256" t="s">
        <v>708</v>
      </c>
      <c r="E14" s="1254"/>
      <c r="F14" s="311"/>
      <c r="G14" s="1291"/>
      <c r="H14" s="927" t="s">
        <v>398</v>
      </c>
      <c r="I14" s="294" t="s">
        <v>709</v>
      </c>
      <c r="J14" s="21">
        <f ca="1">C29</f>
        <v>508</v>
      </c>
      <c r="K14" s="12"/>
      <c r="L14" s="758"/>
      <c r="M14" s="759"/>
    </row>
    <row r="15" spans="1:37" s="1303" customFormat="1" ht="18" customHeight="1" thickBot="1">
      <c r="A15" s="927" t="s">
        <v>399</v>
      </c>
      <c r="B15" s="294" t="s">
        <v>710</v>
      </c>
      <c r="C15" s="21">
        <f ca="1">ROUND(C14*F15,0)</f>
        <v>25</v>
      </c>
      <c r="D15" s="312" t="s">
        <v>711</v>
      </c>
      <c r="E15" s="312" t="s">
        <v>712</v>
      </c>
      <c r="F15" s="313">
        <f>'数据-取费表'!B33</f>
        <v>7.0000000000000007E-2</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2</v>
      </c>
      <c r="K16" s="1023" t="s">
        <v>715</v>
      </c>
      <c r="L16" s="1024"/>
      <c r="M16" s="1008"/>
    </row>
    <row r="17" spans="1:37" s="1303" customFormat="1" ht="18" customHeight="1">
      <c r="A17" s="927" t="s">
        <v>681</v>
      </c>
      <c r="B17" s="294" t="s">
        <v>716</v>
      </c>
      <c r="C17" s="21">
        <f ca="1">ROUND(F17*(F43+INDIRECT("'数据-取费表'!S"&amp;$G$1))/10000,0)</f>
        <v>16</v>
      </c>
      <c r="D17" s="294" t="s">
        <v>717</v>
      </c>
      <c r="E17" s="294" t="s">
        <v>718</v>
      </c>
      <c r="F17" s="23">
        <f>'数据-取费表'!B35</f>
        <v>200</v>
      </c>
      <c r="G17" s="1302"/>
      <c r="H17" s="927" t="s">
        <v>398</v>
      </c>
      <c r="I17" s="294" t="s">
        <v>719</v>
      </c>
      <c r="J17" s="2139">
        <f ca="1">ROUND(IF(AND(项目基本情况!B11="自然人",项目基本情况!B10="北京市"),J6*M17/(1+'数据-取费表'!C42),J18+J19+J20),2)</f>
        <v>0.05</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7</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402</v>
      </c>
      <c r="D19" s="123" t="s">
        <v>726</v>
      </c>
      <c r="E19" s="1268"/>
      <c r="F19" s="23"/>
      <c r="G19" s="1291"/>
      <c r="H19" s="927" t="s">
        <v>399</v>
      </c>
      <c r="I19" s="294" t="s">
        <v>727</v>
      </c>
      <c r="J19" s="21">
        <f ca="1">IF(K19="按租金收入计税",ROUND(J6*M19/(1+'数据-取费表'!C42),2),ROUND(C29*M19*0.7,2))</f>
        <v>0</v>
      </c>
      <c r="K19" s="1277" t="s">
        <v>3325</v>
      </c>
      <c r="L19" s="294" t="s">
        <v>712</v>
      </c>
      <c r="M19" s="314">
        <f>IF(K19="按租金收入计税",'数据-取费表'!B51,'数据-取费表'!B50)</f>
        <v>0.12</v>
      </c>
    </row>
    <row r="20" spans="1:37" s="1303" customFormat="1" ht="18" customHeight="1">
      <c r="A20" s="927" t="s">
        <v>402</v>
      </c>
      <c r="B20" s="294" t="s">
        <v>728</v>
      </c>
      <c r="C20" s="21">
        <f ca="1">ROUND(C19*F20,0)</f>
        <v>8</v>
      </c>
      <c r="D20" s="315" t="s">
        <v>729</v>
      </c>
      <c r="E20" s="294" t="s">
        <v>712</v>
      </c>
      <c r="F20" s="314">
        <f>'数据-取费表'!B37</f>
        <v>0.02</v>
      </c>
      <c r="G20" s="1302"/>
      <c r="H20" s="927" t="s">
        <v>680</v>
      </c>
      <c r="I20" s="147" t="s">
        <v>730</v>
      </c>
      <c r="J20" s="22">
        <f ca="1">ROUND(M20*M21/10000,2)</f>
        <v>0.05</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2.5000000000000001E-2</v>
      </c>
      <c r="G21" s="1302"/>
      <c r="H21" s="318"/>
      <c r="I21" s="303"/>
      <c r="J21" s="26"/>
      <c r="K21" s="319"/>
      <c r="L21" s="294" t="s">
        <v>736</v>
      </c>
      <c r="M21" s="295">
        <f ca="1">INDIRECT("'数据-取费表'!r"&amp;$G$1)</f>
        <v>323.97000000000003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1.52</v>
      </c>
      <c r="K22" s="1255" t="s">
        <v>739</v>
      </c>
      <c r="L22" s="294" t="s">
        <v>712</v>
      </c>
      <c r="M22" s="320">
        <f ca="1">INDIRECT("'数据-取费表'!Ak"&amp;$G$1)</f>
        <v>3.0000000000000001E-3</v>
      </c>
    </row>
    <row r="23" spans="1:37" s="1303" customFormat="1" ht="18" customHeight="1">
      <c r="A23" s="927" t="s">
        <v>397</v>
      </c>
      <c r="B23" s="294" t="s">
        <v>740</v>
      </c>
      <c r="C23" s="21">
        <f ca="1">IF('数据-取费表'!B22&lt;=1,ROUND(C19*F24*F23/2,0)+ROUND(C20*F24*F23/2,0),ROUND(C19*(POWER((1+F24),F23/2)-1),0)+ROUND(C20*(POWER((1+F24),F23/2)-1),0))</f>
        <v>16</v>
      </c>
      <c r="D23" s="138" t="str">
        <f>IF(F23&lt;=1,"(建造成本+管理费用)×利率×(建设周期÷2)","(建造成本+管理费用)×((1+利率)^(建设周期÷2)-1)")</f>
        <v>(建造成本+管理费用)×((1+利率)^(建设周期÷2)-1)</v>
      </c>
      <c r="E23" s="294" t="s">
        <v>741</v>
      </c>
      <c r="F23" s="317">
        <f>'数据-取费表'!B20</f>
        <v>2.5</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3.1899999999999998E-2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-2</v>
      </c>
      <c r="K25" s="1031" t="s">
        <v>753</v>
      </c>
      <c r="L25" s="1032"/>
      <c r="M25" s="1033"/>
    </row>
    <row r="26" spans="1:37">
      <c r="A26" s="927" t="s">
        <v>397</v>
      </c>
      <c r="B26" s="294" t="s">
        <v>754</v>
      </c>
      <c r="C26" s="21">
        <f ca="1">ROUND((C19+C20)*F26,0)</f>
        <v>41</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0.05</v>
      </c>
    </row>
    <row r="27" spans="1:37" ht="18" customHeight="1">
      <c r="A27" s="927" t="s">
        <v>399</v>
      </c>
      <c r="B27" s="294" t="s">
        <v>760</v>
      </c>
      <c r="C27" s="21">
        <f ca="1">ROUND(F21*F26,4)</f>
        <v>2.5000000000000001E-3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508</v>
      </c>
      <c r="D29" s="1028"/>
      <c r="E29" s="1026"/>
      <c r="F29" s="1029"/>
      <c r="G29" s="1302"/>
      <c r="H29" s="325" t="s">
        <v>396</v>
      </c>
      <c r="I29" s="326" t="s">
        <v>768</v>
      </c>
      <c r="J29" s="327">
        <f ca="1">ROUND(J26/(1+F40)^F41,0)</f>
        <v>0</v>
      </c>
      <c r="K29" s="328" t="s">
        <v>769</v>
      </c>
      <c r="L29" s="329"/>
      <c r="M29" s="330">
        <f ca="1">INDIRECT("'数据-取费表'!k"&amp;$G$1)</f>
        <v>786.60999999999979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8</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ROUND(IF(AND(项目基本情况!B11="自然人",项目基本情况!B10="北京市"),C6*F31/(1+'数据-取费表'!C42),C32+C33+C34),2)</f>
        <v>5.55</v>
      </c>
      <c r="D31" s="1256" t="s">
        <v>720</v>
      </c>
      <c r="E31" s="1255" t="s">
        <v>770</v>
      </c>
      <c r="F31" s="2138">
        <f ca="1">IF(项目基本情况!B11="企业","——",IF(M47="住宅",IF(F6*F7*F8/12/(1+'数据-取费表'!F30)&gt;100000,4%,2.5%),IF(F6*F7*F8/12/(1+'数据-取费表'!F30)&gt;100000,12%,7%)))</f>
        <v>7.0000000000000007E-2</v>
      </c>
      <c r="G31" s="1291"/>
      <c r="H31" s="2564" t="s">
        <v>2297</v>
      </c>
      <c r="I31" s="1304"/>
      <c r="J31" s="1305"/>
      <c r="K31" s="121"/>
      <c r="L31" s="2466"/>
      <c r="M31" s="2467"/>
    </row>
    <row r="32" spans="1:37" ht="18" customHeight="1">
      <c r="A32" s="927" t="s">
        <v>397</v>
      </c>
      <c r="B32" s="294" t="s">
        <v>723</v>
      </c>
      <c r="C32" s="21">
        <f ca="1">IF(项目基本情况!B11="自然人","——",ROUND(C6*F32/(1+'数据-取费表'!C42),2))</f>
        <v>1.73</v>
      </c>
      <c r="D32" s="1255" t="s">
        <v>724</v>
      </c>
      <c r="E32" s="294" t="s">
        <v>712</v>
      </c>
      <c r="F32" s="322">
        <f>'数据-取费表'!B41</f>
        <v>5.5000000000000007E-2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IF(项目基本情况!B11="自然人","——",IF(D33="按租金收入计税",ROUND(C6*F33/(1+'数据-取费表'!C42),2),IF(D33="按房产原值计税",ROUND(C29*F33*0.7,2),INDIRECT("'数据-取费表'!Aj"&amp;$G$1))))</f>
        <v>3.77</v>
      </c>
      <c r="D33" s="1277" t="s">
        <v>3325</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IF(项目基本情况!B11="自然人","——",ROUND(F34*F35/10000,2))</f>
        <v>0.05</v>
      </c>
      <c r="D34" s="316" t="s">
        <v>731</v>
      </c>
      <c r="E34" s="294" t="s">
        <v>732</v>
      </c>
      <c r="F34" s="317">
        <f>'数据-取费表'!B52</f>
        <v>1.5</v>
      </c>
      <c r="G34" s="1291"/>
      <c r="H34" s="2465"/>
      <c r="I34" s="1304"/>
      <c r="J34" s="1305"/>
      <c r="K34" s="2470"/>
      <c r="L34" s="2471"/>
      <c r="M34" s="2471"/>
    </row>
    <row r="35" spans="1:18" ht="18" customHeight="1">
      <c r="A35" s="1039"/>
      <c r="B35" s="1037"/>
      <c r="C35" s="26"/>
      <c r="D35" s="319"/>
      <c r="E35" s="294" t="s">
        <v>736</v>
      </c>
      <c r="F35" s="295">
        <f ca="1">INDIRECT("'数据-取费表'!r"&amp;$G$1)</f>
        <v>323.97000000000003</v>
      </c>
      <c r="G35" s="1291"/>
      <c r="H35" s="2465"/>
      <c r="I35" s="1304"/>
      <c r="J35" s="1305"/>
      <c r="K35" s="2469"/>
      <c r="L35" s="2468"/>
      <c r="M35" s="2468"/>
    </row>
    <row r="36" spans="1:18" ht="18" customHeight="1">
      <c r="A36" s="1038" t="s">
        <v>402</v>
      </c>
      <c r="B36" s="294" t="s">
        <v>738</v>
      </c>
      <c r="C36" s="21">
        <f ca="1">ROUND(C29*F36,2)</f>
        <v>1.52</v>
      </c>
      <c r="D36" s="1255" t="s">
        <v>771</v>
      </c>
      <c r="E36" s="294" t="s">
        <v>712</v>
      </c>
      <c r="F36" s="320">
        <f ca="1">INDIRECT("'数据-取费表'!Ak"&amp;$G$1)</f>
        <v>3.0000000000000001E-3</v>
      </c>
      <c r="G36" s="1291"/>
      <c r="H36" s="2468"/>
      <c r="I36" s="1304"/>
      <c r="J36" s="1305"/>
      <c r="K36" s="2325"/>
      <c r="L36" s="2468"/>
      <c r="M36" s="2468"/>
    </row>
    <row r="37" spans="1:18" ht="18" customHeight="1">
      <c r="A37" s="927" t="s">
        <v>437</v>
      </c>
      <c r="B37" s="294" t="s">
        <v>742</v>
      </c>
      <c r="C37" s="21">
        <f ca="1">ROUND(C13*F37,2)</f>
        <v>0.51</v>
      </c>
      <c r="D37" s="1255" t="s">
        <v>743</v>
      </c>
      <c r="E37" s="294" t="s">
        <v>744</v>
      </c>
      <c r="F37" s="321">
        <f ca="1">INDIRECT("'数据-取费表'!Al"&amp;$G$1)</f>
        <v>1E-3</v>
      </c>
      <c r="G37" s="1291"/>
      <c r="H37" s="2468"/>
      <c r="I37" s="1304"/>
      <c r="J37" s="1305"/>
      <c r="K37" s="2325"/>
      <c r="L37" s="2468"/>
      <c r="M37" s="2468"/>
    </row>
    <row r="38" spans="1:18" ht="18" customHeight="1" thickBot="1">
      <c r="A38" s="1025" t="s">
        <v>684</v>
      </c>
      <c r="B38" s="1026" t="s">
        <v>728</v>
      </c>
      <c r="C38" s="1027">
        <f ca="1">ROUND(C5*F38,2)</f>
        <v>0.17</v>
      </c>
      <c r="D38" s="1028" t="s">
        <v>748</v>
      </c>
      <c r="E38" s="1026" t="s">
        <v>744</v>
      </c>
      <c r="F38" s="1022">
        <f ca="1">INDIRECT("'数据-取费表'!Am"&amp;$G$1)</f>
        <v>5.0000000000000001E-3</v>
      </c>
      <c r="G38" s="1291"/>
      <c r="H38" s="2468"/>
      <c r="I38" s="1304"/>
      <c r="J38" s="1305"/>
      <c r="K38" s="2466"/>
      <c r="L38" s="2468"/>
      <c r="M38" s="2468"/>
    </row>
    <row r="39" spans="1:18" ht="24.6" customHeight="1" thickTop="1">
      <c r="A39" s="1015" t="s">
        <v>394</v>
      </c>
      <c r="B39" s="1030" t="s">
        <v>772</v>
      </c>
      <c r="C39" s="302">
        <f ca="1">C5-C30</f>
        <v>25</v>
      </c>
      <c r="D39" s="1031" t="s">
        <v>773</v>
      </c>
      <c r="E39" s="1032"/>
      <c r="F39" s="1033"/>
      <c r="G39" s="1291"/>
      <c r="H39" s="2468"/>
      <c r="I39" s="1304"/>
      <c r="J39" s="1305"/>
      <c r="K39" s="2466"/>
      <c r="L39" s="2468"/>
      <c r="M39" s="2468"/>
    </row>
    <row r="40" spans="1:18" ht="18" customHeight="1">
      <c r="A40" s="291" t="s">
        <v>395</v>
      </c>
      <c r="B40" s="292" t="s">
        <v>774</v>
      </c>
      <c r="C40" s="293">
        <f ca="1">ROUND(C39*(1-((1+F42)/(1+F40))^F41)/(F40-F42),0)</f>
        <v>572</v>
      </c>
      <c r="D40" s="316" t="s">
        <v>758</v>
      </c>
      <c r="E40" s="294" t="s">
        <v>759</v>
      </c>
      <c r="F40" s="304">
        <f ca="1">INDIRECT("'数据-取费表'!I"&amp;$G$1)</f>
        <v>0.05</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47.57</v>
      </c>
      <c r="G41" s="1291"/>
      <c r="H41" s="121"/>
      <c r="I41" s="1304"/>
      <c r="J41" s="1305"/>
      <c r="K41" s="2325"/>
      <c r="L41" s="121"/>
      <c r="M41" s="121"/>
    </row>
    <row r="42" spans="1:18" ht="18" customHeight="1">
      <c r="A42" s="300"/>
      <c r="B42" s="301"/>
      <c r="C42" s="302"/>
      <c r="D42" s="319"/>
      <c r="E42" s="294" t="s">
        <v>766</v>
      </c>
      <c r="F42" s="304">
        <f ca="1">INDIRECT("'数据-取费表'!v"&amp;$G$1)</f>
        <v>1.4999999999999999E-2</v>
      </c>
      <c r="G42" s="1291"/>
      <c r="H42" s="121"/>
      <c r="I42" s="1304"/>
      <c r="J42" s="1305"/>
      <c r="K42" s="2325"/>
      <c r="L42" s="121"/>
      <c r="M42" s="121"/>
    </row>
    <row r="43" spans="1:18" ht="18" customHeight="1" thickBot="1">
      <c r="A43" s="325" t="s">
        <v>396</v>
      </c>
      <c r="B43" s="326" t="s">
        <v>776</v>
      </c>
      <c r="C43" s="327">
        <f ca="1">ROUND(C40*10000/F43,0)</f>
        <v>7272</v>
      </c>
      <c r="D43" s="328" t="s">
        <v>777</v>
      </c>
      <c r="E43" s="329" t="s">
        <v>778</v>
      </c>
      <c r="F43" s="330">
        <f ca="1">INDIRECT("'数据-取费表'!k"&amp;$G$1)</f>
        <v>786.60999999999979</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808</v>
      </c>
      <c r="P45" s="1365"/>
      <c r="Q45" s="1365"/>
      <c r="R45" s="1365"/>
    </row>
    <row r="46" spans="1:18" s="1291" customFormat="1" ht="13.8" thickBot="1">
      <c r="A46" s="1310" t="s">
        <v>809</v>
      </c>
      <c r="C46" s="1311">
        <f ca="1">C68-C40</f>
        <v>-608</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1"/>
      <c r="I47" s="1320" t="s">
        <v>815</v>
      </c>
      <c r="J47" s="1321" t="s">
        <v>3601</v>
      </c>
      <c r="K47" s="1322" t="s">
        <v>816</v>
      </c>
      <c r="L47" s="1323">
        <f ca="1">INDIRECT("'数据-取费表'!d"&amp;$G$1)</f>
        <v>50</v>
      </c>
      <c r="M47" s="1287" t="str">
        <f>IF(ISNUMBER(FIND("住宅",C1)),"住宅","非住宅")</f>
        <v>非住宅</v>
      </c>
      <c r="O47" s="1324" t="s">
        <v>403</v>
      </c>
      <c r="P47" s="1325" t="s">
        <v>817</v>
      </c>
      <c r="Q47" s="1326">
        <f ca="1">C40+J29</f>
        <v>572</v>
      </c>
      <c r="R47" s="1326" t="s">
        <v>818</v>
      </c>
    </row>
    <row r="48" spans="1:18" s="1291" customFormat="1" ht="40.200000000000003" thickBot="1">
      <c r="A48" s="1046" t="s">
        <v>438</v>
      </c>
      <c r="B48" s="292" t="s">
        <v>692</v>
      </c>
      <c r="C48" s="1267">
        <f ca="1">C49+C53+C55</f>
        <v>0</v>
      </c>
      <c r="D48" s="1048"/>
      <c r="E48" s="1049"/>
      <c r="F48" s="907"/>
      <c r="G48" s="681"/>
      <c r="H48" s="682"/>
      <c r="I48" s="1327" t="s">
        <v>819</v>
      </c>
      <c r="J48" s="1328" t="s">
        <v>3602</v>
      </c>
      <c r="K48" s="1329" t="s">
        <v>820</v>
      </c>
      <c r="L48" s="1330">
        <f ca="1">INDIRECT("'数据-取费表'!f"&amp;$G$1)</f>
        <v>48.72</v>
      </c>
      <c r="O48" s="1324" t="s">
        <v>404</v>
      </c>
      <c r="P48" s="1325" t="s">
        <v>821</v>
      </c>
      <c r="Q48" s="1326" t="str">
        <f ca="1">J60</f>
        <v>0</v>
      </c>
      <c r="R48" s="1326" t="s">
        <v>822</v>
      </c>
    </row>
    <row r="49" spans="1:18" s="1291" customFormat="1" ht="13.8" thickBot="1">
      <c r="A49" s="920" t="s">
        <v>439</v>
      </c>
      <c r="B49" s="1278" t="s">
        <v>779</v>
      </c>
      <c r="C49" s="1050">
        <f ca="1">ROUND(F49*F51*F50*(1-F52)/10000,0)</f>
        <v>0</v>
      </c>
      <c r="D49" s="991" t="s">
        <v>2110</v>
      </c>
      <c r="E49" s="1279" t="s">
        <v>780</v>
      </c>
      <c r="F49" s="996"/>
      <c r="H49" s="682"/>
      <c r="I49" s="1327" t="s">
        <v>823</v>
      </c>
      <c r="J49" s="1331"/>
      <c r="K49" s="1329" t="s">
        <v>824</v>
      </c>
      <c r="L49" s="1332"/>
      <c r="O49" s="1333" t="s">
        <v>405</v>
      </c>
      <c r="P49" s="1325" t="s">
        <v>825</v>
      </c>
      <c r="Q49" s="1326">
        <f ca="1">C29</f>
        <v>508</v>
      </c>
      <c r="R49" s="1326" t="s">
        <v>818</v>
      </c>
    </row>
    <row r="50" spans="1:18" s="1291" customFormat="1" ht="13.8" thickBot="1">
      <c r="A50" s="921"/>
      <c r="B50" s="924"/>
      <c r="C50" s="1054"/>
      <c r="D50" s="898"/>
      <c r="E50" s="992" t="s">
        <v>697</v>
      </c>
      <c r="F50" s="993">
        <f ca="1">F7</f>
        <v>102</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8" thickBot="1">
      <c r="A51" s="922"/>
      <c r="B51" s="924"/>
      <c r="C51" s="925"/>
      <c r="D51" s="898"/>
      <c r="E51" s="926" t="s">
        <v>698</v>
      </c>
      <c r="F51" s="295">
        <f ca="1">F8</f>
        <v>12</v>
      </c>
      <c r="I51" s="1337" t="s">
        <v>829</v>
      </c>
      <c r="J51" s="1330">
        <f>IF(J49="",J50,J49+J50-YEAR('数据-取费表'!B2))</f>
        <v>60</v>
      </c>
      <c r="K51" s="1338" t="s">
        <v>830</v>
      </c>
      <c r="L51" s="1339">
        <f ca="1">ROUND(-PV(INDIRECT("'数据-取费表'!h"&amp;$G$1),J51,(C39-C13*C76),0),0)</f>
        <v>-218</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47.57</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47.57</v>
      </c>
      <c r="K53" s="3430" t="s">
        <v>837</v>
      </c>
      <c r="L53" s="3431"/>
      <c r="O53" s="1324" t="s">
        <v>409</v>
      </c>
      <c r="P53" s="1325" t="s">
        <v>838</v>
      </c>
      <c r="Q53" s="1326">
        <f ca="1">Q47+Q48</f>
        <v>572</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508</v>
      </c>
      <c r="D56" s="1351"/>
      <c r="E56" s="1352"/>
      <c r="F56" s="1344"/>
      <c r="I56" s="1353" t="s">
        <v>842</v>
      </c>
      <c r="J56" s="1354" t="s">
        <v>3413</v>
      </c>
      <c r="K56" s="1327" t="s">
        <v>843</v>
      </c>
      <c r="L56" s="1330" t="str">
        <f ca="1">IF(L48&lt;J51,"——",L48-J53)</f>
        <v>——</v>
      </c>
      <c r="O56" s="1324" t="s">
        <v>403</v>
      </c>
      <c r="P56" s="1325" t="s">
        <v>817</v>
      </c>
      <c r="Q56" s="1326">
        <f ca="1">C40+J29</f>
        <v>572</v>
      </c>
      <c r="R56" s="1326" t="s">
        <v>818</v>
      </c>
    </row>
    <row r="57" spans="1:18" s="1291" customFormat="1" ht="24.6" thickBot="1">
      <c r="A57" s="1355"/>
      <c r="B57" s="895" t="s">
        <v>767</v>
      </c>
      <c r="C57" s="230">
        <f ca="1">C29</f>
        <v>508</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3" t="s">
        <v>714</v>
      </c>
      <c r="C58" s="308">
        <f ca="1">ROUND(C59+C64+C65+C66,0)</f>
        <v>2</v>
      </c>
      <c r="D58" s="905" t="s">
        <v>715</v>
      </c>
      <c r="E58" s="906"/>
      <c r="F58" s="907"/>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3325</v>
      </c>
      <c r="E61" s="895" t="s">
        <v>783</v>
      </c>
      <c r="F61" s="314">
        <f t="shared" si="0"/>
        <v>0.12</v>
      </c>
      <c r="I61" s="1365"/>
      <c r="J61" s="1365"/>
      <c r="K61" s="1365"/>
      <c r="L61" s="1365"/>
      <c r="O61" s="1333" t="s">
        <v>408</v>
      </c>
      <c r="P61" s="1325" t="str">
        <f>K59</f>
        <v>续建工期及建筑物耐用年限下的土地年期修正系数Kn</v>
      </c>
      <c r="Q61" s="1326" t="e">
        <f ca="1">L59</f>
        <v>#DIV/0!</v>
      </c>
      <c r="R61" s="1326" t="s">
        <v>857</v>
      </c>
    </row>
    <row r="62" spans="1:18" s="1291" customFormat="1" ht="13.8" thickBot="1">
      <c r="A62" s="927" t="s">
        <v>784</v>
      </c>
      <c r="B62" s="894" t="s">
        <v>785</v>
      </c>
      <c r="C62" s="22">
        <f ca="1">IF(项目基本情况!B11="自然人","——",ROUND(F62*F63/10000,2))</f>
        <v>0.05</v>
      </c>
      <c r="D62" s="910" t="s">
        <v>786</v>
      </c>
      <c r="E62" s="895" t="s">
        <v>787</v>
      </c>
      <c r="F62" s="317">
        <f t="shared" si="0"/>
        <v>1.5</v>
      </c>
      <c r="I62" s="1366" t="s">
        <v>858</v>
      </c>
      <c r="J62" s="610" t="s">
        <v>859</v>
      </c>
      <c r="K62" s="610" t="s">
        <v>860</v>
      </c>
      <c r="L62" s="610" t="s">
        <v>861</v>
      </c>
      <c r="M62" s="1367" t="s">
        <v>862</v>
      </c>
      <c r="O62" s="1324" t="s">
        <v>409</v>
      </c>
      <c r="P62" s="1325" t="s">
        <v>863</v>
      </c>
      <c r="Q62" s="1326">
        <f ca="1">Q56+Q57</f>
        <v>572</v>
      </c>
      <c r="R62" s="1326" t="s">
        <v>410</v>
      </c>
    </row>
    <row r="63" spans="1:18" s="1291" customFormat="1" ht="13.8" thickBot="1">
      <c r="A63" s="318"/>
      <c r="B63" s="901"/>
      <c r="C63" s="26"/>
      <c r="D63" s="911"/>
      <c r="E63" s="895" t="s">
        <v>788</v>
      </c>
      <c r="F63" s="295">
        <f t="shared" ca="1" si="0"/>
        <v>323.97000000000003</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ROUND(C57*F64,2)</f>
        <v>1.52</v>
      </c>
      <c r="D64" s="909" t="s">
        <v>791</v>
      </c>
      <c r="E64" s="895" t="s">
        <v>783</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0.51</v>
      </c>
      <c r="D65" s="909" t="s">
        <v>743</v>
      </c>
      <c r="E65" s="895" t="s">
        <v>744</v>
      </c>
      <c r="F65" s="321">
        <f t="shared" ca="1" si="0"/>
        <v>1E-3</v>
      </c>
      <c r="I65" s="1366" t="s">
        <v>867</v>
      </c>
      <c r="J65" s="610">
        <v>40</v>
      </c>
      <c r="K65" s="610">
        <v>30</v>
      </c>
      <c r="L65" s="610">
        <v>50</v>
      </c>
      <c r="M65" s="1368">
        <v>0.02</v>
      </c>
      <c r="O65" s="1324" t="s">
        <v>403</v>
      </c>
      <c r="P65" s="1325" t="s">
        <v>868</v>
      </c>
      <c r="Q65" s="1326">
        <f ca="1">C40+J29</f>
        <v>572</v>
      </c>
      <c r="R65" s="1326" t="s">
        <v>818</v>
      </c>
    </row>
    <row r="66" spans="1:18" s="1291" customFormat="1" ht="16.2" thickBot="1">
      <c r="A66" s="927" t="s">
        <v>793</v>
      </c>
      <c r="B66" s="895" t="s">
        <v>728</v>
      </c>
      <c r="C66" s="21">
        <f ca="1">ROUND(C48*F66,2)</f>
        <v>0</v>
      </c>
      <c r="D66" s="909" t="s">
        <v>794</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-2</v>
      </c>
      <c r="D67" s="908" t="s">
        <v>753</v>
      </c>
      <c r="E67" s="913"/>
      <c r="F67" s="914"/>
      <c r="O67" s="1333" t="s">
        <v>405</v>
      </c>
      <c r="P67" s="1325" t="s">
        <v>850</v>
      </c>
      <c r="Q67" s="1369">
        <f ca="1">L51</f>
        <v>-218</v>
      </c>
      <c r="R67" s="1326" t="s">
        <v>870</v>
      </c>
    </row>
    <row r="68" spans="1:18" s="1291" customFormat="1" ht="16.2" thickBot="1">
      <c r="A68" s="892" t="s">
        <v>395</v>
      </c>
      <c r="B68" s="893" t="s">
        <v>774</v>
      </c>
      <c r="C68" s="293">
        <f ca="1">ROUND(C67*(1-((1+F70)/(1+F68))^F69)/(F68-F70),0)</f>
        <v>-36</v>
      </c>
      <c r="D68" s="910" t="s">
        <v>758</v>
      </c>
      <c r="E68" s="895" t="s">
        <v>759</v>
      </c>
      <c r="F68" s="304">
        <f ca="1">F40</f>
        <v>0.05</v>
      </c>
      <c r="O68" s="1333" t="s">
        <v>406</v>
      </c>
      <c r="P68" s="1370" t="s">
        <v>871</v>
      </c>
      <c r="Q68" s="1326">
        <f ca="1">ROUND(Q69-Q70*Q71,0)</f>
        <v>-11</v>
      </c>
      <c r="R68" s="1326" t="s">
        <v>414</v>
      </c>
    </row>
    <row r="69" spans="1:18" s="1291" customFormat="1" ht="13.8" thickBot="1">
      <c r="A69" s="896"/>
      <c r="B69" s="897"/>
      <c r="C69" s="298"/>
      <c r="D69" s="915" t="s">
        <v>762</v>
      </c>
      <c r="E69" s="895" t="s">
        <v>763</v>
      </c>
      <c r="F69" s="324">
        <f ca="1">F41</f>
        <v>47.57</v>
      </c>
      <c r="O69" s="1333" t="s">
        <v>411</v>
      </c>
      <c r="P69" s="1370" t="s">
        <v>872</v>
      </c>
      <c r="Q69" s="1326">
        <f ca="1">C39</f>
        <v>25</v>
      </c>
      <c r="R69" s="1326" t="s">
        <v>818</v>
      </c>
    </row>
    <row r="70" spans="1:18" s="1291" customFormat="1" ht="13.8" thickBot="1">
      <c r="A70" s="899"/>
      <c r="B70" s="900"/>
      <c r="C70" s="302"/>
      <c r="D70" s="911"/>
      <c r="E70" s="895" t="s">
        <v>766</v>
      </c>
      <c r="F70" s="990"/>
      <c r="O70" s="1333" t="s">
        <v>412</v>
      </c>
      <c r="P70" s="1370" t="s">
        <v>873</v>
      </c>
      <c r="Q70" s="1326">
        <f ca="1">C13</f>
        <v>508</v>
      </c>
      <c r="R70" s="1326" t="s">
        <v>818</v>
      </c>
    </row>
    <row r="71" spans="1:18" s="1291" customFormat="1" ht="13.8" thickBot="1">
      <c r="A71" s="916" t="s">
        <v>396</v>
      </c>
      <c r="B71" s="917" t="s">
        <v>776</v>
      </c>
      <c r="C71" s="327">
        <f ca="1">ROUND(C68*10000/F71,0)</f>
        <v>-458</v>
      </c>
      <c r="D71" s="918" t="s">
        <v>777</v>
      </c>
      <c r="E71" s="919" t="s">
        <v>778</v>
      </c>
      <c r="F71" s="330">
        <f ca="1">F43</f>
        <v>786.60999999999979</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续建工期及建筑物耐用年限下的土地年期修正系数Kn</v>
      </c>
      <c r="Q74" s="1326" t="e">
        <f ca="1">L59</f>
        <v>#DIV/0!</v>
      </c>
      <c r="R74" s="1326" t="s">
        <v>857</v>
      </c>
    </row>
    <row r="75" spans="1:18" ht="13.8" thickBot="1">
      <c r="A75" s="1291"/>
      <c r="B75" s="331" t="s">
        <v>795</v>
      </c>
      <c r="C75" s="332">
        <f ca="1">ROUND(C13*C76,0)</f>
        <v>36</v>
      </c>
      <c r="D75" s="1291"/>
      <c r="E75" s="1291"/>
      <c r="F75" s="1291"/>
      <c r="K75" s="1308"/>
      <c r="L75" s="1291"/>
      <c r="O75" s="1324" t="s">
        <v>409</v>
      </c>
      <c r="P75" s="1325" t="s">
        <v>838</v>
      </c>
      <c r="Q75" s="1326">
        <f ca="1">Q65+Q66</f>
        <v>572</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-0.43999999999999995</v>
      </c>
    </row>
    <row r="80" spans="1:18">
      <c r="B80" s="331" t="s">
        <v>800</v>
      </c>
      <c r="C80" s="266">
        <f ca="1">ROUND(C75/C39,3)</f>
        <v>1.44</v>
      </c>
    </row>
    <row r="81" spans="2:3">
      <c r="B81" s="262" t="s">
        <v>801</v>
      </c>
      <c r="C81" s="230"/>
    </row>
    <row r="82" spans="2:3">
      <c r="B82" s="265" t="s">
        <v>802</v>
      </c>
      <c r="C82" s="267">
        <f ca="1">1-C83</f>
        <v>0.11199999999999999</v>
      </c>
    </row>
    <row r="83" spans="2:3">
      <c r="B83" s="265" t="s">
        <v>803</v>
      </c>
      <c r="C83" s="266">
        <f ca="1">ROUND(C13/C40,3)</f>
        <v>0.88800000000000001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X26" sqref="X26"/>
    </sheetView>
  </sheetViews>
  <sheetFormatPr defaultRowHeight="14.4"/>
  <cols>
    <col min="1" max="1" width="13.88671875" customWidth="1"/>
    <col min="11" max="17" width="0" hidden="1" customWidth="1"/>
    <col min="25" max="30" width="0" hidden="1" customWidth="1"/>
  </cols>
  <sheetData>
    <row r="1" spans="1:44">
      <c r="A1" s="2932">
        <f>基准地价修正!G23</f>
        <v>45945</v>
      </c>
      <c r="B1" s="2924" t="s">
        <v>3366</v>
      </c>
      <c r="C1" s="2925"/>
      <c r="D1" s="2925"/>
      <c r="E1" s="2925"/>
      <c r="F1" s="2925"/>
      <c r="G1" s="2925"/>
      <c r="H1" s="2925"/>
      <c r="I1" s="2925"/>
      <c r="J1" s="2891"/>
      <c r="K1" s="2925" t="s">
        <v>454</v>
      </c>
      <c r="L1" s="2925"/>
      <c r="M1" s="2925"/>
      <c r="N1" s="2925"/>
      <c r="O1" s="2925"/>
      <c r="P1" s="2925"/>
      <c r="Q1" s="2891"/>
      <c r="R1" s="3522" t="s">
        <v>456</v>
      </c>
      <c r="S1" s="3523"/>
      <c r="T1" s="3523"/>
      <c r="U1" s="3523"/>
      <c r="V1" s="3523"/>
      <c r="W1" s="3523"/>
      <c r="X1" s="2891"/>
      <c r="Y1" s="3522" t="s">
        <v>457</v>
      </c>
      <c r="Z1" s="3523"/>
      <c r="AA1" s="3523"/>
      <c r="AB1" s="3523"/>
      <c r="AC1" s="3523"/>
      <c r="AD1" s="3523"/>
    </row>
    <row r="2" spans="1:44" s="2009" customFormat="1" ht="15" thickBot="1">
      <c r="B2" s="2876"/>
      <c r="C2" s="2877"/>
      <c r="D2" s="2010" t="s">
        <v>2801</v>
      </c>
      <c r="E2" s="2011" t="s">
        <v>2802</v>
      </c>
      <c r="F2" s="2011" t="s">
        <v>2803</v>
      </c>
      <c r="G2" s="2011" t="s">
        <v>2804</v>
      </c>
      <c r="H2" s="2011" t="s">
        <v>2805</v>
      </c>
      <c r="I2" s="2011" t="s">
        <v>2622</v>
      </c>
      <c r="J2" s="2878"/>
      <c r="K2" s="2010" t="s">
        <v>2801</v>
      </c>
      <c r="L2" s="2011" t="s">
        <v>2802</v>
      </c>
      <c r="M2" s="2011" t="s">
        <v>2803</v>
      </c>
      <c r="N2" s="2011" t="s">
        <v>2804</v>
      </c>
      <c r="O2" s="2011" t="s">
        <v>2806</v>
      </c>
      <c r="P2" s="2011" t="s">
        <v>2622</v>
      </c>
      <c r="Q2" s="2878"/>
      <c r="R2" s="2010" t="s">
        <v>2801</v>
      </c>
      <c r="S2" s="2011" t="s">
        <v>2802</v>
      </c>
      <c r="T2" s="2011" t="s">
        <v>2803</v>
      </c>
      <c r="U2" s="2011" t="s">
        <v>2807</v>
      </c>
      <c r="V2" s="2011" t="s">
        <v>2808</v>
      </c>
      <c r="W2" s="2011" t="s">
        <v>2622</v>
      </c>
      <c r="X2" s="2878"/>
      <c r="Y2" s="2010" t="s">
        <v>2801</v>
      </c>
      <c r="Z2" s="2011" t="s">
        <v>2802</v>
      </c>
      <c r="AA2" s="2011" t="s">
        <v>2803</v>
      </c>
      <c r="AB2" s="2011" t="s">
        <v>2809</v>
      </c>
      <c r="AC2" s="2011" t="s">
        <v>2808</v>
      </c>
      <c r="AD2" s="2011" t="s">
        <v>2622</v>
      </c>
      <c r="AF2" t="s">
        <v>3393</v>
      </c>
      <c r="AG2" t="s">
        <v>673</v>
      </c>
      <c r="AH2" t="s">
        <v>21</v>
      </c>
      <c r="AI2" t="s">
        <v>3394</v>
      </c>
      <c r="AJ2" t="s">
        <v>3</v>
      </c>
      <c r="AK2" t="s">
        <v>3395</v>
      </c>
      <c r="AM2" t="s">
        <v>3393</v>
      </c>
      <c r="AN2" t="s">
        <v>673</v>
      </c>
      <c r="AO2" t="s">
        <v>21</v>
      </c>
      <c r="AP2" t="s">
        <v>3394</v>
      </c>
      <c r="AQ2" t="s">
        <v>3</v>
      </c>
      <c r="AR2" t="s">
        <v>3395</v>
      </c>
    </row>
    <row r="3" spans="1:44" s="2881" customFormat="1" ht="13.2">
      <c r="A3" s="2879" t="s">
        <v>2810</v>
      </c>
      <c r="B3" s="2880"/>
      <c r="D3" s="2881">
        <f>ROUND(AVERAGEIF(D4:D24,"&lt;&gt;0"),2)</f>
        <v>0.37</v>
      </c>
      <c r="E3" s="2881">
        <f t="shared" ref="E3:H3" si="0">ROUND(AVERAGEIF(E4:E24,"&lt;&gt;0"),2)</f>
        <v>0.16</v>
      </c>
      <c r="F3" s="2881">
        <f t="shared" si="0"/>
        <v>-0.12</v>
      </c>
      <c r="G3" s="2881">
        <f t="shared" si="0"/>
        <v>0.44</v>
      </c>
      <c r="H3" s="2881">
        <f t="shared" si="0"/>
        <v>0.5</v>
      </c>
      <c r="I3" s="2881">
        <f>F3</f>
        <v>-0.12</v>
      </c>
      <c r="J3" s="2882"/>
      <c r="K3" s="2883">
        <f>ROUND(AVERAGEIF(K4:K24,"&lt;&gt;0"),4)</f>
        <v>3.7000000000000002E-3</v>
      </c>
      <c r="L3" s="2884">
        <f t="shared" ref="L3:O3" si="1">ROUND(AVERAGEIF(L4:L24,"&lt;&gt;0"),4)</f>
        <v>1.6000000000000001E-3</v>
      </c>
      <c r="M3" s="2884">
        <f t="shared" si="1"/>
        <v>-1.1999999999999999E-3</v>
      </c>
      <c r="N3" s="2884">
        <f t="shared" si="1"/>
        <v>4.4000000000000003E-3</v>
      </c>
      <c r="O3" s="2884">
        <f t="shared" si="1"/>
        <v>5.0000000000000001E-3</v>
      </c>
      <c r="P3" s="2884">
        <f>M3</f>
        <v>-1.1999999999999999E-3</v>
      </c>
      <c r="Q3" s="2882"/>
      <c r="R3" s="2885">
        <f>ROUND(SUMPRODUCT(PRODUCT(1+K4:K24)),4)</f>
        <v>1.0680000000000001</v>
      </c>
      <c r="S3" s="2886">
        <f t="shared" ref="S3:V3" si="2">ROUND(SUMPRODUCT(PRODUCT(1+L4:L24)),4)</f>
        <v>1.0290999999999999</v>
      </c>
      <c r="T3" s="2886">
        <f t="shared" si="2"/>
        <v>0.97850000000000004</v>
      </c>
      <c r="U3" s="2886">
        <f t="shared" si="2"/>
        <v>1.0807</v>
      </c>
      <c r="V3" s="2886">
        <f t="shared" si="2"/>
        <v>1.093</v>
      </c>
      <c r="W3" s="2885">
        <f>T3</f>
        <v>0.97850000000000004</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8" customFormat="1" ht="13.2">
      <c r="B4" s="2024"/>
      <c r="J4" s="2891"/>
      <c r="K4" s="2892"/>
      <c r="L4" s="2893"/>
      <c r="M4" s="2893"/>
      <c r="N4" s="2893"/>
      <c r="O4" s="2893"/>
      <c r="P4" s="2893"/>
      <c r="Q4" s="2891"/>
      <c r="R4" s="2026"/>
      <c r="S4" s="2894"/>
      <c r="T4" s="2895"/>
      <c r="U4" s="2026"/>
      <c r="V4" s="2896"/>
      <c r="W4" s="2026"/>
      <c r="X4" s="2891"/>
      <c r="Y4" s="2027"/>
      <c r="Z4" s="2897"/>
      <c r="AA4" s="2898"/>
      <c r="AB4" s="2027"/>
      <c r="AC4" s="2899"/>
      <c r="AD4" s="2027"/>
    </row>
    <row r="5" spans="1:44" s="2044" customFormat="1">
      <c r="A5" s="2039" t="s">
        <v>3392</v>
      </c>
      <c r="B5" s="2030">
        <v>2025</v>
      </c>
      <c r="C5" s="2041">
        <v>4</v>
      </c>
      <c r="D5" s="2006">
        <v>0</v>
      </c>
      <c r="E5" s="2006">
        <v>0</v>
      </c>
      <c r="F5" s="2006">
        <v>0</v>
      </c>
      <c r="G5" s="2006">
        <v>0</v>
      </c>
      <c r="H5" s="2006">
        <v>0</v>
      </c>
      <c r="I5" s="2007">
        <f t="shared" ref="I5" si="4">F5</f>
        <v>0</v>
      </c>
      <c r="J5" s="2901"/>
      <c r="K5" s="2042">
        <f t="shared" ref="K5" si="5">D5/100</f>
        <v>0</v>
      </c>
      <c r="L5" s="2027">
        <f t="shared" ref="L5" si="6">E5/100</f>
        <v>0</v>
      </c>
      <c r="M5" s="2027">
        <f t="shared" ref="M5" si="7">F5/100</f>
        <v>0</v>
      </c>
      <c r="N5" s="2027">
        <f t="shared" ref="N5" si="8">G5/100</f>
        <v>0</v>
      </c>
      <c r="O5" s="2027">
        <f t="shared" ref="O5" si="9">H5/100</f>
        <v>0</v>
      </c>
      <c r="P5" s="2027">
        <f t="shared" ref="P5:P11" si="10">M5</f>
        <v>0</v>
      </c>
      <c r="Q5" s="2901"/>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1"/>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47">
        <f>$AF$24*R5</f>
        <v>105.77000000000001</v>
      </c>
      <c r="AG5" s="3147">
        <f t="shared" ref="AG5:AK5" si="18">$AF$24*S5</f>
        <v>102.75000000000001</v>
      </c>
      <c r="AH5" s="3147">
        <f t="shared" si="18"/>
        <v>98.09</v>
      </c>
      <c r="AI5" s="3147">
        <f t="shared" si="18"/>
        <v>106.89</v>
      </c>
      <c r="AJ5" s="3147">
        <f t="shared" si="18"/>
        <v>108.91</v>
      </c>
      <c r="AK5" s="3147">
        <f t="shared" si="18"/>
        <v>98.09</v>
      </c>
      <c r="AM5" s="3153">
        <v>100</v>
      </c>
      <c r="AN5" s="3153">
        <v>100</v>
      </c>
      <c r="AO5" s="3153">
        <v>100</v>
      </c>
      <c r="AP5" s="3153">
        <v>100</v>
      </c>
      <c r="AQ5" s="3153">
        <v>100</v>
      </c>
      <c r="AR5" s="3153">
        <v>100</v>
      </c>
    </row>
    <row r="6" spans="1:44" s="2044" customFormat="1" ht="13.2">
      <c r="A6" s="2039" t="s">
        <v>3391</v>
      </c>
      <c r="B6" s="2030">
        <v>2025</v>
      </c>
      <c r="C6" s="2041">
        <v>3</v>
      </c>
      <c r="D6" s="2006">
        <v>0</v>
      </c>
      <c r="E6" s="2006">
        <v>0</v>
      </c>
      <c r="F6" s="2006">
        <v>0</v>
      </c>
      <c r="G6" s="2006">
        <v>0</v>
      </c>
      <c r="H6" s="2006">
        <v>0</v>
      </c>
      <c r="I6" s="2007">
        <f t="shared" ref="I6" si="19">F6</f>
        <v>0</v>
      </c>
      <c r="J6" s="2901"/>
      <c r="K6" s="2042">
        <f t="shared" ref="K6" si="20">D6/100</f>
        <v>0</v>
      </c>
      <c r="L6" s="2027">
        <f t="shared" ref="L6" si="21">E6/100</f>
        <v>0</v>
      </c>
      <c r="M6" s="2027">
        <f t="shared" ref="M6" si="22">F6/100</f>
        <v>0</v>
      </c>
      <c r="N6" s="2027">
        <f t="shared" ref="N6" si="23">G6/100</f>
        <v>0</v>
      </c>
      <c r="O6" s="2027">
        <f t="shared" ref="O6" si="24">H6/100</f>
        <v>0</v>
      </c>
      <c r="P6" s="2027">
        <f t="shared" si="10"/>
        <v>0</v>
      </c>
      <c r="Q6" s="2901"/>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1"/>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47">
        <f t="shared" ref="AF6:AF23" si="30">$AF$24*R6</f>
        <v>105.77000000000001</v>
      </c>
      <c r="AG6" s="3147">
        <f t="shared" ref="AG6:AG23" si="31">$AF$24*S6</f>
        <v>102.75000000000001</v>
      </c>
      <c r="AH6" s="3147">
        <f t="shared" ref="AH6:AH23" si="32">$AF$24*T6</f>
        <v>98.09</v>
      </c>
      <c r="AI6" s="3147">
        <f t="shared" ref="AI6:AI23" si="33">$AF$24*U6</f>
        <v>106.89</v>
      </c>
      <c r="AJ6" s="3147">
        <f t="shared" ref="AJ6:AJ23" si="34">$AF$24*V6</f>
        <v>108.91</v>
      </c>
      <c r="AK6" s="3147">
        <f t="shared" ref="AK6:AK23" si="35">$AF$24*W6</f>
        <v>98.09</v>
      </c>
      <c r="AM6" s="3147">
        <f>AM5/(1+D5/100)</f>
        <v>100</v>
      </c>
      <c r="AN6" s="3147">
        <f t="shared" ref="AN6:AR6" si="36">AN5/(1+E5/100)</f>
        <v>100</v>
      </c>
      <c r="AO6" s="3147">
        <f t="shared" si="36"/>
        <v>100</v>
      </c>
      <c r="AP6" s="3147">
        <f t="shared" si="36"/>
        <v>100</v>
      </c>
      <c r="AQ6" s="3147">
        <f t="shared" si="36"/>
        <v>100</v>
      </c>
      <c r="AR6" s="3147">
        <f t="shared" si="36"/>
        <v>100</v>
      </c>
    </row>
    <row r="7" spans="1:44" s="2911" customFormat="1" ht="13.2">
      <c r="A7" s="2902" t="s">
        <v>3390</v>
      </c>
      <c r="B7" s="2903">
        <v>2025</v>
      </c>
      <c r="C7" s="2904">
        <v>2</v>
      </c>
      <c r="D7" s="2905">
        <v>0.05</v>
      </c>
      <c r="E7" s="2905">
        <v>-0.62</v>
      </c>
      <c r="F7" s="2905">
        <v>-1.05</v>
      </c>
      <c r="G7" s="2905">
        <v>0.09</v>
      </c>
      <c r="H7" s="2906">
        <v>0.17</v>
      </c>
      <c r="I7" s="2907">
        <f t="shared" ref="I7" si="37">F7</f>
        <v>-1.05</v>
      </c>
      <c r="J7" s="2908"/>
      <c r="K7" s="2909">
        <f t="shared" ref="K7" si="38">D7/100</f>
        <v>5.0000000000000001E-4</v>
      </c>
      <c r="L7" s="2910">
        <f t="shared" ref="L7" si="39">E7/100</f>
        <v>-6.1999999999999998E-3</v>
      </c>
      <c r="M7" s="2910">
        <f t="shared" ref="M7" si="40">F7/100</f>
        <v>-1.0500000000000001E-2</v>
      </c>
      <c r="N7" s="2910">
        <f t="shared" ref="N7" si="41">G7/100</f>
        <v>8.9999999999999998E-4</v>
      </c>
      <c r="O7" s="2910">
        <f t="shared" ref="O7" si="42">H7/100</f>
        <v>1.7000000000000001E-3</v>
      </c>
      <c r="P7" s="2910">
        <f t="shared" si="10"/>
        <v>-1.0500000000000001E-2</v>
      </c>
      <c r="Q7" s="2908"/>
      <c r="R7" s="2908">
        <f>ROUND(IF(项目基本情况!$B$8="出让",SUMPRODUCT(PRODUCT(1+K7:$K$24)),SUMPRODUCT(PRODUCT(1+K7:$K$23))),4)</f>
        <v>1.0577000000000001</v>
      </c>
      <c r="S7" s="2908">
        <f>ROUND(IF(项目基本情况!$B$8="出让",SUMPRODUCT(PRODUCT(1+L7:$L$24)),SUMPRODUCT(PRODUCT(1+L7:$L$23))),4)</f>
        <v>1.0275000000000001</v>
      </c>
      <c r="T7" s="2908">
        <f>ROUND(IF(项目基本情况!$B$8="出让",SUMPRODUCT(PRODUCT(1+M7:$M$24)),SUMPRODUCT(PRODUCT(1+M7:$M$23))),4)</f>
        <v>0.98089999999999999</v>
      </c>
      <c r="U7" s="2908">
        <f>ROUND(IF(项目基本情况!$B$8="出让",SUMPRODUCT(PRODUCT(1+N7:$N$24)),SUMPRODUCT(PRODUCT(1+N7:$N$23))),4)</f>
        <v>1.0689</v>
      </c>
      <c r="V7" s="2908">
        <f>ROUND(IF(项目基本情况!$B$8="出让",SUMPRODUCT(PRODUCT(1+O7:$O$24)),SUMPRODUCT(PRODUCT(1+O7:$O$23))),4)</f>
        <v>1.0891</v>
      </c>
      <c r="W7" s="2908">
        <f t="shared" si="11"/>
        <v>0.98089999999999999</v>
      </c>
      <c r="X7" s="2908"/>
      <c r="Y7" s="2910">
        <f t="shared" si="12"/>
        <v>2.3E-3</v>
      </c>
      <c r="Z7" s="2910">
        <f t="shared" ref="Z7" si="43">IF(E7=0,0,ROUND(AVERAGE(E7:E20)/100,4))</f>
        <v>1E-3</v>
      </c>
      <c r="AA7" s="2910">
        <f t="shared" ref="AA7" si="44">IF(F7=0,0,ROUND(AVERAGE(F7:F20)/100,4))</f>
        <v>-1.9E-3</v>
      </c>
      <c r="AB7" s="2910">
        <f t="shared" ref="AB7" si="45">IF(G7=0,0,ROUND(AVERAGE(G7:G20)/100,4))</f>
        <v>2.8999999999999998E-3</v>
      </c>
      <c r="AC7" s="2910">
        <f t="shared" ref="AC7" si="46">IF(H7=0,0,ROUND(AVERAGE(H7:H20)/100,4))</f>
        <v>4.7000000000000002E-3</v>
      </c>
      <c r="AD7" s="2910">
        <f t="shared" ref="AD7" si="47">AA7</f>
        <v>-1.9E-3</v>
      </c>
      <c r="AF7" s="3148">
        <f t="shared" si="30"/>
        <v>105.77000000000001</v>
      </c>
      <c r="AG7" s="3148">
        <f t="shared" si="31"/>
        <v>102.75000000000001</v>
      </c>
      <c r="AH7" s="3148">
        <f t="shared" si="32"/>
        <v>98.09</v>
      </c>
      <c r="AI7" s="3148">
        <f t="shared" si="33"/>
        <v>106.89</v>
      </c>
      <c r="AJ7" s="3148">
        <f t="shared" si="34"/>
        <v>108.91</v>
      </c>
      <c r="AK7" s="3148">
        <f t="shared" si="35"/>
        <v>98.09</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4" customFormat="1" ht="13.2">
      <c r="A8" s="2039" t="s">
        <v>3398</v>
      </c>
      <c r="B8" s="2030">
        <v>2025</v>
      </c>
      <c r="C8" s="2041">
        <v>1</v>
      </c>
      <c r="D8" s="2006">
        <v>0.56999999999999995</v>
      </c>
      <c r="E8" s="2006">
        <v>-0.56999999999999995</v>
      </c>
      <c r="F8" s="2006">
        <v>-0.9</v>
      </c>
      <c r="G8" s="2006">
        <v>1.1200000000000001</v>
      </c>
      <c r="H8" s="2006">
        <v>0.42</v>
      </c>
      <c r="I8" s="2007">
        <f t="shared" ref="I8" si="54">F8</f>
        <v>-0.9</v>
      </c>
      <c r="J8" s="2901"/>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1"/>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1"/>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99.950024987506254</v>
      </c>
      <c r="AN8" s="3147">
        <f t="shared" si="49"/>
        <v>100.6238679814852</v>
      </c>
      <c r="AO8" s="3147">
        <f t="shared" si="50"/>
        <v>101.06114199090449</v>
      </c>
      <c r="AP8" s="3147">
        <f t="shared" si="51"/>
        <v>99.910080927165566</v>
      </c>
      <c r="AQ8" s="3147">
        <f t="shared" si="52"/>
        <v>99.830288509533787</v>
      </c>
      <c r="AR8" s="3147">
        <f t="shared" si="53"/>
        <v>101.06114199090449</v>
      </c>
    </row>
    <row r="9" spans="1:44" s="2044" customFormat="1" ht="13.2">
      <c r="A9" s="2039" t="s">
        <v>3397</v>
      </c>
      <c r="B9" s="2030">
        <v>2024</v>
      </c>
      <c r="C9" s="2041">
        <v>4</v>
      </c>
      <c r="D9" s="2006">
        <v>-1.02</v>
      </c>
      <c r="E9" s="2006">
        <v>-0.48</v>
      </c>
      <c r="F9" s="2006">
        <v>-0.75</v>
      </c>
      <c r="G9" s="2006">
        <v>-1.05</v>
      </c>
      <c r="H9" s="2006">
        <v>0.08</v>
      </c>
      <c r="I9" s="2007">
        <f t="shared" ref="I9" si="65">F9</f>
        <v>-0.75</v>
      </c>
      <c r="J9" s="2901"/>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1"/>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1"/>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99.383538816253605</v>
      </c>
      <c r="AN9" s="3147">
        <f t="shared" si="49"/>
        <v>101.20071204011386</v>
      </c>
      <c r="AO9" s="3147">
        <f t="shared" si="50"/>
        <v>101.97895256398031</v>
      </c>
      <c r="AP9" s="3147">
        <f t="shared" si="51"/>
        <v>98.80348192955455</v>
      </c>
      <c r="AQ9" s="3147">
        <f t="shared" si="52"/>
        <v>99.412754938790869</v>
      </c>
      <c r="AR9" s="3147">
        <f t="shared" si="53"/>
        <v>101.97895256398031</v>
      </c>
    </row>
    <row r="10" spans="1:44" s="2044" customFormat="1" ht="13.2">
      <c r="A10" s="2039" t="s">
        <v>3370</v>
      </c>
      <c r="B10" s="2030">
        <v>2024</v>
      </c>
      <c r="C10" s="2041">
        <v>3</v>
      </c>
      <c r="D10" s="2006">
        <v>-1.19</v>
      </c>
      <c r="E10" s="2006">
        <v>-0.47</v>
      </c>
      <c r="F10" s="2006">
        <v>-0.28999999999999998</v>
      </c>
      <c r="G10" s="2006">
        <v>-0.74</v>
      </c>
      <c r="H10" s="2006">
        <v>-0.21</v>
      </c>
      <c r="I10" s="2007">
        <f t="shared" ref="I10" si="76">F10</f>
        <v>-0.28999999999999998</v>
      </c>
      <c r="J10" s="2901"/>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1"/>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1"/>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100.40769732900949</v>
      </c>
      <c r="AN10" s="3147">
        <f t="shared" si="49"/>
        <v>101.68881836828162</v>
      </c>
      <c r="AO10" s="3147">
        <f t="shared" si="50"/>
        <v>102.74957437176857</v>
      </c>
      <c r="AP10" s="3147">
        <f t="shared" si="51"/>
        <v>99.851927164784783</v>
      </c>
      <c r="AQ10" s="3147">
        <f t="shared" si="52"/>
        <v>99.333288308144361</v>
      </c>
      <c r="AR10" s="3147">
        <f t="shared" si="53"/>
        <v>102.74957437176857</v>
      </c>
    </row>
    <row r="11" spans="1:44" s="2044" customFormat="1" ht="13.2">
      <c r="A11" s="2900" t="s">
        <v>3364</v>
      </c>
      <c r="B11" s="2030">
        <v>2024</v>
      </c>
      <c r="C11" s="2041">
        <v>2</v>
      </c>
      <c r="D11" s="2006">
        <v>-0.59</v>
      </c>
      <c r="E11" s="2006">
        <v>-0.21</v>
      </c>
      <c r="F11" s="2006">
        <v>-1.38</v>
      </c>
      <c r="G11" s="2006">
        <v>-1.24</v>
      </c>
      <c r="H11" s="2912">
        <v>0.34</v>
      </c>
      <c r="I11" s="2007">
        <f t="shared" ref="I11:I24" si="87">F11</f>
        <v>-1.38</v>
      </c>
      <c r="J11" s="2901"/>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1"/>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1"/>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101.61693890194262</v>
      </c>
      <c r="AN11" s="3147">
        <f t="shared" si="49"/>
        <v>102.16901272810371</v>
      </c>
      <c r="AO11" s="3147">
        <f t="shared" si="50"/>
        <v>103.04841477461495</v>
      </c>
      <c r="AP11" s="3147">
        <f t="shared" si="51"/>
        <v>100.59634008138704</v>
      </c>
      <c r="AQ11" s="3147">
        <f t="shared" si="52"/>
        <v>99.542327195254401</v>
      </c>
      <c r="AR11" s="3147">
        <f t="shared" si="53"/>
        <v>103.04841477461495</v>
      </c>
    </row>
    <row r="12" spans="1:44" s="2044" customFormat="1" ht="13.2">
      <c r="A12" s="2900" t="s">
        <v>3363</v>
      </c>
      <c r="B12" s="2030">
        <v>2024</v>
      </c>
      <c r="C12" s="2041">
        <v>1</v>
      </c>
      <c r="D12" s="2006">
        <v>0.08</v>
      </c>
      <c r="E12" s="2006">
        <v>0.46</v>
      </c>
      <c r="F12" s="2006">
        <v>-0.16</v>
      </c>
      <c r="G12" s="2006">
        <v>0.26</v>
      </c>
      <c r="H12" s="2912">
        <v>0.59</v>
      </c>
      <c r="I12" s="2007">
        <f t="shared" si="87"/>
        <v>-0.16</v>
      </c>
      <c r="J12" s="2901"/>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1"/>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1"/>
      <c r="Y12" s="2027"/>
      <c r="Z12" s="2027"/>
      <c r="AA12" s="2027"/>
      <c r="AB12" s="2027"/>
      <c r="AC12" s="2027"/>
      <c r="AD12" s="2027"/>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102.22003712095626</v>
      </c>
      <c r="AN12" s="3147">
        <f t="shared" si="49"/>
        <v>102.38401916835726</v>
      </c>
      <c r="AO12" s="3147">
        <f t="shared" si="50"/>
        <v>104.49038204686165</v>
      </c>
      <c r="AP12" s="3147">
        <f t="shared" si="51"/>
        <v>101.85939659921733</v>
      </c>
      <c r="AQ12" s="3147">
        <f t="shared" si="52"/>
        <v>99.205030092938401</v>
      </c>
      <c r="AR12" s="3147">
        <f t="shared" si="53"/>
        <v>104.49038204686165</v>
      </c>
    </row>
    <row r="13" spans="1:44" s="2044" customFormat="1" ht="13.2">
      <c r="A13" s="2900" t="s">
        <v>3359</v>
      </c>
      <c r="B13" s="2030">
        <v>2023</v>
      </c>
      <c r="C13" s="2041">
        <v>4</v>
      </c>
      <c r="D13" s="2006">
        <v>0.19</v>
      </c>
      <c r="E13" s="2006">
        <v>0.24</v>
      </c>
      <c r="F13" s="2006">
        <v>-0.16</v>
      </c>
      <c r="G13" s="2006">
        <v>0.17</v>
      </c>
      <c r="H13" s="2912">
        <v>0.61</v>
      </c>
      <c r="I13" s="2007">
        <f>F13</f>
        <v>-0.16</v>
      </c>
      <c r="J13" s="2901"/>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1"/>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1"/>
      <c r="Y13" s="2027"/>
      <c r="Z13" s="2027"/>
      <c r="AA13" s="2027"/>
      <c r="AB13" s="2027"/>
      <c r="AC13" s="2027"/>
      <c r="AD13" s="2027"/>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102.13832645978844</v>
      </c>
      <c r="AN13" s="3147">
        <f t="shared" si="49"/>
        <v>101.91520920600962</v>
      </c>
      <c r="AO13" s="3147">
        <f t="shared" si="50"/>
        <v>104.65783458219317</v>
      </c>
      <c r="AP13" s="3147">
        <f t="shared" si="51"/>
        <v>101.5952489519423</v>
      </c>
      <c r="AQ13" s="3147">
        <f t="shared" si="52"/>
        <v>98.623153487362956</v>
      </c>
      <c r="AR13" s="3147">
        <f t="shared" si="53"/>
        <v>104.65783458219317</v>
      </c>
    </row>
    <row r="14" spans="1:44" s="2044" customFormat="1" ht="13.2">
      <c r="A14" s="2900" t="s">
        <v>3358</v>
      </c>
      <c r="B14" s="2030">
        <v>2023</v>
      </c>
      <c r="C14" s="2041">
        <v>3</v>
      </c>
      <c r="D14" s="2006">
        <v>0.25</v>
      </c>
      <c r="E14" s="2006">
        <v>0.5</v>
      </c>
      <c r="F14" s="2006">
        <v>0.31</v>
      </c>
      <c r="G14" s="2006">
        <v>0.21</v>
      </c>
      <c r="H14" s="2912">
        <v>0.43</v>
      </c>
      <c r="I14" s="2007">
        <f t="shared" si="87"/>
        <v>0.31</v>
      </c>
      <c r="J14" s="2901"/>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1"/>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1"/>
      <c r="Y14" s="2027"/>
      <c r="Z14" s="2027"/>
      <c r="AA14" s="2027"/>
      <c r="AB14" s="2027"/>
      <c r="AC14" s="2027"/>
      <c r="AD14" s="2027"/>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101.94463165963514</v>
      </c>
      <c r="AN14" s="3147">
        <f t="shared" si="49"/>
        <v>101.67119833001759</v>
      </c>
      <c r="AO14" s="3147">
        <f t="shared" si="50"/>
        <v>104.8255554709467</v>
      </c>
      <c r="AP14" s="3147">
        <f t="shared" si="51"/>
        <v>101.4228301407031</v>
      </c>
      <c r="AQ14" s="3147">
        <f t="shared" si="52"/>
        <v>98.025199768773433</v>
      </c>
      <c r="AR14" s="3147">
        <f t="shared" si="53"/>
        <v>104.8255554709467</v>
      </c>
    </row>
    <row r="15" spans="1:44" s="2044" customFormat="1" ht="13.2">
      <c r="A15" s="2900" t="s">
        <v>3356</v>
      </c>
      <c r="B15" s="2030">
        <v>2023</v>
      </c>
      <c r="C15" s="2041">
        <v>2</v>
      </c>
      <c r="D15" s="2006">
        <v>0.91</v>
      </c>
      <c r="E15" s="2006">
        <v>0.66</v>
      </c>
      <c r="F15" s="2006">
        <v>0.47</v>
      </c>
      <c r="G15" s="2006">
        <v>0.96</v>
      </c>
      <c r="H15" s="2912">
        <v>0.71</v>
      </c>
      <c r="I15" s="2007">
        <f t="shared" si="87"/>
        <v>0.47</v>
      </c>
      <c r="J15" s="2901"/>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1"/>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1"/>
      <c r="Y15" s="2027"/>
      <c r="Z15" s="2027"/>
      <c r="AA15" s="2027"/>
      <c r="AB15" s="2027"/>
      <c r="AC15" s="2027"/>
      <c r="AD15" s="2027"/>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101.69040564552134</v>
      </c>
      <c r="AN15" s="3147">
        <f t="shared" si="49"/>
        <v>101.16537147265433</v>
      </c>
      <c r="AO15" s="3147">
        <f t="shared" si="50"/>
        <v>104.50160050936765</v>
      </c>
      <c r="AP15" s="3147">
        <f t="shared" si="51"/>
        <v>101.21028853478006</v>
      </c>
      <c r="AQ15" s="3147">
        <f t="shared" si="52"/>
        <v>97.605496135391249</v>
      </c>
      <c r="AR15" s="3147">
        <f t="shared" si="53"/>
        <v>104.50160050936765</v>
      </c>
    </row>
    <row r="16" spans="1:44" s="2044" customFormat="1" ht="13.2">
      <c r="A16" s="2900" t="s">
        <v>3355</v>
      </c>
      <c r="B16" s="2030">
        <v>2023</v>
      </c>
      <c r="C16" s="2041">
        <v>1</v>
      </c>
      <c r="D16" s="2006">
        <v>0.89</v>
      </c>
      <c r="E16" s="2006">
        <v>0.74</v>
      </c>
      <c r="F16" s="2006">
        <v>0.56999999999999995</v>
      </c>
      <c r="G16" s="2006">
        <v>0.92</v>
      </c>
      <c r="H16" s="2912">
        <v>0.5</v>
      </c>
      <c r="I16" s="2007">
        <f t="shared" si="87"/>
        <v>0.56999999999999995</v>
      </c>
      <c r="J16" s="2901"/>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1"/>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1"/>
      <c r="Y16" s="2027"/>
      <c r="Z16" s="2027"/>
      <c r="AA16" s="2027"/>
      <c r="AB16" s="2027"/>
      <c r="AC16" s="2027"/>
      <c r="AD16" s="2027"/>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100.77336799675089</v>
      </c>
      <c r="AN16" s="3147">
        <f t="shared" si="49"/>
        <v>100.50205789057652</v>
      </c>
      <c r="AO16" s="3147">
        <f t="shared" si="50"/>
        <v>104.01274062841411</v>
      </c>
      <c r="AP16" s="3147">
        <f t="shared" si="51"/>
        <v>100.24790861210386</v>
      </c>
      <c r="AQ16" s="3147">
        <f t="shared" si="52"/>
        <v>96.917382718092782</v>
      </c>
      <c r="AR16" s="3147">
        <f t="shared" si="53"/>
        <v>104.01274062841411</v>
      </c>
    </row>
    <row r="17" spans="1:44" s="2044" customFormat="1" ht="13.2">
      <c r="A17" s="2900" t="s">
        <v>3354</v>
      </c>
      <c r="B17" s="2030">
        <v>2022</v>
      </c>
      <c r="C17" s="2041">
        <v>4</v>
      </c>
      <c r="D17" s="2006">
        <v>0.62</v>
      </c>
      <c r="E17" s="2006">
        <v>0.2</v>
      </c>
      <c r="F17" s="2006">
        <v>0.11</v>
      </c>
      <c r="G17" s="2006">
        <v>0.69</v>
      </c>
      <c r="H17" s="2912">
        <v>0.53</v>
      </c>
      <c r="I17" s="2007">
        <f t="shared" si="87"/>
        <v>0.11</v>
      </c>
      <c r="J17" s="2901"/>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1"/>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1"/>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99.884396864655471</v>
      </c>
      <c r="AN17" s="3147">
        <f t="shared" si="49"/>
        <v>99.763805728187918</v>
      </c>
      <c r="AO17" s="3147">
        <f t="shared" si="50"/>
        <v>103.42322822751726</v>
      </c>
      <c r="AP17" s="3147">
        <f t="shared" si="51"/>
        <v>99.334035485635994</v>
      </c>
      <c r="AQ17" s="3147">
        <f t="shared" si="52"/>
        <v>96.435206684669438</v>
      </c>
      <c r="AR17" s="3147">
        <f t="shared" si="53"/>
        <v>103.42322822751726</v>
      </c>
    </row>
    <row r="18" spans="1:44" s="2044" customFormat="1" ht="13.2">
      <c r="A18" s="2900" t="s">
        <v>3352</v>
      </c>
      <c r="B18" s="2030">
        <v>2022</v>
      </c>
      <c r="C18" s="2041">
        <v>3</v>
      </c>
      <c r="D18" s="2006">
        <v>0.66</v>
      </c>
      <c r="E18" s="2006">
        <v>0.32</v>
      </c>
      <c r="F18" s="2006">
        <v>0.23</v>
      </c>
      <c r="G18" s="2006">
        <v>0.72</v>
      </c>
      <c r="H18" s="2912">
        <v>0.63</v>
      </c>
      <c r="I18" s="2007">
        <f t="shared" si="87"/>
        <v>0.23</v>
      </c>
      <c r="J18" s="2901"/>
      <c r="K18" s="2042">
        <f t="shared" si="88"/>
        <v>6.6E-3</v>
      </c>
      <c r="L18" s="2027">
        <f t="shared" si="88"/>
        <v>3.2000000000000002E-3</v>
      </c>
      <c r="M18" s="2027">
        <f t="shared" si="88"/>
        <v>2.3E-3</v>
      </c>
      <c r="N18" s="2027">
        <f t="shared" si="88"/>
        <v>7.1999999999999998E-3</v>
      </c>
      <c r="O18" s="2027">
        <f t="shared" si="88"/>
        <v>6.3E-3</v>
      </c>
      <c r="P18" s="2027">
        <f t="shared" si="108"/>
        <v>2.3E-3</v>
      </c>
      <c r="Q18" s="2901"/>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1"/>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99.268929501744651</v>
      </c>
      <c r="AN18" s="3147">
        <f t="shared" si="49"/>
        <v>99.564676375437045</v>
      </c>
      <c r="AO18" s="3147">
        <f t="shared" si="50"/>
        <v>103.30958768106807</v>
      </c>
      <c r="AP18" s="3147">
        <f t="shared" si="51"/>
        <v>98.653327525708619</v>
      </c>
      <c r="AQ18" s="3147">
        <f t="shared" si="52"/>
        <v>95.926794672903043</v>
      </c>
      <c r="AR18" s="3147">
        <f t="shared" si="53"/>
        <v>103.30958768106807</v>
      </c>
    </row>
    <row r="19" spans="1:44" s="2044" customFormat="1" ht="13.2">
      <c r="A19" s="2900" t="s">
        <v>3343</v>
      </c>
      <c r="B19" s="2030">
        <v>2022</v>
      </c>
      <c r="C19" s="2041">
        <v>2</v>
      </c>
      <c r="D19" s="2006">
        <v>0.93</v>
      </c>
      <c r="E19" s="2006">
        <v>0.15</v>
      </c>
      <c r="F19" s="2006">
        <v>0.01</v>
      </c>
      <c r="G19" s="2006">
        <v>1.05</v>
      </c>
      <c r="H19" s="2912">
        <v>1.08</v>
      </c>
      <c r="I19" s="2007">
        <f t="shared" si="87"/>
        <v>0.01</v>
      </c>
      <c r="J19" s="2901"/>
      <c r="K19" s="2042">
        <f t="shared" si="88"/>
        <v>9.300000000000001E-3</v>
      </c>
      <c r="L19" s="2027">
        <f t="shared" si="88"/>
        <v>1.5E-3</v>
      </c>
      <c r="M19" s="2027">
        <f t="shared" si="88"/>
        <v>1E-4</v>
      </c>
      <c r="N19" s="2027">
        <f t="shared" si="88"/>
        <v>1.0500000000000001E-2</v>
      </c>
      <c r="O19" s="2027">
        <f t="shared" si="88"/>
        <v>1.0800000000000001E-2</v>
      </c>
      <c r="P19" s="2027">
        <f t="shared" si="108"/>
        <v>1E-4</v>
      </c>
      <c r="Q19" s="2901"/>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1"/>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98.618050369307227</v>
      </c>
      <c r="AN19" s="3147">
        <f t="shared" si="49"/>
        <v>99.247085701193214</v>
      </c>
      <c r="AO19" s="3147">
        <f t="shared" si="50"/>
        <v>103.07252088303709</v>
      </c>
      <c r="AP19" s="3147">
        <f t="shared" si="51"/>
        <v>97.948101197089571</v>
      </c>
      <c r="AQ19" s="3147">
        <f t="shared" si="52"/>
        <v>95.326239364904154</v>
      </c>
      <c r="AR19" s="3147">
        <f t="shared" si="53"/>
        <v>103.07252088303709</v>
      </c>
    </row>
    <row r="20" spans="1:44" s="2044" customFormat="1" ht="13.2">
      <c r="A20" s="2900" t="s">
        <v>2811</v>
      </c>
      <c r="B20" s="2030">
        <v>2022</v>
      </c>
      <c r="C20" s="2041">
        <v>1</v>
      </c>
      <c r="D20" s="2006">
        <v>0.89</v>
      </c>
      <c r="E20" s="2006">
        <v>0.44</v>
      </c>
      <c r="F20" s="2006">
        <v>0.37</v>
      </c>
      <c r="G20" s="2006">
        <v>0.96</v>
      </c>
      <c r="H20" s="2912">
        <v>0.64</v>
      </c>
      <c r="I20" s="2007">
        <f t="shared" si="87"/>
        <v>0.37</v>
      </c>
      <c r="J20" s="2901"/>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1"/>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1"/>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97.709353382846743</v>
      </c>
      <c r="AN20" s="3147">
        <f t="shared" si="49"/>
        <v>99.098438044127022</v>
      </c>
      <c r="AO20" s="3147">
        <f t="shared" si="50"/>
        <v>103.06221466157093</v>
      </c>
      <c r="AP20" s="3147">
        <f t="shared" si="51"/>
        <v>96.930332703700714</v>
      </c>
      <c r="AQ20" s="3147">
        <f t="shared" si="52"/>
        <v>94.307716031761146</v>
      </c>
      <c r="AR20" s="3147">
        <f t="shared" si="53"/>
        <v>103.06221466157093</v>
      </c>
    </row>
    <row r="21" spans="1:44" s="2044" customFormat="1" ht="13.2">
      <c r="A21" s="2900" t="s">
        <v>2812</v>
      </c>
      <c r="B21" s="2030">
        <v>2021</v>
      </c>
      <c r="C21" s="2041">
        <v>4</v>
      </c>
      <c r="D21" s="2006">
        <v>1.03</v>
      </c>
      <c r="E21" s="2006">
        <v>0.24</v>
      </c>
      <c r="F21" s="2006">
        <v>7.0000000000000007E-2</v>
      </c>
      <c r="G21" s="2006">
        <v>1.17</v>
      </c>
      <c r="H21" s="2912">
        <v>0.55000000000000004</v>
      </c>
      <c r="I21" s="2007">
        <f t="shared" si="87"/>
        <v>7.0000000000000007E-2</v>
      </c>
      <c r="J21" s="2901"/>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1"/>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1"/>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96.847411421198089</v>
      </c>
      <c r="AN21" s="3147">
        <f t="shared" si="49"/>
        <v>98.664315057872386</v>
      </c>
      <c r="AO21" s="3147">
        <f t="shared" si="50"/>
        <v>102.68229018787579</v>
      </c>
      <c r="AP21" s="3147">
        <f t="shared" si="51"/>
        <v>96.008649666898478</v>
      </c>
      <c r="AQ21" s="3147">
        <f t="shared" si="52"/>
        <v>93.70798492822054</v>
      </c>
      <c r="AR21" s="3147">
        <f t="shared" si="53"/>
        <v>102.68229018787579</v>
      </c>
    </row>
    <row r="22" spans="1:44" s="2044" customFormat="1" ht="13.2">
      <c r="A22" s="2900" t="s">
        <v>2813</v>
      </c>
      <c r="B22" s="2030">
        <v>2021</v>
      </c>
      <c r="C22" s="2041">
        <v>3</v>
      </c>
      <c r="D22" s="2006">
        <v>0.47</v>
      </c>
      <c r="E22" s="2006">
        <v>0.41</v>
      </c>
      <c r="F22" s="2006">
        <v>0.24</v>
      </c>
      <c r="G22" s="2006">
        <v>0.48</v>
      </c>
      <c r="H22" s="2912">
        <v>0.48</v>
      </c>
      <c r="I22" s="2007">
        <f t="shared" si="87"/>
        <v>0.24</v>
      </c>
      <c r="J22" s="2901"/>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1"/>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1"/>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95.860052876569426</v>
      </c>
      <c r="AN22" s="3147">
        <f t="shared" si="49"/>
        <v>98.428087647518353</v>
      </c>
      <c r="AO22" s="3147">
        <f t="shared" si="50"/>
        <v>102.61046286387109</v>
      </c>
      <c r="AP22" s="3147">
        <f t="shared" si="51"/>
        <v>94.898339099435077</v>
      </c>
      <c r="AQ22" s="3147">
        <f t="shared" si="52"/>
        <v>93.195410172273029</v>
      </c>
      <c r="AR22" s="3147">
        <f t="shared" si="53"/>
        <v>102.61046286387109</v>
      </c>
    </row>
    <row r="23" spans="1:44" s="2044" customFormat="1" ht="13.2">
      <c r="A23" s="2900" t="s">
        <v>2814</v>
      </c>
      <c r="B23" s="2030">
        <v>2021</v>
      </c>
      <c r="C23" s="2041">
        <v>2</v>
      </c>
      <c r="D23" s="2006">
        <v>0.92</v>
      </c>
      <c r="E23" s="2006">
        <v>0.72</v>
      </c>
      <c r="F23" s="2006">
        <v>0.41</v>
      </c>
      <c r="G23" s="2006">
        <v>0.95</v>
      </c>
      <c r="H23" s="2912">
        <v>1.01</v>
      </c>
      <c r="I23" s="2007">
        <f t="shared" si="87"/>
        <v>0.41</v>
      </c>
      <c r="J23" s="2901"/>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1"/>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1"/>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95.411618270697161</v>
      </c>
      <c r="AN23" s="3147">
        <f t="shared" si="49"/>
        <v>98.02618030825451</v>
      </c>
      <c r="AO23" s="3147">
        <f t="shared" si="50"/>
        <v>102.36478737417308</v>
      </c>
      <c r="AP23" s="3147">
        <f t="shared" si="51"/>
        <v>94.445003084628866</v>
      </c>
      <c r="AQ23" s="3147">
        <f t="shared" si="52"/>
        <v>92.750209168265357</v>
      </c>
      <c r="AR23" s="3147">
        <f t="shared" si="53"/>
        <v>102.36478737417308</v>
      </c>
    </row>
    <row r="24" spans="1:44" s="2923" customFormat="1" ht="15" thickBot="1">
      <c r="A24" s="2913" t="s">
        <v>2815</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5">
        <v>100</v>
      </c>
      <c r="AG24" s="3155">
        <v>100</v>
      </c>
      <c r="AH24" s="3155">
        <v>100</v>
      </c>
      <c r="AI24" s="3155">
        <v>100</v>
      </c>
      <c r="AJ24" s="3155">
        <v>100</v>
      </c>
      <c r="AK24" s="3155">
        <v>100</v>
      </c>
      <c r="AM24" s="3154">
        <f t="shared" si="48"/>
        <v>94.541833403386008</v>
      </c>
      <c r="AN24" s="3154">
        <f t="shared" si="49"/>
        <v>97.325437160697476</v>
      </c>
      <c r="AO24" s="3154">
        <f t="shared" si="50"/>
        <v>101.94680547173894</v>
      </c>
      <c r="AP24" s="3154">
        <f t="shared" si="51"/>
        <v>93.556219004090011</v>
      </c>
      <c r="AQ24" s="3154">
        <f t="shared" si="52"/>
        <v>91.82279889938161</v>
      </c>
      <c r="AR24" s="3154">
        <f t="shared" si="53"/>
        <v>101.94680547173894</v>
      </c>
    </row>
    <row r="25" spans="1:44" ht="15" thickTop="1"/>
    <row r="26" spans="1:44">
      <c r="A26" s="3137" t="s">
        <v>3369</v>
      </c>
    </row>
    <row r="27" spans="1:44">
      <c r="I27" s="1404" t="s">
        <v>2816</v>
      </c>
    </row>
    <row r="29" spans="1:44" s="2008" customFormat="1" ht="13.2">
      <c r="B29" s="2924" t="s">
        <v>3367</v>
      </c>
      <c r="C29" s="2925"/>
      <c r="D29" s="2925"/>
      <c r="E29" s="2925"/>
      <c r="F29" s="2925"/>
      <c r="G29" s="2925"/>
      <c r="H29" s="2925"/>
      <c r="I29" s="2925"/>
      <c r="J29" s="2891"/>
      <c r="K29" s="2925" t="s">
        <v>2817</v>
      </c>
      <c r="L29" s="2925"/>
      <c r="M29" s="2925"/>
      <c r="N29" s="2925"/>
      <c r="O29" s="2925"/>
      <c r="P29" s="2925"/>
      <c r="Q29" s="2891"/>
      <c r="R29" s="3522" t="s">
        <v>2818</v>
      </c>
      <c r="S29" s="3523"/>
      <c r="T29" s="3523"/>
      <c r="U29" s="3523"/>
      <c r="V29" s="3523"/>
      <c r="W29" s="3523"/>
      <c r="X29" s="2891"/>
      <c r="Y29" s="3522" t="s">
        <v>2819</v>
      </c>
      <c r="Z29" s="3523"/>
      <c r="AA29" s="3523"/>
      <c r="AB29" s="3523"/>
      <c r="AC29" s="3523"/>
      <c r="AD29" s="3523"/>
    </row>
    <row r="30" spans="1:44" s="2009" customFormat="1" ht="15" thickBot="1">
      <c r="B30" s="2876"/>
      <c r="C30" s="2877"/>
      <c r="D30" s="2010" t="s">
        <v>2820</v>
      </c>
      <c r="E30" s="2011" t="s">
        <v>2821</v>
      </c>
      <c r="F30" s="2011" t="s">
        <v>2822</v>
      </c>
      <c r="G30" s="2011" t="s">
        <v>2823</v>
      </c>
      <c r="H30" s="2011"/>
      <c r="I30" s="2011" t="s">
        <v>2824</v>
      </c>
      <c r="J30" s="2878"/>
      <c r="K30" s="2010" t="s">
        <v>2820</v>
      </c>
      <c r="L30" s="2011" t="s">
        <v>2821</v>
      </c>
      <c r="M30" s="2011" t="s">
        <v>2822</v>
      </c>
      <c r="N30" s="2011" t="s">
        <v>2823</v>
      </c>
      <c r="O30" s="2011"/>
      <c r="P30" s="2011" t="s">
        <v>2824</v>
      </c>
      <c r="Q30" s="2878"/>
      <c r="R30" s="2010" t="s">
        <v>2820</v>
      </c>
      <c r="S30" s="2011" t="s">
        <v>2821</v>
      </c>
      <c r="T30" s="2011" t="s">
        <v>2822</v>
      </c>
      <c r="U30" s="2011" t="s">
        <v>2823</v>
      </c>
      <c r="V30" s="2011"/>
      <c r="W30" s="2011" t="s">
        <v>2824</v>
      </c>
      <c r="X30" s="2878"/>
      <c r="Y30" s="2010" t="s">
        <v>2820</v>
      </c>
      <c r="Z30" s="2011" t="s">
        <v>2821</v>
      </c>
      <c r="AA30" s="2011" t="s">
        <v>2822</v>
      </c>
      <c r="AB30" s="2011" t="s">
        <v>2823</v>
      </c>
      <c r="AC30" s="2011"/>
      <c r="AD30" s="2011" t="s">
        <v>2824</v>
      </c>
      <c r="AG30" t="s">
        <v>673</v>
      </c>
      <c r="AH30" t="s">
        <v>21</v>
      </c>
      <c r="AI30" t="s">
        <v>3394</v>
      </c>
      <c r="AJ30"/>
      <c r="AK30" t="s">
        <v>3395</v>
      </c>
      <c r="AN30" t="s">
        <v>673</v>
      </c>
      <c r="AO30" t="s">
        <v>21</v>
      </c>
      <c r="AP30" t="s">
        <v>3394</v>
      </c>
      <c r="AQ30"/>
      <c r="AR30" t="s">
        <v>3395</v>
      </c>
    </row>
    <row r="31" spans="1:44" s="2881" customFormat="1" ht="13.2">
      <c r="A31" s="2879" t="s">
        <v>2825</v>
      </c>
      <c r="B31" s="2880"/>
      <c r="E31" s="2881">
        <f t="shared" ref="E31:G31" si="115">ROUND(AVERAGEIF(E32:E52,"&lt;&gt;0"),2)</f>
        <v>0.09</v>
      </c>
      <c r="F31" s="2881">
        <f t="shared" si="115"/>
        <v>0.01</v>
      </c>
      <c r="G31" s="2881">
        <f t="shared" si="115"/>
        <v>0.24</v>
      </c>
      <c r="I31" s="2881">
        <f>F31</f>
        <v>0.01</v>
      </c>
      <c r="J31" s="2882"/>
      <c r="K31" s="2883"/>
      <c r="L31" s="2884">
        <f t="shared" ref="L31:N31" si="116">ROUND(AVERAGEIF(L32:L52,"&lt;&gt;0"),4)</f>
        <v>8.9999999999999998E-4</v>
      </c>
      <c r="M31" s="2884">
        <f t="shared" si="116"/>
        <v>1E-4</v>
      </c>
      <c r="N31" s="2884">
        <f t="shared" si="116"/>
        <v>2.3999999999999998E-3</v>
      </c>
      <c r="O31" s="2884"/>
      <c r="P31" s="2884">
        <f>M31</f>
        <v>1E-4</v>
      </c>
      <c r="Q31" s="2882"/>
      <c r="R31" s="2885"/>
      <c r="S31" s="2886">
        <f>ROUND(SUMPRODUCT(PRODUCT(1+L32:L52)),4)</f>
        <v>1.0153000000000001</v>
      </c>
      <c r="T31" s="2886">
        <f t="shared" ref="T31:U31" si="117">ROUND(SUMPRODUCT(PRODUCT(1+M32:M52)),4)</f>
        <v>1.0016</v>
      </c>
      <c r="U31" s="2886">
        <f t="shared" si="117"/>
        <v>1.044</v>
      </c>
      <c r="V31" s="2886"/>
      <c r="W31" s="2885">
        <f>T31</f>
        <v>1.0016</v>
      </c>
      <c r="X31" s="2882"/>
      <c r="Y31" s="2887"/>
      <c r="Z31" s="2888">
        <f t="shared" ref="Z31:AB31" si="118">ROUND(AVERAGEIF(Z32:Z52,"&lt;&gt;0"),4)</f>
        <v>3.3E-3</v>
      </c>
      <c r="AA31" s="2889">
        <f t="shared" si="118"/>
        <v>2.7000000000000001E-3</v>
      </c>
      <c r="AB31" s="2887">
        <f t="shared" si="118"/>
        <v>6.4999999999999997E-3</v>
      </c>
      <c r="AC31" s="2890"/>
      <c r="AD31" s="2887">
        <f>AA31</f>
        <v>2.7000000000000001E-3</v>
      </c>
    </row>
    <row r="32" spans="1:44" s="2008" customFormat="1" ht="13.2">
      <c r="B32" s="2024"/>
      <c r="J32" s="2891"/>
      <c r="K32" s="2892"/>
      <c r="L32" s="2893"/>
      <c r="M32" s="2893"/>
      <c r="N32" s="2893"/>
      <c r="O32" s="2893"/>
      <c r="P32" s="2893"/>
      <c r="Q32" s="2891"/>
      <c r="R32" s="2026"/>
      <c r="S32" s="2894"/>
      <c r="T32" s="2895"/>
      <c r="U32" s="2026"/>
      <c r="V32" s="2896"/>
      <c r="W32" s="2026"/>
      <c r="X32" s="2891"/>
      <c r="Y32" s="2027"/>
      <c r="Z32" s="2897"/>
      <c r="AA32" s="2898"/>
      <c r="AB32" s="2027"/>
      <c r="AC32" s="2899"/>
      <c r="AD32" s="2027"/>
    </row>
    <row r="33" spans="1:44" s="2044" customFormat="1">
      <c r="A33" s="2039" t="s">
        <v>3392</v>
      </c>
      <c r="B33" s="2030">
        <v>2025</v>
      </c>
      <c r="C33" s="2041">
        <v>4</v>
      </c>
      <c r="D33" s="2006"/>
      <c r="E33" s="2006">
        <v>0</v>
      </c>
      <c r="F33" s="2006">
        <v>0</v>
      </c>
      <c r="G33" s="2006">
        <v>0</v>
      </c>
      <c r="H33" s="2006"/>
      <c r="I33" s="2007">
        <f t="shared" ref="I33" si="119">F33</f>
        <v>0</v>
      </c>
      <c r="J33" s="2901"/>
      <c r="K33" s="2042"/>
      <c r="L33" s="2027">
        <f t="shared" ref="L33" si="120">E33/100</f>
        <v>0</v>
      </c>
      <c r="M33" s="2027">
        <f t="shared" ref="M33" si="121">F33/100</f>
        <v>0</v>
      </c>
      <c r="N33" s="2027">
        <f t="shared" ref="N33" si="122">G33/100</f>
        <v>0</v>
      </c>
      <c r="O33" s="2027"/>
      <c r="P33" s="2027">
        <f t="shared" ref="P33:P39" si="123">M33</f>
        <v>0</v>
      </c>
      <c r="Q33" s="2901"/>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1"/>
      <c r="Y33" s="2027"/>
      <c r="Z33" s="2897">
        <f t="shared" ref="Z33" si="125">IF(E33=0,0,ROUND(AVERAGE(E33:E46)/100,4))</f>
        <v>0</v>
      </c>
      <c r="AA33" s="2897">
        <f t="shared" ref="AA33" si="126">IF(F33=0,0,ROUND(AVERAGE(F33:F46)/100,4))</f>
        <v>0</v>
      </c>
      <c r="AB33" s="2897">
        <f t="shared" ref="AB33" si="127">IF(G33=0,0,ROUND(AVERAGE(G33:G46)/100,4))</f>
        <v>0</v>
      </c>
      <c r="AC33" s="2899"/>
      <c r="AD33" s="2027">
        <f t="shared" ref="AD33:AD39" si="128">IF(I33=0,0,ROUND(AVERAGE(I33:I46)/100,4))</f>
        <v>0</v>
      </c>
      <c r="AG33" s="3147">
        <f t="shared" ref="AG33:AG50" si="129">$AG$52*S33</f>
        <v>101.18</v>
      </c>
      <c r="AH33" s="3147">
        <f t="shared" ref="AH33:AH50" si="130">$AG$52*T33</f>
        <v>99.68</v>
      </c>
      <c r="AI33" s="3147">
        <f t="shared" ref="AI33:AI50" si="131">$AG$52*U33</f>
        <v>103.38000000000001</v>
      </c>
      <c r="AJ33" s="3149"/>
      <c r="AK33" s="3147">
        <f t="shared" ref="AK33:AK50" si="132">$AG$52*W33</f>
        <v>99.68</v>
      </c>
      <c r="AN33" s="3152">
        <v>100</v>
      </c>
      <c r="AO33" s="3152">
        <v>100</v>
      </c>
      <c r="AP33" s="3152">
        <v>100</v>
      </c>
      <c r="AQ33" s="3152"/>
      <c r="AR33" s="3152">
        <v>100</v>
      </c>
    </row>
    <row r="34" spans="1:44" s="2044" customFormat="1" ht="13.2">
      <c r="A34" s="2039" t="s">
        <v>3391</v>
      </c>
      <c r="B34" s="2030">
        <v>2025</v>
      </c>
      <c r="C34" s="2041">
        <v>3</v>
      </c>
      <c r="D34" s="2006"/>
      <c r="E34" s="2006">
        <v>0</v>
      </c>
      <c r="F34" s="2006">
        <v>0</v>
      </c>
      <c r="G34" s="2006">
        <v>0</v>
      </c>
      <c r="H34" s="2006"/>
      <c r="I34" s="2007">
        <f t="shared" ref="I34" si="133">F34</f>
        <v>0</v>
      </c>
      <c r="J34" s="2901"/>
      <c r="K34" s="2042"/>
      <c r="L34" s="2027">
        <f t="shared" ref="L34" si="134">E34/100</f>
        <v>0</v>
      </c>
      <c r="M34" s="2027">
        <f t="shared" ref="M34" si="135">F34/100</f>
        <v>0</v>
      </c>
      <c r="N34" s="2027">
        <f t="shared" ref="N34" si="136">G34/100</f>
        <v>0</v>
      </c>
      <c r="O34" s="2027"/>
      <c r="P34" s="2027">
        <f t="shared" si="123"/>
        <v>0</v>
      </c>
      <c r="Q34" s="2901"/>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1"/>
      <c r="Y34" s="2027"/>
      <c r="Z34" s="2897">
        <f t="shared" ref="Z34" si="137">IF(E34=0,0,ROUND(AVERAGE(E34:E47)/100,4))</f>
        <v>0</v>
      </c>
      <c r="AA34" s="2897">
        <f t="shared" ref="AA34" si="138">IF(F34=0,0,ROUND(AVERAGE(F34:F47)/100,4))</f>
        <v>0</v>
      </c>
      <c r="AB34" s="2897">
        <f t="shared" ref="AB34" si="139">IF(G34=0,0,ROUND(AVERAGE(G34:G47)/100,4))</f>
        <v>0</v>
      </c>
      <c r="AC34" s="2899"/>
      <c r="AD34" s="2027">
        <f t="shared" si="128"/>
        <v>0</v>
      </c>
      <c r="AG34" s="3147">
        <f t="shared" si="129"/>
        <v>101.18</v>
      </c>
      <c r="AH34" s="3147">
        <f t="shared" si="130"/>
        <v>99.68</v>
      </c>
      <c r="AI34" s="3147">
        <f t="shared" si="131"/>
        <v>103.38000000000001</v>
      </c>
      <c r="AJ34" s="3149"/>
      <c r="AK34" s="3147">
        <f t="shared" si="132"/>
        <v>99.68</v>
      </c>
      <c r="AN34" s="3147">
        <f>AN33/(1+E33/100)</f>
        <v>100</v>
      </c>
      <c r="AO34" s="3147">
        <f t="shared" ref="AO34:AR34" si="140">AO33/(1+F33/100)</f>
        <v>100</v>
      </c>
      <c r="AP34" s="3147">
        <f t="shared" si="140"/>
        <v>100</v>
      </c>
      <c r="AQ34" s="3147"/>
      <c r="AR34" s="3147">
        <f t="shared" si="140"/>
        <v>100</v>
      </c>
    </row>
    <row r="35" spans="1:44" s="2911" customFormat="1" ht="13.2">
      <c r="A35" s="2902" t="s">
        <v>3399</v>
      </c>
      <c r="B35" s="2903">
        <v>2025</v>
      </c>
      <c r="C35" s="2904">
        <v>2</v>
      </c>
      <c r="D35" s="2905"/>
      <c r="E35" s="2905">
        <v>-0.31</v>
      </c>
      <c r="F35" s="2905">
        <v>-1.03</v>
      </c>
      <c r="G35" s="2905">
        <v>0.03</v>
      </c>
      <c r="H35" s="2906"/>
      <c r="I35" s="2907">
        <f t="shared" ref="I35" si="141">F35</f>
        <v>-1.03</v>
      </c>
      <c r="J35" s="2908"/>
      <c r="K35" s="2909"/>
      <c r="L35" s="2910">
        <f t="shared" ref="L35" si="142">E35/100</f>
        <v>-3.0999999999999999E-3</v>
      </c>
      <c r="M35" s="2910">
        <f t="shared" ref="M35" si="143">F35/100</f>
        <v>-1.03E-2</v>
      </c>
      <c r="N35" s="2910">
        <f t="shared" ref="N35" si="144">G35/100</f>
        <v>2.9999999999999997E-4</v>
      </c>
      <c r="O35" s="2910"/>
      <c r="P35" s="2910">
        <f t="shared" si="123"/>
        <v>-1.03E-2</v>
      </c>
      <c r="Q35" s="2908"/>
      <c r="R35" s="2908"/>
      <c r="S35" s="2908">
        <f>ROUND(IF(项目基本情况!$B$8="出让",SUMPRODUCT(PRODUCT(1+L35:L$52)),SUMPRODUCT(PRODUCT(1+L35:L$51))),4)</f>
        <v>1.0118</v>
      </c>
      <c r="T35" s="2908">
        <f>ROUND(IF(项目基本情况!$B$8="出让",SUMPRODUCT(PRODUCT(1+M35:M$52)),SUMPRODUCT(PRODUCT(1+M35:M$51))),4)</f>
        <v>0.99680000000000002</v>
      </c>
      <c r="U35" s="2908">
        <f>ROUND(IF(项目基本情况!$B$8="出让",SUMPRODUCT(PRODUCT(1+N35:N$52)),SUMPRODUCT(PRODUCT(1+N35:N$51))),4)</f>
        <v>1.0338000000000001</v>
      </c>
      <c r="V35" s="2908"/>
      <c r="W35" s="2908">
        <f t="shared" si="124"/>
        <v>0.99680000000000002</v>
      </c>
      <c r="X35" s="2908"/>
      <c r="Y35" s="2910"/>
      <c r="Z35" s="2926">
        <f t="shared" ref="Z35" si="145">IF(E35=0,0,ROUND(AVERAGE(E35:E48)/100,4))</f>
        <v>-2.9999999999999997E-4</v>
      </c>
      <c r="AA35" s="2927">
        <f t="shared" ref="AA35" si="146">IF(F35=0,0,ROUND(AVERAGE(F35:F48)/100,4))</f>
        <v>-8.0000000000000004E-4</v>
      </c>
      <c r="AB35" s="2910">
        <f t="shared" ref="AB35" si="147">IF(G35=0,0,ROUND(AVERAGE(G35:G48)/100,4))</f>
        <v>5.0000000000000001E-4</v>
      </c>
      <c r="AC35" s="2928"/>
      <c r="AD35" s="2910">
        <f t="shared" si="128"/>
        <v>-8.0000000000000004E-4</v>
      </c>
      <c r="AG35" s="3148">
        <f t="shared" si="129"/>
        <v>101.18</v>
      </c>
      <c r="AH35" s="3148">
        <f t="shared" si="130"/>
        <v>99.68</v>
      </c>
      <c r="AI35" s="3148">
        <f t="shared" si="131"/>
        <v>103.38000000000001</v>
      </c>
      <c r="AJ35" s="3150"/>
      <c r="AK35" s="3148">
        <f t="shared" si="132"/>
        <v>99.68</v>
      </c>
      <c r="AN35" s="3148">
        <f t="shared" ref="AN35:AN52" si="148">AN34/(1+E34/100)</f>
        <v>100</v>
      </c>
      <c r="AO35" s="3148">
        <f t="shared" ref="AO35" si="149">AO34/(1+F34/100)</f>
        <v>100</v>
      </c>
      <c r="AP35" s="3148">
        <f t="shared" ref="AP35" si="150">AP34/(1+G34/100)</f>
        <v>100</v>
      </c>
      <c r="AQ35" s="3148"/>
      <c r="AR35" s="3148">
        <f t="shared" ref="AR35" si="151">AR34/(1+I34/100)</f>
        <v>100</v>
      </c>
    </row>
    <row r="36" spans="1:44" s="2044" customFormat="1" ht="13.2">
      <c r="A36" s="2039" t="s">
        <v>3396</v>
      </c>
      <c r="B36" s="2030">
        <v>2025</v>
      </c>
      <c r="C36" s="2041">
        <v>1</v>
      </c>
      <c r="D36" s="2006"/>
      <c r="E36" s="2006">
        <v>-1.47</v>
      </c>
      <c r="F36" s="2006">
        <v>-0.98</v>
      </c>
      <c r="G36" s="2006">
        <v>-0.51</v>
      </c>
      <c r="H36" s="2006"/>
      <c r="I36" s="2007">
        <f t="shared" ref="I36" si="152">F36</f>
        <v>-0.98</v>
      </c>
      <c r="J36" s="2901"/>
      <c r="K36" s="2042"/>
      <c r="L36" s="2027">
        <f t="shared" ref="L36" si="153">E36/100</f>
        <v>-1.47E-2</v>
      </c>
      <c r="M36" s="2027">
        <f t="shared" ref="M36" si="154">F36/100</f>
        <v>-9.7999999999999997E-3</v>
      </c>
      <c r="N36" s="2027">
        <f t="shared" ref="N36" si="155">G36/100</f>
        <v>-5.1000000000000004E-3</v>
      </c>
      <c r="O36" s="2027"/>
      <c r="P36" s="2027">
        <f t="shared" si="123"/>
        <v>-9.7999999999999997E-3</v>
      </c>
      <c r="Q36" s="2901"/>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1"/>
      <c r="Y36" s="2027"/>
      <c r="Z36" s="2897">
        <f t="shared" ref="Z36" si="156">IF(E36=0,0,ROUND(AVERAGE(E36:E49)/100,4))</f>
        <v>4.0000000000000002E-4</v>
      </c>
      <c r="AA36" s="2897">
        <f t="shared" ref="AA36" si="157">IF(F36=0,0,ROUND(AVERAGE(F36:F49)/100,4))</f>
        <v>0</v>
      </c>
      <c r="AB36" s="2897">
        <f t="shared" ref="AB36" si="158">IF(G36=0,0,ROUND(AVERAGE(G36:G49)/100,4))</f>
        <v>1E-3</v>
      </c>
      <c r="AC36" s="2899"/>
      <c r="AD36" s="2027">
        <f t="shared" si="128"/>
        <v>0</v>
      </c>
      <c r="AG36" s="3147">
        <f t="shared" si="129"/>
        <v>101.49</v>
      </c>
      <c r="AH36" s="3147">
        <f t="shared" si="130"/>
        <v>100.72000000000001</v>
      </c>
      <c r="AI36" s="3147">
        <f t="shared" si="131"/>
        <v>103.35000000000001</v>
      </c>
      <c r="AJ36" s="3149"/>
      <c r="AK36" s="3147">
        <f t="shared" si="132"/>
        <v>100.72000000000001</v>
      </c>
      <c r="AN36" s="3147">
        <f t="shared" si="148"/>
        <v>100.31096398836392</v>
      </c>
      <c r="AO36" s="3147">
        <f t="shared" ref="AO36:AO52" si="159">AO35/(1+F35/100)</f>
        <v>101.04071940992219</v>
      </c>
      <c r="AP36" s="3147">
        <f t="shared" ref="AP36:AP52" si="160">AP35/(1+G35/100)</f>
        <v>99.970008997300809</v>
      </c>
      <c r="AQ36" s="3147"/>
      <c r="AR36" s="3147">
        <f t="shared" ref="AR36:AR52" si="161">AR35/(1+I35/100)</f>
        <v>101.04071940992219</v>
      </c>
    </row>
    <row r="37" spans="1:44" s="2044" customFormat="1" ht="13.2">
      <c r="A37" s="2039" t="s">
        <v>3397</v>
      </c>
      <c r="B37" s="2030">
        <v>2024</v>
      </c>
      <c r="C37" s="2041">
        <v>4</v>
      </c>
      <c r="D37" s="2006"/>
      <c r="E37" s="2006">
        <v>-0.61</v>
      </c>
      <c r="F37" s="2006">
        <v>-0.71</v>
      </c>
      <c r="G37" s="2006">
        <v>-0.88</v>
      </c>
      <c r="H37" s="2006"/>
      <c r="I37" s="2007">
        <f t="shared" ref="I37" si="162">F37</f>
        <v>-0.71</v>
      </c>
      <c r="J37" s="2901"/>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1"/>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1"/>
      <c r="Y37" s="2027"/>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7">
        <f t="shared" si="128"/>
        <v>8.9999999999999998E-4</v>
      </c>
      <c r="AG37" s="3147">
        <f t="shared" si="129"/>
        <v>103.01</v>
      </c>
      <c r="AH37" s="3147">
        <f t="shared" si="130"/>
        <v>101.71</v>
      </c>
      <c r="AI37" s="3147">
        <f t="shared" si="131"/>
        <v>103.88</v>
      </c>
      <c r="AJ37" s="3149"/>
      <c r="AK37" s="3147">
        <f t="shared" si="132"/>
        <v>101.71</v>
      </c>
      <c r="AN37" s="3147">
        <f t="shared" si="148"/>
        <v>101.80753474917682</v>
      </c>
      <c r="AO37" s="3147">
        <f t="shared" si="159"/>
        <v>102.04071845073943</v>
      </c>
      <c r="AP37" s="3147">
        <f t="shared" si="160"/>
        <v>100.48246959222114</v>
      </c>
      <c r="AQ37" s="3147"/>
      <c r="AR37" s="3147">
        <f t="shared" si="161"/>
        <v>102.04071845073943</v>
      </c>
    </row>
    <row r="38" spans="1:44" s="2044" customFormat="1" ht="13.2">
      <c r="A38" s="2039" t="s">
        <v>3361</v>
      </c>
      <c r="B38" s="2030">
        <v>2024</v>
      </c>
      <c r="C38" s="2041">
        <v>3</v>
      </c>
      <c r="D38" s="2006"/>
      <c r="E38" s="2006">
        <v>-0.66</v>
      </c>
      <c r="F38" s="2006">
        <v>-0.52</v>
      </c>
      <c r="G38" s="2006">
        <v>-2.87</v>
      </c>
      <c r="H38" s="2006"/>
      <c r="I38" s="2007">
        <f t="shared" ref="I38" si="169">F38</f>
        <v>-0.52</v>
      </c>
      <c r="J38" s="2901"/>
      <c r="K38" s="2042"/>
      <c r="L38" s="2027">
        <f t="shared" ref="L38" si="170">E38/100</f>
        <v>-6.6E-3</v>
      </c>
      <c r="M38" s="2027">
        <f t="shared" ref="M38" si="171">F38/100</f>
        <v>-5.1999999999999998E-3</v>
      </c>
      <c r="N38" s="2027">
        <f t="shared" ref="N38" si="172">G38/100</f>
        <v>-2.87E-2</v>
      </c>
      <c r="O38" s="2027"/>
      <c r="P38" s="2027">
        <f t="shared" si="123"/>
        <v>-5.1999999999999998E-3</v>
      </c>
      <c r="Q38" s="2901"/>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1"/>
      <c r="Y38" s="2027"/>
      <c r="Z38" s="2897">
        <f t="shared" ref="Z38:AB39" si="173">IF(E38=0,0,ROUND(AVERAGE(E38:E51)/100,4))</f>
        <v>2.5999999999999999E-3</v>
      </c>
      <c r="AA38" s="2897">
        <f t="shared" si="173"/>
        <v>1.6999999999999999E-3</v>
      </c>
      <c r="AB38" s="2897">
        <f t="shared" si="173"/>
        <v>3.3999999999999998E-3</v>
      </c>
      <c r="AC38" s="2899"/>
      <c r="AD38" s="2027">
        <f t="shared" si="128"/>
        <v>1.6999999999999999E-3</v>
      </c>
      <c r="AG38" s="3147">
        <f t="shared" si="129"/>
        <v>103.64</v>
      </c>
      <c r="AH38" s="3147">
        <f t="shared" si="130"/>
        <v>102.44</v>
      </c>
      <c r="AI38" s="3147">
        <f t="shared" si="131"/>
        <v>104.80000000000001</v>
      </c>
      <c r="AJ38" s="3149"/>
      <c r="AK38" s="3147">
        <f t="shared" si="132"/>
        <v>102.44</v>
      </c>
      <c r="AN38" s="3147">
        <f t="shared" si="148"/>
        <v>102.4323722197171</v>
      </c>
      <c r="AO38" s="3147">
        <f t="shared" si="159"/>
        <v>102.7703882070092</v>
      </c>
      <c r="AP38" s="3147">
        <f t="shared" si="160"/>
        <v>101.37456577100599</v>
      </c>
      <c r="AQ38" s="3147"/>
      <c r="AR38" s="3147">
        <f t="shared" si="161"/>
        <v>102.7703882070092</v>
      </c>
    </row>
    <row r="39" spans="1:44" s="2044" customFormat="1" ht="13.2">
      <c r="A39" s="2900" t="s">
        <v>3365</v>
      </c>
      <c r="B39" s="2030">
        <v>2024</v>
      </c>
      <c r="C39" s="2041">
        <v>2</v>
      </c>
      <c r="D39" s="2006"/>
      <c r="E39" s="2006">
        <v>-0.31</v>
      </c>
      <c r="F39" s="2006">
        <v>-0.39</v>
      </c>
      <c r="G39" s="2006">
        <v>1.23</v>
      </c>
      <c r="H39" s="2912"/>
      <c r="I39" s="2007">
        <f t="shared" ref="I39:I52" si="174">F39</f>
        <v>-0.39</v>
      </c>
      <c r="J39" s="2901"/>
      <c r="K39" s="2042"/>
      <c r="L39" s="2027">
        <f t="shared" ref="L39:N52" si="175">E39/100</f>
        <v>-3.0999999999999999E-3</v>
      </c>
      <c r="M39" s="2027">
        <f t="shared" si="175"/>
        <v>-3.9000000000000003E-3</v>
      </c>
      <c r="N39" s="2027">
        <f t="shared" si="175"/>
        <v>1.23E-2</v>
      </c>
      <c r="O39" s="2027"/>
      <c r="P39" s="2027">
        <f t="shared" si="123"/>
        <v>-3.9000000000000003E-3</v>
      </c>
      <c r="Q39" s="2901"/>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1"/>
      <c r="Y39" s="2027"/>
      <c r="Z39" s="2897">
        <f t="shared" si="173"/>
        <v>3.3E-3</v>
      </c>
      <c r="AA39" s="2898">
        <f t="shared" si="173"/>
        <v>2.3999999999999998E-3</v>
      </c>
      <c r="AB39" s="2027">
        <f t="shared" si="173"/>
        <v>6.1999999999999998E-3</v>
      </c>
      <c r="AC39" s="2899"/>
      <c r="AD39" s="2027">
        <f t="shared" si="128"/>
        <v>2.3999999999999998E-3</v>
      </c>
      <c r="AG39" s="3147">
        <f t="shared" si="129"/>
        <v>104.32999999999998</v>
      </c>
      <c r="AH39" s="3147">
        <f t="shared" si="130"/>
        <v>102.98</v>
      </c>
      <c r="AI39" s="3147">
        <f t="shared" si="131"/>
        <v>107.89999999999999</v>
      </c>
      <c r="AJ39" s="3149"/>
      <c r="AK39" s="3147">
        <f t="shared" si="132"/>
        <v>102.98</v>
      </c>
      <c r="AN39" s="3147">
        <f t="shared" si="148"/>
        <v>103.11291747505244</v>
      </c>
      <c r="AO39" s="3147">
        <f t="shared" si="159"/>
        <v>103.30758766285605</v>
      </c>
      <c r="AP39" s="3147">
        <f t="shared" si="160"/>
        <v>104.36998432101923</v>
      </c>
      <c r="AQ39" s="3147"/>
      <c r="AR39" s="3147">
        <f t="shared" si="161"/>
        <v>103.30758766285605</v>
      </c>
    </row>
    <row r="40" spans="1:44" s="2044" customFormat="1" ht="13.2">
      <c r="A40" s="2900" t="s">
        <v>3362</v>
      </c>
      <c r="B40" s="2030">
        <v>2024</v>
      </c>
      <c r="C40" s="2041">
        <v>1</v>
      </c>
      <c r="D40" s="2006"/>
      <c r="E40" s="2006">
        <v>0.25</v>
      </c>
      <c r="F40" s="2006">
        <v>0.4</v>
      </c>
      <c r="G40" s="2006">
        <v>-0.63</v>
      </c>
      <c r="H40" s="2912"/>
      <c r="I40" s="2007">
        <f t="shared" ref="I40:I41" si="176">F40</f>
        <v>0.4</v>
      </c>
      <c r="J40" s="2901"/>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1"/>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1"/>
      <c r="Y40" s="2027"/>
      <c r="Z40" s="2897"/>
      <c r="AA40" s="2898"/>
      <c r="AB40" s="2027"/>
      <c r="AC40" s="2899"/>
      <c r="AD40" s="2027"/>
      <c r="AG40" s="3147">
        <f t="shared" si="129"/>
        <v>104.65</v>
      </c>
      <c r="AH40" s="3147">
        <f t="shared" si="130"/>
        <v>103.38000000000001</v>
      </c>
      <c r="AI40" s="3147">
        <f t="shared" si="131"/>
        <v>106.59</v>
      </c>
      <c r="AJ40" s="3149"/>
      <c r="AK40" s="3147">
        <f t="shared" si="132"/>
        <v>103.38000000000001</v>
      </c>
      <c r="AN40" s="3147">
        <f t="shared" si="148"/>
        <v>103.43356151575126</v>
      </c>
      <c r="AO40" s="3147">
        <f t="shared" si="159"/>
        <v>103.7120647152455</v>
      </c>
      <c r="AP40" s="3147">
        <f t="shared" si="160"/>
        <v>103.10183179000221</v>
      </c>
      <c r="AQ40" s="3147"/>
      <c r="AR40" s="3147">
        <f t="shared" si="161"/>
        <v>103.7120647152455</v>
      </c>
    </row>
    <row r="41" spans="1:44" s="2044" customFormat="1" ht="13.2">
      <c r="A41" s="2900" t="s">
        <v>3360</v>
      </c>
      <c r="B41" s="2030">
        <v>2023</v>
      </c>
      <c r="C41" s="2041">
        <v>4</v>
      </c>
      <c r="D41" s="2006"/>
      <c r="E41" s="2006">
        <v>7.0000000000000007E-2</v>
      </c>
      <c r="F41" s="2006">
        <v>0.09</v>
      </c>
      <c r="G41" s="2006">
        <v>0.03</v>
      </c>
      <c r="H41" s="2912"/>
      <c r="I41" s="2007">
        <f t="shared" si="176"/>
        <v>0.09</v>
      </c>
      <c r="J41" s="2901"/>
      <c r="K41" s="2042"/>
      <c r="L41" s="2027">
        <f t="shared" si="175"/>
        <v>7.000000000000001E-4</v>
      </c>
      <c r="M41" s="2027">
        <f t="shared" si="175"/>
        <v>8.9999999999999998E-4</v>
      </c>
      <c r="N41" s="2027">
        <f t="shared" si="175"/>
        <v>2.9999999999999997E-4</v>
      </c>
      <c r="O41" s="2027"/>
      <c r="P41" s="2027">
        <f t="shared" ref="P41" si="182">M41</f>
        <v>8.9999999999999998E-4</v>
      </c>
      <c r="Q41" s="2901"/>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1"/>
      <c r="Y41" s="2027"/>
      <c r="Z41" s="2897"/>
      <c r="AA41" s="2898"/>
      <c r="AB41" s="2027"/>
      <c r="AC41" s="2899"/>
      <c r="AD41" s="2027"/>
      <c r="AG41" s="3147">
        <f t="shared" si="129"/>
        <v>104.39</v>
      </c>
      <c r="AH41" s="3147">
        <f t="shared" si="130"/>
        <v>102.97</v>
      </c>
      <c r="AI41" s="3147">
        <f t="shared" si="131"/>
        <v>107.27</v>
      </c>
      <c r="AJ41" s="3149"/>
      <c r="AK41" s="3147">
        <f t="shared" si="132"/>
        <v>102.97</v>
      </c>
      <c r="AN41" s="3147">
        <f t="shared" si="148"/>
        <v>103.17562245960227</v>
      </c>
      <c r="AO41" s="3147">
        <f t="shared" si="159"/>
        <v>103.29886923829234</v>
      </c>
      <c r="AP41" s="3147">
        <f t="shared" si="160"/>
        <v>103.75549138573231</v>
      </c>
      <c r="AQ41" s="3147"/>
      <c r="AR41" s="3147">
        <f t="shared" si="161"/>
        <v>103.29886923829234</v>
      </c>
    </row>
    <row r="42" spans="1:44" s="2044" customFormat="1" ht="13.2">
      <c r="A42" s="2900" t="s">
        <v>3358</v>
      </c>
      <c r="B42" s="2030">
        <v>2023</v>
      </c>
      <c r="C42" s="2041">
        <v>3</v>
      </c>
      <c r="D42" s="2006"/>
      <c r="E42" s="2006">
        <v>0.35</v>
      </c>
      <c r="F42" s="2006">
        <v>0.17</v>
      </c>
      <c r="G42" s="2006">
        <v>0.52</v>
      </c>
      <c r="H42" s="2912"/>
      <c r="I42" s="2007">
        <f t="shared" si="174"/>
        <v>0.17</v>
      </c>
      <c r="J42" s="2901"/>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1"/>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1"/>
      <c r="Y42" s="2027"/>
      <c r="Z42" s="2897"/>
      <c r="AA42" s="2898"/>
      <c r="AB42" s="2027"/>
      <c r="AC42" s="2899"/>
      <c r="AD42" s="2027"/>
      <c r="AG42" s="3147">
        <f t="shared" si="129"/>
        <v>104.32</v>
      </c>
      <c r="AH42" s="3147">
        <f t="shared" si="130"/>
        <v>102.86999999999999</v>
      </c>
      <c r="AI42" s="3147">
        <f t="shared" si="131"/>
        <v>107.23</v>
      </c>
      <c r="AJ42" s="3149"/>
      <c r="AK42" s="3147">
        <f t="shared" si="132"/>
        <v>102.86999999999999</v>
      </c>
      <c r="AN42" s="3147">
        <f t="shared" si="148"/>
        <v>103.10345004457108</v>
      </c>
      <c r="AO42" s="3147">
        <f t="shared" si="159"/>
        <v>103.20598385282482</v>
      </c>
      <c r="AP42" s="3147">
        <f t="shared" si="160"/>
        <v>103.72437407351026</v>
      </c>
      <c r="AQ42" s="3147"/>
      <c r="AR42" s="3147">
        <f t="shared" si="161"/>
        <v>103.20598385282482</v>
      </c>
    </row>
    <row r="43" spans="1:44" s="2044" customFormat="1" ht="13.2">
      <c r="A43" s="2900" t="s">
        <v>3357</v>
      </c>
      <c r="B43" s="2030">
        <v>2023</v>
      </c>
      <c r="C43" s="2041">
        <v>2</v>
      </c>
      <c r="D43" s="2006"/>
      <c r="E43" s="2006">
        <v>0.5</v>
      </c>
      <c r="F43" s="2006">
        <v>0.45</v>
      </c>
      <c r="G43" s="2006">
        <v>0.89</v>
      </c>
      <c r="H43" s="2912"/>
      <c r="I43" s="2007">
        <f t="shared" si="174"/>
        <v>0.45</v>
      </c>
      <c r="J43" s="2901"/>
      <c r="K43" s="2042"/>
      <c r="L43" s="2027">
        <f t="shared" si="184"/>
        <v>5.0000000000000001E-3</v>
      </c>
      <c r="M43" s="2027">
        <f t="shared" si="185"/>
        <v>4.5000000000000005E-3</v>
      </c>
      <c r="N43" s="2027">
        <f t="shared" si="186"/>
        <v>8.8999999999999999E-3</v>
      </c>
      <c r="O43" s="2027"/>
      <c r="P43" s="2027">
        <f t="shared" si="187"/>
        <v>4.5000000000000005E-3</v>
      </c>
      <c r="Q43" s="2901"/>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1"/>
      <c r="Y43" s="2027"/>
      <c r="Z43" s="2897"/>
      <c r="AA43" s="2898"/>
      <c r="AB43" s="2027"/>
      <c r="AC43" s="2899"/>
      <c r="AD43" s="2027"/>
      <c r="AG43" s="3147">
        <f t="shared" si="129"/>
        <v>103.96000000000001</v>
      </c>
      <c r="AH43" s="3147">
        <f t="shared" si="130"/>
        <v>102.69999999999999</v>
      </c>
      <c r="AI43" s="3147">
        <f t="shared" si="131"/>
        <v>106.67999999999999</v>
      </c>
      <c r="AJ43" s="3149"/>
      <c r="AK43" s="3147">
        <f t="shared" si="132"/>
        <v>102.69999999999999</v>
      </c>
      <c r="AN43" s="3147">
        <f t="shared" si="148"/>
        <v>102.74384658153569</v>
      </c>
      <c r="AO43" s="3147">
        <f t="shared" si="159"/>
        <v>103.03083143937786</v>
      </c>
      <c r="AP43" s="3147">
        <f t="shared" si="160"/>
        <v>103.18779752637312</v>
      </c>
      <c r="AQ43" s="3147"/>
      <c r="AR43" s="3147">
        <f t="shared" si="161"/>
        <v>103.03083143937786</v>
      </c>
    </row>
    <row r="44" spans="1:44" s="2044" customFormat="1" ht="13.2">
      <c r="A44" s="2900" t="s">
        <v>3355</v>
      </c>
      <c r="B44" s="2030">
        <v>2023</v>
      </c>
      <c r="C44" s="2041">
        <v>1</v>
      </c>
      <c r="D44" s="2006"/>
      <c r="E44" s="2006">
        <v>0.55000000000000004</v>
      </c>
      <c r="F44" s="2006">
        <v>0.59</v>
      </c>
      <c r="G44" s="2006">
        <v>0.64</v>
      </c>
      <c r="H44" s="2912"/>
      <c r="I44" s="2007">
        <f t="shared" si="174"/>
        <v>0.59</v>
      </c>
      <c r="J44" s="2901"/>
      <c r="K44" s="2042"/>
      <c r="L44" s="2027">
        <f t="shared" si="184"/>
        <v>5.5000000000000005E-3</v>
      </c>
      <c r="M44" s="2027">
        <f t="shared" si="185"/>
        <v>5.8999999999999999E-3</v>
      </c>
      <c r="N44" s="2027">
        <f t="shared" si="186"/>
        <v>6.4000000000000003E-3</v>
      </c>
      <c r="O44" s="2027"/>
      <c r="P44" s="2027">
        <f t="shared" si="187"/>
        <v>5.8999999999999999E-3</v>
      </c>
      <c r="Q44" s="2901"/>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1"/>
      <c r="Y44" s="2027"/>
      <c r="Z44" s="2897"/>
      <c r="AA44" s="2898"/>
      <c r="AB44" s="2027"/>
      <c r="AC44" s="2899"/>
      <c r="AD44" s="2027"/>
      <c r="AG44" s="3147">
        <f t="shared" si="129"/>
        <v>103.44</v>
      </c>
      <c r="AH44" s="3147">
        <f t="shared" si="130"/>
        <v>102.24</v>
      </c>
      <c r="AI44" s="3147">
        <f t="shared" si="131"/>
        <v>105.74</v>
      </c>
      <c r="AJ44" s="3149"/>
      <c r="AK44" s="3147">
        <f t="shared" si="132"/>
        <v>102.24</v>
      </c>
      <c r="AN44" s="3147">
        <f t="shared" si="148"/>
        <v>102.23268316570717</v>
      </c>
      <c r="AO44" s="3147">
        <f t="shared" si="159"/>
        <v>102.56926972561261</v>
      </c>
      <c r="AP44" s="3147">
        <f t="shared" si="160"/>
        <v>102.27752753134416</v>
      </c>
      <c r="AQ44" s="3147"/>
      <c r="AR44" s="3147">
        <f t="shared" si="161"/>
        <v>102.56926972561261</v>
      </c>
    </row>
    <row r="45" spans="1:44" s="2044" customFormat="1" ht="13.2">
      <c r="A45" s="2900" t="s">
        <v>3354</v>
      </c>
      <c r="B45" s="2030">
        <v>2022</v>
      </c>
      <c r="C45" s="2041">
        <v>4</v>
      </c>
      <c r="D45" s="2006"/>
      <c r="E45" s="2006">
        <v>0.45</v>
      </c>
      <c r="F45" s="2006">
        <v>0.2</v>
      </c>
      <c r="G45" s="2006">
        <v>0.38</v>
      </c>
      <c r="H45" s="2912"/>
      <c r="I45" s="2007">
        <f t="shared" si="174"/>
        <v>0.2</v>
      </c>
      <c r="J45" s="2901"/>
      <c r="K45" s="2042"/>
      <c r="L45" s="2027">
        <f t="shared" si="175"/>
        <v>4.5000000000000005E-3</v>
      </c>
      <c r="M45" s="2027">
        <f t="shared" si="175"/>
        <v>2E-3</v>
      </c>
      <c r="N45" s="2027">
        <f t="shared" si="175"/>
        <v>3.8E-3</v>
      </c>
      <c r="O45" s="2027"/>
      <c r="P45" s="2027">
        <f t="shared" ref="P45:P52" si="189">M45</f>
        <v>2E-3</v>
      </c>
      <c r="Q45" s="2901"/>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1"/>
      <c r="Y45" s="2027"/>
      <c r="Z45" s="2897">
        <f t="shared" ref="Z45:AD52" si="191">IF(E45=0,0,ROUND(AVERAGE(E45:E53)/100,4))</f>
        <v>4.0000000000000001E-3</v>
      </c>
      <c r="AA45" s="2898">
        <f t="shared" si="191"/>
        <v>2.5999999999999999E-3</v>
      </c>
      <c r="AB45" s="2027">
        <f t="shared" si="191"/>
        <v>7.4000000000000003E-3</v>
      </c>
      <c r="AC45" s="2899"/>
      <c r="AD45" s="2027">
        <f t="shared" si="191"/>
        <v>2.5999999999999999E-3</v>
      </c>
      <c r="AG45" s="3147">
        <f t="shared" si="129"/>
        <v>102.86999999999999</v>
      </c>
      <c r="AH45" s="3147">
        <f t="shared" si="130"/>
        <v>101.64</v>
      </c>
      <c r="AI45" s="3147">
        <f t="shared" si="131"/>
        <v>105.06</v>
      </c>
      <c r="AJ45" s="3149"/>
      <c r="AK45" s="3147">
        <f t="shared" si="132"/>
        <v>101.64</v>
      </c>
      <c r="AN45" s="3147">
        <f t="shared" si="148"/>
        <v>101.67347903103646</v>
      </c>
      <c r="AO45" s="3147">
        <f t="shared" si="159"/>
        <v>101.96766052849449</v>
      </c>
      <c r="AP45" s="3147">
        <f t="shared" si="160"/>
        <v>101.62711400173308</v>
      </c>
      <c r="AQ45" s="3147"/>
      <c r="AR45" s="3147">
        <f t="shared" si="161"/>
        <v>101.96766052849449</v>
      </c>
    </row>
    <row r="46" spans="1:44" s="2044" customFormat="1" ht="13.2">
      <c r="A46" s="2900" t="s">
        <v>3353</v>
      </c>
      <c r="B46" s="2030">
        <v>2022</v>
      </c>
      <c r="C46" s="2041">
        <v>3</v>
      </c>
      <c r="D46" s="2006"/>
      <c r="E46" s="2006">
        <v>0.3</v>
      </c>
      <c r="F46" s="2006">
        <v>0.28999999999999998</v>
      </c>
      <c r="G46" s="2006">
        <v>0.83</v>
      </c>
      <c r="H46" s="2912"/>
      <c r="I46" s="2007">
        <f t="shared" si="174"/>
        <v>0.28999999999999998</v>
      </c>
      <c r="J46" s="2901"/>
      <c r="K46" s="2042"/>
      <c r="L46" s="2027">
        <f t="shared" si="175"/>
        <v>3.0000000000000001E-3</v>
      </c>
      <c r="M46" s="2027">
        <f t="shared" si="175"/>
        <v>2.8999999999999998E-3</v>
      </c>
      <c r="N46" s="2027">
        <f t="shared" si="175"/>
        <v>8.3000000000000001E-3</v>
      </c>
      <c r="O46" s="2027"/>
      <c r="P46" s="2027">
        <f t="shared" si="189"/>
        <v>2.8999999999999998E-3</v>
      </c>
      <c r="Q46" s="2901"/>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1"/>
      <c r="Y46" s="2027"/>
      <c r="Z46" s="2897">
        <f t="shared" si="191"/>
        <v>3.8999999999999998E-3</v>
      </c>
      <c r="AA46" s="2898">
        <f t="shared" si="191"/>
        <v>2.7000000000000001E-3</v>
      </c>
      <c r="AB46" s="2027">
        <f t="shared" si="191"/>
        <v>7.9000000000000008E-3</v>
      </c>
      <c r="AC46" s="2899"/>
      <c r="AD46" s="2027">
        <f t="shared" si="191"/>
        <v>2.7000000000000001E-3</v>
      </c>
      <c r="AG46" s="3147">
        <f t="shared" si="129"/>
        <v>102.41</v>
      </c>
      <c r="AH46" s="3147">
        <f t="shared" si="130"/>
        <v>101.44</v>
      </c>
      <c r="AI46" s="3147">
        <f t="shared" si="131"/>
        <v>104.67</v>
      </c>
      <c r="AJ46" s="3149"/>
      <c r="AK46" s="3147">
        <f t="shared" si="132"/>
        <v>101.44</v>
      </c>
      <c r="AN46" s="3147">
        <f t="shared" si="148"/>
        <v>101.21799803985711</v>
      </c>
      <c r="AO46" s="3147">
        <f t="shared" si="159"/>
        <v>101.76413226396656</v>
      </c>
      <c r="AP46" s="3147">
        <f t="shared" si="160"/>
        <v>101.24239290868009</v>
      </c>
      <c r="AQ46" s="3147"/>
      <c r="AR46" s="3147">
        <f t="shared" si="161"/>
        <v>101.76413226396656</v>
      </c>
    </row>
    <row r="47" spans="1:44" s="2044" customFormat="1" ht="13.2">
      <c r="A47" s="2900" t="s">
        <v>3343</v>
      </c>
      <c r="B47" s="2030">
        <v>2022</v>
      </c>
      <c r="C47" s="2041">
        <v>2</v>
      </c>
      <c r="D47" s="2006"/>
      <c r="E47" s="2006">
        <v>-0.11</v>
      </c>
      <c r="F47" s="2006">
        <v>-0.13</v>
      </c>
      <c r="G47" s="2006">
        <v>0.53</v>
      </c>
      <c r="H47" s="2912"/>
      <c r="I47" s="2007">
        <f t="shared" si="174"/>
        <v>-0.13</v>
      </c>
      <c r="J47" s="2901"/>
      <c r="K47" s="2042"/>
      <c r="L47" s="2027">
        <f t="shared" si="175"/>
        <v>-1.1000000000000001E-3</v>
      </c>
      <c r="M47" s="2027">
        <f t="shared" si="175"/>
        <v>-1.2999999999999999E-3</v>
      </c>
      <c r="N47" s="2027">
        <f t="shared" si="175"/>
        <v>5.3E-3</v>
      </c>
      <c r="O47" s="2027"/>
      <c r="P47" s="2027">
        <f t="shared" si="189"/>
        <v>-1.2999999999999999E-3</v>
      </c>
      <c r="Q47" s="2901"/>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1"/>
      <c r="Y47" s="2027"/>
      <c r="Z47" s="2897">
        <f t="shared" si="191"/>
        <v>4.1000000000000003E-3</v>
      </c>
      <c r="AA47" s="2898">
        <f t="shared" si="191"/>
        <v>2.7000000000000001E-3</v>
      </c>
      <c r="AB47" s="2027">
        <f t="shared" si="191"/>
        <v>7.9000000000000008E-3</v>
      </c>
      <c r="AC47" s="2899"/>
      <c r="AD47" s="2027">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100.9152522830081</v>
      </c>
      <c r="AO47" s="3147">
        <f t="shared" si="159"/>
        <v>101.46986964200475</v>
      </c>
      <c r="AP47" s="3147">
        <f t="shared" si="160"/>
        <v>100.40899822342566</v>
      </c>
      <c r="AQ47" s="3147"/>
      <c r="AR47" s="3147">
        <f t="shared" si="161"/>
        <v>101.46986964200475</v>
      </c>
    </row>
    <row r="48" spans="1:44" s="2044" customFormat="1" ht="13.2">
      <c r="A48" s="2900" t="s">
        <v>2826</v>
      </c>
      <c r="B48" s="2030">
        <v>2022</v>
      </c>
      <c r="C48" s="2041">
        <v>1</v>
      </c>
      <c r="D48" s="2006"/>
      <c r="E48" s="2006">
        <v>0.6</v>
      </c>
      <c r="F48" s="2006">
        <v>0.45</v>
      </c>
      <c r="G48" s="2006">
        <v>0.53</v>
      </c>
      <c r="H48" s="2912"/>
      <c r="I48" s="2007">
        <f t="shared" si="174"/>
        <v>0.45</v>
      </c>
      <c r="J48" s="2901"/>
      <c r="K48" s="2042"/>
      <c r="L48" s="2027">
        <f t="shared" si="175"/>
        <v>6.0000000000000001E-3</v>
      </c>
      <c r="M48" s="2027">
        <f t="shared" si="175"/>
        <v>4.5000000000000005E-3</v>
      </c>
      <c r="N48" s="2027">
        <f t="shared" si="175"/>
        <v>5.3E-3</v>
      </c>
      <c r="O48" s="2027"/>
      <c r="P48" s="2027">
        <f t="shared" si="189"/>
        <v>4.5000000000000005E-3</v>
      </c>
      <c r="Q48" s="2901"/>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1"/>
      <c r="Y48" s="2027"/>
      <c r="Z48" s="2897">
        <f t="shared" si="191"/>
        <v>5.1000000000000004E-3</v>
      </c>
      <c r="AA48" s="2898">
        <f t="shared" si="191"/>
        <v>3.5000000000000001E-3</v>
      </c>
      <c r="AB48" s="2027">
        <f t="shared" si="191"/>
        <v>8.3999999999999995E-3</v>
      </c>
      <c r="AC48" s="2899"/>
      <c r="AD48" s="2027">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101.02638130244078</v>
      </c>
      <c r="AO48" s="3147">
        <f t="shared" si="159"/>
        <v>101.60195217983853</v>
      </c>
      <c r="AP48" s="3147">
        <f t="shared" si="160"/>
        <v>99.879636151820989</v>
      </c>
      <c r="AQ48" s="3147"/>
      <c r="AR48" s="3147">
        <f t="shared" si="161"/>
        <v>101.60195217983853</v>
      </c>
    </row>
    <row r="49" spans="1:44" s="2044" customFormat="1" ht="13.2">
      <c r="A49" s="2900" t="s">
        <v>2827</v>
      </c>
      <c r="B49" s="2030">
        <v>2021</v>
      </c>
      <c r="C49" s="2041">
        <v>4</v>
      </c>
      <c r="D49" s="2006"/>
      <c r="E49" s="2006">
        <v>0.57999999999999996</v>
      </c>
      <c r="F49" s="2006">
        <v>0.08</v>
      </c>
      <c r="G49" s="2006">
        <v>0.68</v>
      </c>
      <c r="H49" s="2912"/>
      <c r="I49" s="2007">
        <f t="shared" si="174"/>
        <v>0.08</v>
      </c>
      <c r="J49" s="2901"/>
      <c r="K49" s="2042"/>
      <c r="L49" s="2027">
        <f t="shared" si="175"/>
        <v>5.7999999999999996E-3</v>
      </c>
      <c r="M49" s="2027">
        <f t="shared" si="175"/>
        <v>8.0000000000000004E-4</v>
      </c>
      <c r="N49" s="2027">
        <f t="shared" si="175"/>
        <v>6.8000000000000005E-3</v>
      </c>
      <c r="O49" s="2027"/>
      <c r="P49" s="2027">
        <f t="shared" si="189"/>
        <v>8.0000000000000004E-4</v>
      </c>
      <c r="Q49" s="2901"/>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1"/>
      <c r="Y49" s="2027"/>
      <c r="Z49" s="2897">
        <f t="shared" si="191"/>
        <v>4.8999999999999998E-3</v>
      </c>
      <c r="AA49" s="2898">
        <f t="shared" si="191"/>
        <v>3.3E-3</v>
      </c>
      <c r="AB49" s="2027">
        <f t="shared" si="191"/>
        <v>9.1999999999999998E-3</v>
      </c>
      <c r="AC49" s="2899"/>
      <c r="AD49" s="2027">
        <f t="shared" si="191"/>
        <v>3.3E-3</v>
      </c>
      <c r="AG49" s="3147">
        <f t="shared" si="129"/>
        <v>101.61</v>
      </c>
      <c r="AH49" s="3147">
        <f t="shared" si="130"/>
        <v>100.82</v>
      </c>
      <c r="AI49" s="3147">
        <f t="shared" si="131"/>
        <v>102.71</v>
      </c>
      <c r="AJ49" s="3149"/>
      <c r="AK49" s="3147">
        <f t="shared" si="132"/>
        <v>100.82</v>
      </c>
      <c r="AN49" s="3147">
        <f t="shared" si="148"/>
        <v>100.42383827280396</v>
      </c>
      <c r="AO49" s="3147">
        <f t="shared" si="159"/>
        <v>101.14679161755951</v>
      </c>
      <c r="AP49" s="3147">
        <f t="shared" si="160"/>
        <v>99.353064907809596</v>
      </c>
      <c r="AQ49" s="3147"/>
      <c r="AR49" s="3147">
        <f t="shared" si="161"/>
        <v>101.14679161755951</v>
      </c>
    </row>
    <row r="50" spans="1:44" s="2044" customFormat="1" ht="13.2">
      <c r="A50" s="2900" t="s">
        <v>2828</v>
      </c>
      <c r="B50" s="2030">
        <v>2021</v>
      </c>
      <c r="C50" s="2041">
        <v>3</v>
      </c>
      <c r="D50" s="2006"/>
      <c r="E50" s="2006">
        <v>0.47</v>
      </c>
      <c r="F50" s="2006">
        <v>0.28000000000000003</v>
      </c>
      <c r="G50" s="2006">
        <v>0.91</v>
      </c>
      <c r="H50" s="2912"/>
      <c r="I50" s="2007">
        <f t="shared" si="174"/>
        <v>0.28000000000000003</v>
      </c>
      <c r="J50" s="2901"/>
      <c r="K50" s="2042"/>
      <c r="L50" s="2027">
        <f t="shared" si="175"/>
        <v>4.6999999999999993E-3</v>
      </c>
      <c r="M50" s="2027">
        <f t="shared" si="175"/>
        <v>2.8000000000000004E-3</v>
      </c>
      <c r="N50" s="2027">
        <f t="shared" si="175"/>
        <v>9.1000000000000004E-3</v>
      </c>
      <c r="O50" s="2027"/>
      <c r="P50" s="2027">
        <f t="shared" si="189"/>
        <v>2.8000000000000004E-3</v>
      </c>
      <c r="Q50" s="2901"/>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1"/>
      <c r="Y50" s="2027"/>
      <c r="Z50" s="2897">
        <f t="shared" si="191"/>
        <v>4.5999999999999999E-3</v>
      </c>
      <c r="AA50" s="2898">
        <f t="shared" si="191"/>
        <v>4.1000000000000003E-3</v>
      </c>
      <c r="AB50" s="2027">
        <f t="shared" si="191"/>
        <v>0.01</v>
      </c>
      <c r="AC50" s="2899"/>
      <c r="AD50" s="2027">
        <f t="shared" si="191"/>
        <v>4.1000000000000003E-3</v>
      </c>
      <c r="AG50" s="3147">
        <f t="shared" si="129"/>
        <v>101.02</v>
      </c>
      <c r="AH50" s="3147">
        <f t="shared" si="130"/>
        <v>100.74000000000001</v>
      </c>
      <c r="AI50" s="3147">
        <f t="shared" si="131"/>
        <v>102.02</v>
      </c>
      <c r="AJ50" s="3149"/>
      <c r="AK50" s="3147">
        <f t="shared" si="132"/>
        <v>100.74000000000001</v>
      </c>
      <c r="AN50" s="3147">
        <f t="shared" si="148"/>
        <v>99.844738787834515</v>
      </c>
      <c r="AO50" s="3147">
        <f t="shared" si="159"/>
        <v>101.06593886646635</v>
      </c>
      <c r="AP50" s="3147">
        <f t="shared" si="160"/>
        <v>98.682027123370688</v>
      </c>
      <c r="AQ50" s="3147"/>
      <c r="AR50" s="3147">
        <f t="shared" si="161"/>
        <v>101.06593886646635</v>
      </c>
    </row>
    <row r="51" spans="1:44" s="2044" customFormat="1" ht="13.2">
      <c r="A51" s="2900" t="s">
        <v>2829</v>
      </c>
      <c r="B51" s="2030">
        <v>2021</v>
      </c>
      <c r="C51" s="2041">
        <v>2</v>
      </c>
      <c r="D51" s="2006"/>
      <c r="E51" s="2006">
        <v>0.55000000000000004</v>
      </c>
      <c r="F51" s="2006">
        <v>0.46</v>
      </c>
      <c r="G51" s="2006">
        <v>1.1000000000000001</v>
      </c>
      <c r="H51" s="2912"/>
      <c r="I51" s="2007">
        <f t="shared" si="174"/>
        <v>0.46</v>
      </c>
      <c r="J51" s="2901"/>
      <c r="K51" s="2042"/>
      <c r="L51" s="2027">
        <f t="shared" si="175"/>
        <v>5.5000000000000005E-3</v>
      </c>
      <c r="M51" s="2027">
        <f t="shared" si="175"/>
        <v>4.5999999999999999E-3</v>
      </c>
      <c r="N51" s="2027">
        <f t="shared" si="175"/>
        <v>1.1000000000000001E-2</v>
      </c>
      <c r="O51" s="2027"/>
      <c r="P51" s="2027">
        <f t="shared" si="189"/>
        <v>4.5999999999999999E-3</v>
      </c>
      <c r="Q51" s="2901"/>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1"/>
      <c r="Y51" s="2027"/>
      <c r="Z51" s="2897">
        <f t="shared" si="191"/>
        <v>4.4999999999999997E-3</v>
      </c>
      <c r="AA51" s="2898">
        <f t="shared" si="191"/>
        <v>4.7000000000000002E-3</v>
      </c>
      <c r="AB51" s="2027">
        <f t="shared" si="191"/>
        <v>1.04E-2</v>
      </c>
      <c r="AC51" s="2899"/>
      <c r="AD51" s="2027">
        <f t="shared" si="191"/>
        <v>4.7000000000000002E-3</v>
      </c>
      <c r="AG51" s="3147">
        <f>$AG$52*S51</f>
        <v>100.55000000000001</v>
      </c>
      <c r="AH51" s="3147">
        <f t="shared" ref="AH51:AK51" si="192">$AG$52*T51</f>
        <v>100.46</v>
      </c>
      <c r="AI51" s="3147">
        <f t="shared" si="192"/>
        <v>101.1</v>
      </c>
      <c r="AJ51" s="3149"/>
      <c r="AK51" s="3147">
        <f t="shared" si="192"/>
        <v>100.46</v>
      </c>
      <c r="AN51" s="3147">
        <f t="shared" si="148"/>
        <v>99.377663768124336</v>
      </c>
      <c r="AO51" s="3147">
        <f t="shared" si="159"/>
        <v>100.78374438219622</v>
      </c>
      <c r="AP51" s="3147">
        <f t="shared" si="160"/>
        <v>97.7921188419093</v>
      </c>
      <c r="AQ51" s="3147"/>
      <c r="AR51" s="3147">
        <f t="shared" si="161"/>
        <v>100.78374438219622</v>
      </c>
    </row>
    <row r="52" spans="1:44" s="2923" customFormat="1" ht="15" thickBot="1">
      <c r="A52" s="2913" t="s">
        <v>2815</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1">
        <v>100</v>
      </c>
      <c r="AH52" s="3151">
        <v>100</v>
      </c>
      <c r="AI52" s="3151">
        <v>100</v>
      </c>
      <c r="AJ52" s="3151"/>
      <c r="AK52" s="3151">
        <v>100</v>
      </c>
      <c r="AN52" s="3154">
        <f t="shared" si="148"/>
        <v>98.83407634820918</v>
      </c>
      <c r="AO52" s="3154">
        <f t="shared" si="159"/>
        <v>100.32226197710156</v>
      </c>
      <c r="AP52" s="3154">
        <f t="shared" si="160"/>
        <v>96.728109635914251</v>
      </c>
      <c r="AQ52" s="3154"/>
      <c r="AR52" s="3154">
        <f t="shared" si="161"/>
        <v>100.32226197710156</v>
      </c>
    </row>
    <row r="53" spans="1:44" ht="15" thickTop="1"/>
    <row r="54" spans="1:44">
      <c r="A54" s="3137" t="s">
        <v>3368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5">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6">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5">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6">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535" t="s">
        <v>2830</v>
      </c>
      <c r="B1" s="3535"/>
      <c r="C1" s="3535"/>
      <c r="D1" s="3535"/>
      <c r="E1" s="3535"/>
      <c r="F1" s="3535"/>
      <c r="G1" s="3536"/>
      <c r="I1" s="2933" t="s">
        <v>2831</v>
      </c>
      <c r="J1" s="2934" t="s">
        <v>2832</v>
      </c>
      <c r="K1" s="2934" t="s">
        <v>2833</v>
      </c>
      <c r="L1" s="2934" t="s">
        <v>2834</v>
      </c>
      <c r="M1" s="2934" t="s">
        <v>2835</v>
      </c>
      <c r="N1" s="2934" t="s">
        <v>2836</v>
      </c>
      <c r="O1" s="2934" t="s">
        <v>2837</v>
      </c>
      <c r="P1" s="2934" t="s">
        <v>2838</v>
      </c>
      <c r="Q1" s="2934" t="s">
        <v>2839</v>
      </c>
      <c r="R1" s="2934" t="s">
        <v>2840</v>
      </c>
      <c r="S1" s="2934" t="s">
        <v>2841</v>
      </c>
      <c r="T1" s="2935" t="s">
        <v>2842</v>
      </c>
    </row>
    <row r="2" spans="1:20" ht="11.4" thickBot="1">
      <c r="A2" s="2936" t="s">
        <v>2843</v>
      </c>
      <c r="B2" s="2936"/>
      <c r="C2" s="2936"/>
      <c r="D2" s="2936"/>
      <c r="E2" s="2936"/>
      <c r="F2" s="2936"/>
      <c r="G2" s="2937" t="s">
        <v>2844</v>
      </c>
      <c r="I2" s="2938" t="s">
        <v>2845</v>
      </c>
      <c r="J2" s="2938" t="s">
        <v>2846</v>
      </c>
      <c r="K2" s="2938" t="s">
        <v>2847</v>
      </c>
      <c r="L2" s="2938" t="s">
        <v>2848</v>
      </c>
      <c r="M2" s="2938" t="s">
        <v>2849</v>
      </c>
      <c r="N2" s="2938" t="s">
        <v>2850</v>
      </c>
      <c r="O2" s="2938" t="s">
        <v>2851</v>
      </c>
      <c r="P2" s="2938" t="s">
        <v>2852</v>
      </c>
      <c r="Q2" s="2938" t="s">
        <v>2853</v>
      </c>
      <c r="R2" s="2938" t="s">
        <v>2854</v>
      </c>
      <c r="S2" s="2938" t="s">
        <v>2855</v>
      </c>
      <c r="T2" s="2938" t="s">
        <v>2856</v>
      </c>
    </row>
    <row r="3" spans="1:20" s="2944" customFormat="1">
      <c r="A3" s="3533" t="s">
        <v>2857</v>
      </c>
      <c r="B3" s="2939"/>
      <c r="C3" s="2940" t="s">
        <v>2802</v>
      </c>
      <c r="D3" s="2940" t="s">
        <v>2858</v>
      </c>
      <c r="E3" s="2940" t="s">
        <v>2804</v>
      </c>
      <c r="F3" s="2940" t="s">
        <v>2859</v>
      </c>
      <c r="G3" s="2940" t="s">
        <v>2622</v>
      </c>
      <c r="H3" s="2941"/>
      <c r="I3" s="2942" t="s">
        <v>2860</v>
      </c>
      <c r="J3" s="2943" t="s">
        <v>128</v>
      </c>
      <c r="K3" s="2943" t="s">
        <v>129</v>
      </c>
      <c r="L3" s="2942" t="s">
        <v>130</v>
      </c>
      <c r="M3" s="2942" t="s">
        <v>131</v>
      </c>
      <c r="N3" s="2942" t="s">
        <v>132</v>
      </c>
      <c r="O3" s="2942" t="s">
        <v>133</v>
      </c>
      <c r="P3" s="2942" t="s">
        <v>134</v>
      </c>
      <c r="Q3" s="2942" t="s">
        <v>135</v>
      </c>
      <c r="R3" s="2942" t="s">
        <v>136</v>
      </c>
      <c r="S3" s="2942" t="s">
        <v>2861</v>
      </c>
      <c r="T3" s="2942" t="s">
        <v>2862</v>
      </c>
    </row>
    <row r="4" spans="1:20" s="2944" customFormat="1" ht="11.4" thickBot="1">
      <c r="A4" s="3534"/>
      <c r="B4" s="2945" t="s">
        <v>2863</v>
      </c>
      <c r="C4" s="2945" t="s">
        <v>2864</v>
      </c>
      <c r="D4" s="2945" t="s">
        <v>2864</v>
      </c>
      <c r="E4" s="2945" t="s">
        <v>2864</v>
      </c>
      <c r="F4" s="2946" t="s">
        <v>2864</v>
      </c>
      <c r="G4" s="2946" t="s">
        <v>2864</v>
      </c>
      <c r="H4" s="2941"/>
      <c r="I4" s="2943" t="s">
        <v>137</v>
      </c>
      <c r="J4" s="2943" t="s">
        <v>111</v>
      </c>
      <c r="K4" s="2943" t="s">
        <v>138</v>
      </c>
      <c r="L4" s="2942" t="s">
        <v>139</v>
      </c>
      <c r="M4" s="2942" t="s">
        <v>140</v>
      </c>
      <c r="N4" s="2942" t="s">
        <v>141</v>
      </c>
      <c r="O4" s="2942" t="s">
        <v>142</v>
      </c>
      <c r="P4" s="2942" t="s">
        <v>143</v>
      </c>
      <c r="Q4" s="2942" t="s">
        <v>2865</v>
      </c>
      <c r="R4" s="2942" t="s">
        <v>2866</v>
      </c>
      <c r="S4" s="2942" t="s">
        <v>2867</v>
      </c>
      <c r="T4" s="2942" t="s">
        <v>2868</v>
      </c>
    </row>
    <row r="5" spans="1:20">
      <c r="A5" s="2947" t="s">
        <v>2831</v>
      </c>
      <c r="B5" s="2938" t="s">
        <v>2845</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2869</v>
      </c>
      <c r="R5" s="2942" t="s">
        <v>2870</v>
      </c>
      <c r="S5" s="2942" t="s">
        <v>153</v>
      </c>
      <c r="T5" s="2942" t="s">
        <v>2871</v>
      </c>
    </row>
    <row r="6" spans="1:20" ht="11.4" thickBot="1">
      <c r="A6" s="2942" t="s">
        <v>144</v>
      </c>
      <c r="B6" s="2942" t="s">
        <v>2860</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2872</v>
      </c>
      <c r="Q6" s="2942" t="s">
        <v>2873</v>
      </c>
      <c r="R6" s="2942" t="s">
        <v>161</v>
      </c>
      <c r="S6" s="2942" t="s">
        <v>2874</v>
      </c>
      <c r="T6" s="2942" t="s">
        <v>2875</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2876</v>
      </c>
      <c r="Q7" s="2942" t="s">
        <v>2877</v>
      </c>
      <c r="R7" s="2942" t="s">
        <v>2878</v>
      </c>
      <c r="S7" s="2942" t="s">
        <v>2879</v>
      </c>
      <c r="T7" s="2942" t="s">
        <v>2880</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2881</v>
      </c>
      <c r="Q8" s="2942" t="s">
        <v>174</v>
      </c>
      <c r="R8" s="2942" t="s">
        <v>2882</v>
      </c>
      <c r="S8" s="2942" t="s">
        <v>2883</v>
      </c>
      <c r="T8" s="2949" t="s">
        <v>2884</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2885</v>
      </c>
      <c r="Q9" s="2942" t="s">
        <v>182</v>
      </c>
      <c r="R9" s="2942" t="s">
        <v>183</v>
      </c>
      <c r="S9" s="2942" t="s">
        <v>200</v>
      </c>
    </row>
    <row r="10" spans="1:20">
      <c r="A10" s="2947" t="s">
        <v>184</v>
      </c>
      <c r="B10" s="2938" t="s">
        <v>2846</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2886</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2887</v>
      </c>
      <c r="P11" s="2942" t="s">
        <v>191</v>
      </c>
      <c r="Q11" s="2942" t="s">
        <v>199</v>
      </c>
      <c r="R11" s="2942" t="s">
        <v>2888</v>
      </c>
      <c r="S11" s="2942" t="s">
        <v>2889</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2890</v>
      </c>
      <c r="P12" s="2942" t="s">
        <v>2891</v>
      </c>
      <c r="Q12" s="2942" t="s">
        <v>2892</v>
      </c>
      <c r="R12" s="2942" t="s">
        <v>2893</v>
      </c>
      <c r="S12" s="2942" t="s">
        <v>2894</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2895</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2896</v>
      </c>
      <c r="K14" s="2943" t="s">
        <v>215</v>
      </c>
      <c r="L14" s="2942" t="s">
        <v>216</v>
      </c>
      <c r="M14" s="2942" t="s">
        <v>217</v>
      </c>
      <c r="N14" s="2942" t="s">
        <v>218</v>
      </c>
      <c r="O14" s="2942" t="s">
        <v>240</v>
      </c>
      <c r="P14" s="2942" t="s">
        <v>213</v>
      </c>
      <c r="Q14" s="2942" t="s">
        <v>2897</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2898</v>
      </c>
      <c r="P15" s="2942" t="s">
        <v>2899</v>
      </c>
      <c r="Q15" s="2942" t="s">
        <v>242</v>
      </c>
      <c r="R15" s="2942" t="s">
        <v>2900</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2901</v>
      </c>
      <c r="P16" s="2942" t="s">
        <v>227</v>
      </c>
      <c r="Q16" s="2942" t="s">
        <v>250</v>
      </c>
      <c r="R16" s="2942" t="s">
        <v>207</v>
      </c>
      <c r="S16" s="2942" t="s">
        <v>2902</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2903</v>
      </c>
      <c r="P17" s="2942" t="s">
        <v>2904</v>
      </c>
      <c r="Q17" s="2942" t="s">
        <v>256</v>
      </c>
      <c r="R17" s="2942" t="s">
        <v>2905</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2906</v>
      </c>
      <c r="P18" s="2942" t="s">
        <v>241</v>
      </c>
      <c r="Q18" s="2942" t="s">
        <v>2907</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2908</v>
      </c>
      <c r="P19" s="2942" t="s">
        <v>249</v>
      </c>
      <c r="Q19" s="2942" t="s">
        <v>2909</v>
      </c>
      <c r="R19" s="2942" t="s">
        <v>265</v>
      </c>
      <c r="S19" s="2942" t="s">
        <v>2910</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2911</v>
      </c>
      <c r="P20" s="2942" t="s">
        <v>2912</v>
      </c>
      <c r="Q20" s="2942" t="s">
        <v>290</v>
      </c>
      <c r="R20" s="2942" t="s">
        <v>2913</v>
      </c>
      <c r="S20" s="2942" t="s">
        <v>277</v>
      </c>
    </row>
    <row r="21" spans="1:19" ht="14.25" customHeight="1" thickBot="1">
      <c r="A21" s="2942" t="s">
        <v>184</v>
      </c>
      <c r="B21" s="2943" t="s">
        <v>208</v>
      </c>
      <c r="C21" s="2942">
        <v>32370</v>
      </c>
      <c r="D21" s="2942">
        <v>26730</v>
      </c>
      <c r="E21" s="2942">
        <v>26640</v>
      </c>
      <c r="F21" s="2942"/>
      <c r="G21" s="2942">
        <v>19440</v>
      </c>
      <c r="J21" s="2949" t="s">
        <v>2914</v>
      </c>
      <c r="K21" s="2943" t="s">
        <v>267</v>
      </c>
      <c r="L21" s="2942" t="s">
        <v>268</v>
      </c>
      <c r="M21" s="2942" t="s">
        <v>269</v>
      </c>
      <c r="N21" s="2942" t="s">
        <v>270</v>
      </c>
      <c r="O21" s="2942" t="s">
        <v>264</v>
      </c>
      <c r="P21" s="2942" t="s">
        <v>283</v>
      </c>
      <c r="Q21" s="2942" t="s">
        <v>293</v>
      </c>
      <c r="R21" s="2942" t="s">
        <v>2915</v>
      </c>
      <c r="S21" s="2949" t="s">
        <v>2916</v>
      </c>
    </row>
    <row r="22" spans="1:19" ht="14.25" customHeight="1">
      <c r="A22" s="2942" t="s">
        <v>184</v>
      </c>
      <c r="B22" s="2943" t="s">
        <v>2896</v>
      </c>
      <c r="C22" s="2942">
        <v>29830</v>
      </c>
      <c r="D22" s="2942">
        <v>27600</v>
      </c>
      <c r="E22" s="2942">
        <v>28150</v>
      </c>
      <c r="F22" s="2942"/>
      <c r="G22" s="2942">
        <v>20080</v>
      </c>
      <c r="K22" s="2943" t="s">
        <v>2917</v>
      </c>
      <c r="L22" s="2942" t="s">
        <v>272</v>
      </c>
      <c r="M22" s="2942" t="s">
        <v>273</v>
      </c>
      <c r="N22" s="2942" t="s">
        <v>274</v>
      </c>
      <c r="O22" s="2942" t="s">
        <v>2918</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2919</v>
      </c>
      <c r="L23" s="2942" t="s">
        <v>278</v>
      </c>
      <c r="M23" s="2942" t="s">
        <v>279</v>
      </c>
      <c r="N23" s="2942" t="s">
        <v>2920</v>
      </c>
      <c r="O23" s="2942" t="s">
        <v>2921</v>
      </c>
      <c r="P23" s="2942" t="s">
        <v>289</v>
      </c>
      <c r="Q23" s="2942" t="s">
        <v>298</v>
      </c>
      <c r="R23" s="2942" t="s">
        <v>2922</v>
      </c>
    </row>
    <row r="24" spans="1:19" ht="14.25" customHeight="1">
      <c r="A24" s="2942" t="s">
        <v>184</v>
      </c>
      <c r="B24" s="2943" t="s">
        <v>230</v>
      </c>
      <c r="C24" s="2942">
        <v>27930</v>
      </c>
      <c r="D24" s="2942">
        <v>32260</v>
      </c>
      <c r="E24" s="2942">
        <v>32120</v>
      </c>
      <c r="F24" s="2942"/>
      <c r="G24" s="2942">
        <v>23470</v>
      </c>
      <c r="K24" s="2943" t="s">
        <v>2923</v>
      </c>
      <c r="L24" s="2942" t="s">
        <v>281</v>
      </c>
      <c r="M24" s="2942" t="s">
        <v>282</v>
      </c>
      <c r="N24" s="2942" t="s">
        <v>2924</v>
      </c>
      <c r="O24" s="2942" t="s">
        <v>285</v>
      </c>
      <c r="P24" s="2942" t="s">
        <v>2925</v>
      </c>
      <c r="Q24" s="2951" t="s">
        <v>2926</v>
      </c>
      <c r="R24" s="2942" t="s">
        <v>2927</v>
      </c>
    </row>
    <row r="25" spans="1:19" ht="14.25" customHeight="1">
      <c r="A25" s="2942" t="s">
        <v>184</v>
      </c>
      <c r="B25" s="2943" t="s">
        <v>235</v>
      </c>
      <c r="C25" s="2942">
        <v>32230</v>
      </c>
      <c r="D25" s="2942">
        <v>29640</v>
      </c>
      <c r="E25" s="2942">
        <v>29510</v>
      </c>
      <c r="F25" s="2942"/>
      <c r="G25" s="2942">
        <v>21560</v>
      </c>
      <c r="K25" s="2943" t="s">
        <v>2928</v>
      </c>
      <c r="L25" s="2942" t="s">
        <v>2929</v>
      </c>
      <c r="M25" s="2942" t="s">
        <v>284</v>
      </c>
      <c r="N25" s="2942" t="s">
        <v>292</v>
      </c>
      <c r="O25" s="2942" t="s">
        <v>288</v>
      </c>
      <c r="P25" s="2942" t="s">
        <v>275</v>
      </c>
      <c r="Q25" s="2951" t="s">
        <v>271</v>
      </c>
      <c r="R25" s="2942" t="s">
        <v>2930</v>
      </c>
    </row>
    <row r="26" spans="1:19" ht="14.25" customHeight="1" thickBot="1">
      <c r="A26" s="2942" t="s">
        <v>184</v>
      </c>
      <c r="B26" s="2943" t="s">
        <v>244</v>
      </c>
      <c r="C26" s="2942">
        <v>31690</v>
      </c>
      <c r="D26" s="2942">
        <v>27650</v>
      </c>
      <c r="E26" s="2942">
        <v>28200</v>
      </c>
      <c r="F26" s="2942"/>
      <c r="G26" s="2942">
        <v>20110</v>
      </c>
      <c r="K26" s="2948" t="s">
        <v>2931</v>
      </c>
      <c r="L26" s="2942" t="s">
        <v>2932</v>
      </c>
      <c r="M26" s="2942" t="s">
        <v>287</v>
      </c>
      <c r="N26" s="2942" t="s">
        <v>294</v>
      </c>
      <c r="O26" s="2942" t="s">
        <v>2933</v>
      </c>
      <c r="P26" s="2942" t="s">
        <v>2934</v>
      </c>
      <c r="Q26" s="2951" t="s">
        <v>276</v>
      </c>
      <c r="R26" s="2942" t="s">
        <v>2935</v>
      </c>
    </row>
    <row r="27" spans="1:19" ht="14.25" customHeight="1">
      <c r="A27" s="2942" t="s">
        <v>184</v>
      </c>
      <c r="B27" s="2943" t="s">
        <v>251</v>
      </c>
      <c r="C27" s="2942">
        <v>29610</v>
      </c>
      <c r="D27" s="2942">
        <v>27770</v>
      </c>
      <c r="E27" s="2942">
        <v>28300</v>
      </c>
      <c r="F27" s="2942"/>
      <c r="G27" s="2942">
        <v>20210</v>
      </c>
      <c r="L27" s="2942" t="s">
        <v>2936</v>
      </c>
      <c r="M27" s="2942" t="s">
        <v>291</v>
      </c>
      <c r="N27" s="2942" t="s">
        <v>297</v>
      </c>
      <c r="O27" s="2942" t="s">
        <v>2937</v>
      </c>
      <c r="P27" s="2942" t="s">
        <v>2938</v>
      </c>
      <c r="Q27" s="2942" t="s">
        <v>2939</v>
      </c>
      <c r="R27" s="2942" t="s">
        <v>2940</v>
      </c>
    </row>
    <row r="28" spans="1:19" ht="14.25" customHeight="1">
      <c r="A28" s="2942" t="s">
        <v>184</v>
      </c>
      <c r="B28" s="2943" t="s">
        <v>259</v>
      </c>
      <c r="C28" s="2942"/>
      <c r="D28" s="2942">
        <v>31520</v>
      </c>
      <c r="E28" s="2942">
        <v>31410</v>
      </c>
      <c r="F28" s="2942"/>
      <c r="G28" s="2942">
        <v>22940</v>
      </c>
      <c r="L28" s="2942" t="s">
        <v>2941</v>
      </c>
      <c r="M28" s="2942" t="s">
        <v>2942</v>
      </c>
      <c r="N28" s="2942" t="s">
        <v>2943</v>
      </c>
      <c r="O28" s="2942" t="s">
        <v>2944</v>
      </c>
      <c r="P28" s="2942" t="s">
        <v>2945</v>
      </c>
      <c r="Q28" s="2942" t="s">
        <v>2946</v>
      </c>
      <c r="R28" s="2942" t="s">
        <v>2947</v>
      </c>
    </row>
    <row r="29" spans="1:19" ht="14.25" customHeight="1" thickBot="1">
      <c r="A29" s="2950" t="s">
        <v>184</v>
      </c>
      <c r="B29" s="2952" t="s">
        <v>2914</v>
      </c>
      <c r="C29" s="2953"/>
      <c r="D29" s="2953">
        <v>29460</v>
      </c>
      <c r="E29" s="2953">
        <v>28640</v>
      </c>
      <c r="F29" s="2953"/>
      <c r="G29" s="2953">
        <v>21430</v>
      </c>
      <c r="L29" s="2942" t="s">
        <v>2948</v>
      </c>
      <c r="M29" s="2942" t="s">
        <v>2949</v>
      </c>
      <c r="N29" s="2942" t="s">
        <v>2950</v>
      </c>
      <c r="O29" s="2942" t="s">
        <v>2951</v>
      </c>
      <c r="P29" s="2942" t="s">
        <v>2952</v>
      </c>
      <c r="Q29" s="2942" t="s">
        <v>2953</v>
      </c>
      <c r="R29" s="2942" t="s">
        <v>280</v>
      </c>
    </row>
    <row r="30" spans="1:19" ht="14.25" customHeight="1">
      <c r="A30" s="2947" t="s">
        <v>296</v>
      </c>
      <c r="B30" s="2938" t="s">
        <v>2847</v>
      </c>
      <c r="C30" s="2938">
        <v>26890</v>
      </c>
      <c r="D30" s="2938">
        <v>26770</v>
      </c>
      <c r="E30" s="2938">
        <v>25700</v>
      </c>
      <c r="F30" s="2938">
        <v>8180</v>
      </c>
      <c r="G30" s="2954">
        <v>18740</v>
      </c>
      <c r="L30" s="2942" t="s">
        <v>2954</v>
      </c>
      <c r="M30" s="2942" t="s">
        <v>2955</v>
      </c>
      <c r="N30" s="2942" t="s">
        <v>2956</v>
      </c>
      <c r="O30" s="2942" t="s">
        <v>2957</v>
      </c>
      <c r="P30" s="2942" t="s">
        <v>2958</v>
      </c>
      <c r="Q30" s="2942" t="s">
        <v>2959</v>
      </c>
      <c r="R30" s="2942" t="s">
        <v>2960</v>
      </c>
    </row>
    <row r="31" spans="1:19" ht="14.25" customHeight="1">
      <c r="A31" s="2942" t="s">
        <v>296</v>
      </c>
      <c r="B31" s="2943" t="s">
        <v>129</v>
      </c>
      <c r="C31" s="2942">
        <v>24550</v>
      </c>
      <c r="D31" s="2942">
        <v>23990</v>
      </c>
      <c r="E31" s="2942">
        <v>22930</v>
      </c>
      <c r="F31" s="2942">
        <v>7470</v>
      </c>
      <c r="G31" s="2955">
        <v>16790</v>
      </c>
      <c r="L31" s="2942" t="s">
        <v>2961</v>
      </c>
      <c r="M31" s="2942" t="s">
        <v>2962</v>
      </c>
      <c r="N31" s="2942" t="s">
        <v>2963</v>
      </c>
      <c r="O31" s="2942" t="s">
        <v>2964</v>
      </c>
      <c r="P31" s="2942" t="s">
        <v>2965</v>
      </c>
      <c r="Q31" s="2942" t="s">
        <v>2966</v>
      </c>
      <c r="R31" s="2942" t="s">
        <v>2967</v>
      </c>
    </row>
    <row r="32" spans="1:19" ht="14.25" customHeight="1" thickBot="1">
      <c r="A32" s="2942" t="s">
        <v>296</v>
      </c>
      <c r="B32" s="2943" t="s">
        <v>138</v>
      </c>
      <c r="C32" s="2942">
        <v>27210</v>
      </c>
      <c r="D32" s="2942">
        <v>23240</v>
      </c>
      <c r="E32" s="2942">
        <v>23260</v>
      </c>
      <c r="F32" s="2942">
        <v>7130</v>
      </c>
      <c r="G32" s="2955">
        <v>16270</v>
      </c>
      <c r="L32" s="2942" t="s">
        <v>2968</v>
      </c>
      <c r="M32" s="2942" t="s">
        <v>2969</v>
      </c>
      <c r="N32" s="2942" t="s">
        <v>300</v>
      </c>
      <c r="O32" s="2942" t="s">
        <v>2970</v>
      </c>
      <c r="P32" s="2942" t="s">
        <v>299</v>
      </c>
      <c r="Q32" s="2942" t="s">
        <v>2971</v>
      </c>
      <c r="R32" s="2949" t="s">
        <v>2972</v>
      </c>
    </row>
    <row r="33" spans="1:17" ht="14.25" customHeight="1" thickBot="1">
      <c r="A33" s="2942" t="s">
        <v>296</v>
      </c>
      <c r="B33" s="2943" t="s">
        <v>147</v>
      </c>
      <c r="C33" s="2942">
        <v>27300</v>
      </c>
      <c r="D33" s="2942">
        <v>22980</v>
      </c>
      <c r="E33" s="2942">
        <v>24260</v>
      </c>
      <c r="F33" s="2942">
        <v>5860</v>
      </c>
      <c r="G33" s="2955">
        <v>16090</v>
      </c>
      <c r="L33" s="2949" t="s">
        <v>2973</v>
      </c>
      <c r="M33" s="2942" t="s">
        <v>2974</v>
      </c>
      <c r="N33" s="2942" t="s">
        <v>301</v>
      </c>
      <c r="O33" s="2942" t="s">
        <v>2975</v>
      </c>
      <c r="P33" s="2942" t="s">
        <v>2976</v>
      </c>
      <c r="Q33" s="2942" t="s">
        <v>2977</v>
      </c>
    </row>
    <row r="34" spans="1:17" ht="14.25" customHeight="1">
      <c r="A34" s="2942" t="s">
        <v>296</v>
      </c>
      <c r="B34" s="2943" t="s">
        <v>156</v>
      </c>
      <c r="C34" s="2942">
        <v>23090</v>
      </c>
      <c r="D34" s="2942">
        <v>23390</v>
      </c>
      <c r="E34" s="2942">
        <v>23510</v>
      </c>
      <c r="F34" s="2942">
        <v>6700</v>
      </c>
      <c r="G34" s="2955">
        <v>16370</v>
      </c>
      <c r="M34" s="2942" t="s">
        <v>2978</v>
      </c>
      <c r="N34" s="2942" t="s">
        <v>302</v>
      </c>
      <c r="O34" s="2942" t="s">
        <v>2979</v>
      </c>
      <c r="P34" s="2942" t="s">
        <v>2980</v>
      </c>
      <c r="Q34" s="2942" t="s">
        <v>2981</v>
      </c>
    </row>
    <row r="35" spans="1:17" ht="14.25" customHeight="1">
      <c r="A35" s="2942" t="s">
        <v>296</v>
      </c>
      <c r="B35" s="2943" t="s">
        <v>163</v>
      </c>
      <c r="C35" s="2942">
        <v>27270</v>
      </c>
      <c r="D35" s="2942">
        <v>24270</v>
      </c>
      <c r="E35" s="2942">
        <v>24950</v>
      </c>
      <c r="F35" s="2942">
        <v>6600</v>
      </c>
      <c r="G35" s="2955">
        <v>16990</v>
      </c>
      <c r="M35" s="2942" t="s">
        <v>2982</v>
      </c>
      <c r="N35" s="2942" t="s">
        <v>2983</v>
      </c>
      <c r="O35" s="2942" t="s">
        <v>2984</v>
      </c>
      <c r="P35" s="2942" t="s">
        <v>2985</v>
      </c>
      <c r="Q35" s="2942" t="s">
        <v>2986</v>
      </c>
    </row>
    <row r="36" spans="1:17" ht="14.25" customHeight="1">
      <c r="A36" s="2942" t="s">
        <v>296</v>
      </c>
      <c r="B36" s="2943" t="s">
        <v>169</v>
      </c>
      <c r="C36" s="2942">
        <v>23490</v>
      </c>
      <c r="D36" s="2942">
        <v>23020</v>
      </c>
      <c r="E36" s="2942">
        <v>25230</v>
      </c>
      <c r="F36" s="2942">
        <v>6780</v>
      </c>
      <c r="G36" s="2955">
        <v>16120</v>
      </c>
      <c r="M36" s="2942" t="s">
        <v>2987</v>
      </c>
      <c r="N36" s="2942" t="s">
        <v>2988</v>
      </c>
      <c r="O36" s="2942" t="s">
        <v>2989</v>
      </c>
      <c r="P36" s="2942" t="s">
        <v>2990</v>
      </c>
      <c r="Q36" s="2942" t="s">
        <v>2991</v>
      </c>
    </row>
    <row r="37" spans="1:17" ht="14.25" customHeight="1">
      <c r="A37" s="2942" t="s">
        <v>296</v>
      </c>
      <c r="B37" s="2943" t="s">
        <v>176</v>
      </c>
      <c r="C37" s="2942">
        <v>24380</v>
      </c>
      <c r="D37" s="2942">
        <v>22240</v>
      </c>
      <c r="E37" s="2942">
        <v>25980</v>
      </c>
      <c r="F37" s="2942">
        <v>8160</v>
      </c>
      <c r="G37" s="2955">
        <v>15570</v>
      </c>
      <c r="M37" s="2942" t="s">
        <v>2992</v>
      </c>
      <c r="N37" s="2942" t="s">
        <v>2993</v>
      </c>
      <c r="O37" s="2942" t="s">
        <v>2994</v>
      </c>
      <c r="P37" s="2942" t="s">
        <v>2995</v>
      </c>
      <c r="Q37" s="2942" t="s">
        <v>2996</v>
      </c>
    </row>
    <row r="38" spans="1:17" ht="14.25" customHeight="1">
      <c r="A38" s="2942" t="s">
        <v>296</v>
      </c>
      <c r="B38" s="2943" t="s">
        <v>186</v>
      </c>
      <c r="C38" s="2942">
        <v>23120</v>
      </c>
      <c r="D38" s="2942">
        <v>24630</v>
      </c>
      <c r="E38" s="2942">
        <v>25030</v>
      </c>
      <c r="F38" s="2942">
        <v>7710</v>
      </c>
      <c r="G38" s="2955">
        <v>17240</v>
      </c>
      <c r="M38" s="2942" t="s">
        <v>2997</v>
      </c>
      <c r="N38" s="2942" t="s">
        <v>2998</v>
      </c>
      <c r="O38" s="2942" t="s">
        <v>2999</v>
      </c>
      <c r="P38" s="2942" t="s">
        <v>3000</v>
      </c>
      <c r="Q38" s="2942" t="s">
        <v>3001</v>
      </c>
    </row>
    <row r="39" spans="1:17" ht="14.25" customHeight="1">
      <c r="A39" s="2942" t="s">
        <v>296</v>
      </c>
      <c r="B39" s="2943" t="s">
        <v>195</v>
      </c>
      <c r="C39" s="2942">
        <v>22330</v>
      </c>
      <c r="D39" s="2942">
        <v>21140</v>
      </c>
      <c r="E39" s="2942">
        <v>23970</v>
      </c>
      <c r="F39" s="2942">
        <v>7940</v>
      </c>
      <c r="G39" s="2955">
        <v>14790</v>
      </c>
      <c r="M39" s="2942" t="s">
        <v>3002</v>
      </c>
      <c r="N39" s="2942" t="s">
        <v>3003</v>
      </c>
      <c r="O39" s="2942" t="s">
        <v>3004</v>
      </c>
      <c r="P39" s="2942" t="s">
        <v>3005</v>
      </c>
      <c r="Q39" s="2942" t="s">
        <v>3006</v>
      </c>
    </row>
    <row r="40" spans="1:17" ht="14.25" customHeight="1">
      <c r="A40" s="2942" t="s">
        <v>296</v>
      </c>
      <c r="B40" s="2943" t="s">
        <v>202</v>
      </c>
      <c r="C40" s="2942">
        <v>24740</v>
      </c>
      <c r="D40" s="2942">
        <v>24690</v>
      </c>
      <c r="E40" s="2942">
        <v>22610</v>
      </c>
      <c r="F40" s="2942"/>
      <c r="G40" s="2955">
        <v>17280</v>
      </c>
      <c r="M40" s="2942" t="s">
        <v>3007</v>
      </c>
      <c r="N40" s="2942" t="s">
        <v>3008</v>
      </c>
      <c r="O40" s="2942" t="s">
        <v>3009</v>
      </c>
      <c r="P40" s="2942" t="s">
        <v>3010</v>
      </c>
      <c r="Q40" s="2942" t="s">
        <v>3011</v>
      </c>
    </row>
    <row r="41" spans="1:17" ht="14.25" customHeight="1" thickBot="1">
      <c r="A41" s="2942" t="s">
        <v>296</v>
      </c>
      <c r="B41" s="2943" t="s">
        <v>209</v>
      </c>
      <c r="C41" s="2942">
        <v>21220</v>
      </c>
      <c r="D41" s="2942">
        <v>21120</v>
      </c>
      <c r="E41" s="2942">
        <v>22590</v>
      </c>
      <c r="F41" s="2942"/>
      <c r="G41" s="2955">
        <v>14780</v>
      </c>
      <c r="M41" s="2949" t="s">
        <v>3012</v>
      </c>
      <c r="N41" s="2942" t="s">
        <v>3013</v>
      </c>
      <c r="O41" s="2942" t="s">
        <v>3014</v>
      </c>
      <c r="P41" s="2942" t="s">
        <v>3015</v>
      </c>
      <c r="Q41" s="2942" t="s">
        <v>3016</v>
      </c>
    </row>
    <row r="42" spans="1:17" ht="14.25" customHeight="1">
      <c r="A42" s="2942" t="s">
        <v>296</v>
      </c>
      <c r="B42" s="2943" t="s">
        <v>215</v>
      </c>
      <c r="C42" s="2942">
        <v>24800</v>
      </c>
      <c r="D42" s="2942">
        <v>22280</v>
      </c>
      <c r="E42" s="2942">
        <v>24350</v>
      </c>
      <c r="F42" s="2942"/>
      <c r="G42" s="2955">
        <v>15590</v>
      </c>
      <c r="N42" s="2942" t="s">
        <v>3017</v>
      </c>
      <c r="O42" s="2942" t="s">
        <v>3018</v>
      </c>
      <c r="P42" s="2942" t="s">
        <v>3019</v>
      </c>
      <c r="Q42" s="2942" t="s">
        <v>3020</v>
      </c>
    </row>
    <row r="43" spans="1:17" ht="14.25" customHeight="1">
      <c r="A43" s="2942" t="s">
        <v>3021</v>
      </c>
      <c r="B43" s="2943" t="s">
        <v>223</v>
      </c>
      <c r="C43" s="2942">
        <v>21210</v>
      </c>
      <c r="D43" s="2942">
        <v>21160</v>
      </c>
      <c r="E43" s="2942">
        <v>22650</v>
      </c>
      <c r="F43" s="2942"/>
      <c r="G43" s="2955">
        <v>14800</v>
      </c>
      <c r="N43" s="2942" t="s">
        <v>3022</v>
      </c>
      <c r="O43" s="2942" t="s">
        <v>3023</v>
      </c>
      <c r="P43" s="2942" t="s">
        <v>3024</v>
      </c>
      <c r="Q43" s="2942" t="s">
        <v>3025</v>
      </c>
    </row>
    <row r="44" spans="1:17" ht="14.25" customHeight="1" thickBot="1">
      <c r="A44" s="2942" t="s">
        <v>296</v>
      </c>
      <c r="B44" s="2943" t="s">
        <v>231</v>
      </c>
      <c r="C44" s="2942">
        <v>22370</v>
      </c>
      <c r="D44" s="2942">
        <v>23140</v>
      </c>
      <c r="E44" s="2942">
        <v>25090</v>
      </c>
      <c r="F44" s="2942"/>
      <c r="G44" s="2955">
        <v>16190</v>
      </c>
      <c r="N44" s="2942" t="s">
        <v>3026</v>
      </c>
      <c r="O44" s="2942" t="s">
        <v>3027</v>
      </c>
      <c r="P44" s="2949" t="s">
        <v>3028</v>
      </c>
      <c r="Q44" s="2942" t="s">
        <v>3029</v>
      </c>
    </row>
    <row r="45" spans="1:17" ht="14.25" customHeight="1" thickBot="1">
      <c r="A45" s="2942" t="s">
        <v>296</v>
      </c>
      <c r="B45" s="2943" t="s">
        <v>236</v>
      </c>
      <c r="C45" s="2942">
        <v>21240</v>
      </c>
      <c r="D45" s="2942">
        <v>27050</v>
      </c>
      <c r="E45" s="2942">
        <v>28000</v>
      </c>
      <c r="F45" s="2942"/>
      <c r="G45" s="2955">
        <v>18940</v>
      </c>
      <c r="N45" s="2942" t="s">
        <v>3030</v>
      </c>
      <c r="O45" s="2949" t="s">
        <v>3031</v>
      </c>
      <c r="Q45" s="2942" t="s">
        <v>3032</v>
      </c>
    </row>
    <row r="46" spans="1:17" ht="14.25" customHeight="1">
      <c r="A46" s="2942" t="s">
        <v>296</v>
      </c>
      <c r="B46" s="2943" t="s">
        <v>245</v>
      </c>
      <c r="C46" s="2942">
        <v>23240</v>
      </c>
      <c r="D46" s="2942">
        <v>23000</v>
      </c>
      <c r="E46" s="2942">
        <v>24980</v>
      </c>
      <c r="F46" s="2942"/>
      <c r="G46" s="2955">
        <v>16100</v>
      </c>
      <c r="N46" s="2942" t="s">
        <v>3033</v>
      </c>
      <c r="Q46" s="2942" t="s">
        <v>3034</v>
      </c>
    </row>
    <row r="47" spans="1:17" ht="14.25" customHeight="1">
      <c r="A47" s="2942" t="s">
        <v>296</v>
      </c>
      <c r="B47" s="2943" t="s">
        <v>252</v>
      </c>
      <c r="C47" s="2942">
        <v>27150</v>
      </c>
      <c r="D47" s="2942">
        <v>23310</v>
      </c>
      <c r="E47" s="2942">
        <v>25150</v>
      </c>
      <c r="F47" s="2942"/>
      <c r="G47" s="2955">
        <v>16310</v>
      </c>
      <c r="N47" s="2942" t="s">
        <v>3035</v>
      </c>
      <c r="Q47" s="2942" t="s">
        <v>3036</v>
      </c>
    </row>
    <row r="48" spans="1:17" ht="14.25" customHeight="1">
      <c r="A48" s="2942" t="s">
        <v>296</v>
      </c>
      <c r="B48" s="2943" t="s">
        <v>260</v>
      </c>
      <c r="C48" s="2942">
        <v>23100</v>
      </c>
      <c r="D48" s="2942">
        <v>21110</v>
      </c>
      <c r="E48" s="2942">
        <v>23080</v>
      </c>
      <c r="F48" s="2942"/>
      <c r="G48" s="2955">
        <v>14780</v>
      </c>
      <c r="N48" s="2942" t="s">
        <v>3037</v>
      </c>
      <c r="Q48" s="2942" t="s">
        <v>3038</v>
      </c>
    </row>
    <row r="49" spans="1:17" ht="14.25" customHeight="1">
      <c r="A49" s="2942" t="s">
        <v>296</v>
      </c>
      <c r="B49" s="2943" t="s">
        <v>267</v>
      </c>
      <c r="C49" s="2942">
        <v>23400</v>
      </c>
      <c r="D49" s="2942">
        <v>22920</v>
      </c>
      <c r="E49" s="2942">
        <v>24900</v>
      </c>
      <c r="F49" s="2942"/>
      <c r="G49" s="2955">
        <v>16040</v>
      </c>
      <c r="N49" s="2942" t="s">
        <v>3039</v>
      </c>
      <c r="Q49" s="2942" t="s">
        <v>3040</v>
      </c>
    </row>
    <row r="50" spans="1:17" ht="14.25" customHeight="1">
      <c r="A50" s="2942" t="s">
        <v>296</v>
      </c>
      <c r="B50" s="2943" t="s">
        <v>2917</v>
      </c>
      <c r="C50" s="2942">
        <v>21200</v>
      </c>
      <c r="D50" s="2942">
        <v>26540</v>
      </c>
      <c r="E50" s="2942">
        <v>23200</v>
      </c>
      <c r="F50" s="2942"/>
      <c r="G50" s="2955">
        <v>18580</v>
      </c>
      <c r="N50" s="2942" t="s">
        <v>3041</v>
      </c>
      <c r="Q50" s="2943" t="s">
        <v>3042</v>
      </c>
    </row>
    <row r="51" spans="1:17" ht="14.25" customHeight="1" thickBot="1">
      <c r="A51" s="2942" t="s">
        <v>296</v>
      </c>
      <c r="B51" s="2943" t="s">
        <v>2919</v>
      </c>
      <c r="C51" s="2942">
        <v>23000</v>
      </c>
      <c r="D51" s="2942">
        <v>23460</v>
      </c>
      <c r="E51" s="2942">
        <v>25290</v>
      </c>
      <c r="F51" s="2942"/>
      <c r="G51" s="2955">
        <v>16420</v>
      </c>
      <c r="N51" s="2942" t="s">
        <v>3043</v>
      </c>
      <c r="Q51" s="2949" t="s">
        <v>3044</v>
      </c>
    </row>
    <row r="52" spans="1:17" ht="14.25" customHeight="1">
      <c r="A52" s="2942" t="s">
        <v>296</v>
      </c>
      <c r="B52" s="2943" t="s">
        <v>2923</v>
      </c>
      <c r="C52" s="2942">
        <v>26660</v>
      </c>
      <c r="D52" s="2942">
        <v>22350</v>
      </c>
      <c r="E52" s="2942">
        <v>22920</v>
      </c>
      <c r="F52" s="2942"/>
      <c r="G52" s="2955">
        <v>15640</v>
      </c>
      <c r="N52" s="2942" t="s">
        <v>3045</v>
      </c>
    </row>
    <row r="53" spans="1:17" ht="14.25" customHeight="1">
      <c r="A53" s="2942" t="s">
        <v>296</v>
      </c>
      <c r="B53" s="2943" t="s">
        <v>2928</v>
      </c>
      <c r="C53" s="2942">
        <v>23580</v>
      </c>
      <c r="D53" s="2942"/>
      <c r="E53" s="2942">
        <v>24280</v>
      </c>
      <c r="F53" s="2942"/>
      <c r="G53" s="2955"/>
      <c r="N53" s="2942" t="s">
        <v>3046</v>
      </c>
    </row>
    <row r="54" spans="1:17" ht="14.25" customHeight="1" thickBot="1">
      <c r="A54" s="2956" t="s">
        <v>296</v>
      </c>
      <c r="B54" s="2948" t="s">
        <v>2931</v>
      </c>
      <c r="C54" s="2949">
        <v>22460</v>
      </c>
      <c r="D54" s="2949"/>
      <c r="E54" s="2949"/>
      <c r="F54" s="2949"/>
      <c r="G54" s="2957"/>
      <c r="N54" s="2942" t="s">
        <v>3047</v>
      </c>
    </row>
    <row r="55" spans="1:17" ht="14.25" customHeight="1">
      <c r="A55" s="2947" t="s">
        <v>110</v>
      </c>
      <c r="B55" s="2938" t="s">
        <v>3048</v>
      </c>
      <c r="C55" s="2942">
        <v>21970</v>
      </c>
      <c r="D55" s="2942">
        <v>20370</v>
      </c>
      <c r="E55" s="2942">
        <v>20180</v>
      </c>
      <c r="F55" s="2942">
        <v>5730</v>
      </c>
      <c r="G55" s="2942">
        <v>13820</v>
      </c>
      <c r="N55" s="2942" t="s">
        <v>3049</v>
      </c>
    </row>
    <row r="56" spans="1:17" ht="14.25" customHeight="1">
      <c r="A56" s="2942" t="s">
        <v>110</v>
      </c>
      <c r="B56" s="2942" t="s">
        <v>130</v>
      </c>
      <c r="C56" s="2942">
        <v>20470</v>
      </c>
      <c r="D56" s="2942">
        <v>20700</v>
      </c>
      <c r="E56" s="2942">
        <v>20380</v>
      </c>
      <c r="F56" s="2942">
        <v>4760</v>
      </c>
      <c r="G56" s="2942">
        <v>14050</v>
      </c>
      <c r="N56" s="2942" t="s">
        <v>3050</v>
      </c>
    </row>
    <row r="57" spans="1:17" ht="14.25" customHeight="1">
      <c r="A57" s="2942" t="s">
        <v>110</v>
      </c>
      <c r="B57" s="2942" t="s">
        <v>139</v>
      </c>
      <c r="C57" s="2942">
        <v>20790</v>
      </c>
      <c r="D57" s="2942">
        <v>21370</v>
      </c>
      <c r="E57" s="2942">
        <v>20890</v>
      </c>
      <c r="F57" s="2942">
        <v>4910</v>
      </c>
      <c r="G57" s="2942">
        <v>14510</v>
      </c>
      <c r="N57" s="2942" t="s">
        <v>3051</v>
      </c>
    </row>
    <row r="58" spans="1:17" ht="14.25" customHeight="1">
      <c r="A58" s="2942" t="s">
        <v>110</v>
      </c>
      <c r="B58" s="2942" t="s">
        <v>148</v>
      </c>
      <c r="C58" s="2942">
        <v>21460</v>
      </c>
      <c r="D58" s="2942">
        <v>20920</v>
      </c>
      <c r="E58" s="2942">
        <v>23410</v>
      </c>
      <c r="F58" s="2942">
        <v>5100</v>
      </c>
      <c r="G58" s="2942">
        <v>14200</v>
      </c>
      <c r="N58" s="2942" t="s">
        <v>3052</v>
      </c>
    </row>
    <row r="59" spans="1:17" ht="14.25" customHeight="1">
      <c r="A59" s="2942" t="s">
        <v>110</v>
      </c>
      <c r="B59" s="2942" t="s">
        <v>157</v>
      </c>
      <c r="C59" s="2942">
        <v>21000</v>
      </c>
      <c r="D59" s="2942">
        <v>21550</v>
      </c>
      <c r="E59" s="2942">
        <v>21150</v>
      </c>
      <c r="F59" s="2942">
        <v>5250</v>
      </c>
      <c r="G59" s="2942">
        <v>14630</v>
      </c>
      <c r="N59" s="2942" t="s">
        <v>3053</v>
      </c>
    </row>
    <row r="60" spans="1:17" ht="14.25" customHeight="1">
      <c r="A60" s="2942" t="s">
        <v>110</v>
      </c>
      <c r="B60" s="2942" t="s">
        <v>164</v>
      </c>
      <c r="C60" s="2942">
        <v>21640</v>
      </c>
      <c r="D60" s="2942">
        <v>21260</v>
      </c>
      <c r="E60" s="2942">
        <v>24040</v>
      </c>
      <c r="F60" s="2942">
        <v>4470</v>
      </c>
      <c r="G60" s="2942">
        <v>14430</v>
      </c>
      <c r="N60" s="2942" t="s">
        <v>3054</v>
      </c>
    </row>
    <row r="61" spans="1:17" ht="14.25" customHeight="1">
      <c r="A61" s="2942" t="s">
        <v>110</v>
      </c>
      <c r="B61" s="2942" t="s">
        <v>170</v>
      </c>
      <c r="C61" s="2942">
        <v>21330</v>
      </c>
      <c r="D61" s="2942">
        <v>18640</v>
      </c>
      <c r="E61" s="2942">
        <v>21190</v>
      </c>
      <c r="F61" s="2942">
        <v>4180</v>
      </c>
      <c r="G61" s="2942">
        <v>12650</v>
      </c>
      <c r="N61" s="2942" t="s">
        <v>3055</v>
      </c>
    </row>
    <row r="62" spans="1:17" ht="14.25" customHeight="1">
      <c r="A62" s="2942" t="s">
        <v>110</v>
      </c>
      <c r="B62" s="2942" t="s">
        <v>177</v>
      </c>
      <c r="C62" s="2942">
        <v>18710</v>
      </c>
      <c r="D62" s="2942">
        <v>19400</v>
      </c>
      <c r="E62" s="2942">
        <v>23750</v>
      </c>
      <c r="F62" s="2942">
        <v>4860</v>
      </c>
      <c r="G62" s="2942">
        <v>13170</v>
      </c>
      <c r="N62" s="2942" t="s">
        <v>3056</v>
      </c>
    </row>
    <row r="63" spans="1:17" ht="14.25" customHeight="1">
      <c r="A63" s="2942" t="s">
        <v>110</v>
      </c>
      <c r="B63" s="2942" t="s">
        <v>187</v>
      </c>
      <c r="C63" s="2942">
        <v>19480</v>
      </c>
      <c r="D63" s="2942">
        <v>16830</v>
      </c>
      <c r="E63" s="2942">
        <v>21590</v>
      </c>
      <c r="F63" s="2942">
        <v>4560</v>
      </c>
      <c r="G63" s="2942">
        <v>11420</v>
      </c>
      <c r="N63" s="2942" t="s">
        <v>3057</v>
      </c>
    </row>
    <row r="64" spans="1:17" ht="14.25" customHeight="1" thickBot="1">
      <c r="A64" s="2942" t="s">
        <v>110</v>
      </c>
      <c r="B64" s="2942" t="s">
        <v>196</v>
      </c>
      <c r="C64" s="2942">
        <v>16920</v>
      </c>
      <c r="D64" s="2942">
        <v>19190</v>
      </c>
      <c r="E64" s="2942">
        <v>22200</v>
      </c>
      <c r="F64" s="2942">
        <v>4390</v>
      </c>
      <c r="G64" s="2942">
        <v>13030</v>
      </c>
      <c r="N64" s="2949" t="s">
        <v>3058</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2929</v>
      </c>
      <c r="C78" s="2942">
        <v>19820</v>
      </c>
      <c r="D78" s="2942">
        <v>19780</v>
      </c>
      <c r="E78" s="2942">
        <v>18560</v>
      </c>
      <c r="F78" s="2942"/>
      <c r="G78" s="2942">
        <v>13430</v>
      </c>
    </row>
    <row r="79" spans="1:7" s="2776" customFormat="1" ht="14.25" customHeight="1">
      <c r="A79" s="2942" t="s">
        <v>110</v>
      </c>
      <c r="B79" s="2942" t="s">
        <v>2932</v>
      </c>
      <c r="C79" s="2942">
        <v>21660</v>
      </c>
      <c r="D79" s="2942">
        <v>18000</v>
      </c>
      <c r="E79" s="2942">
        <v>22570</v>
      </c>
      <c r="F79" s="2942"/>
      <c r="G79" s="2942">
        <v>12220</v>
      </c>
    </row>
    <row r="80" spans="1:7" s="2776" customFormat="1" ht="14.25" customHeight="1">
      <c r="A80" s="2942" t="s">
        <v>110</v>
      </c>
      <c r="B80" s="2942" t="s">
        <v>2936</v>
      </c>
      <c r="C80" s="2942">
        <v>19850</v>
      </c>
      <c r="D80" s="2942"/>
      <c r="E80" s="2942">
        <v>21700</v>
      </c>
      <c r="F80" s="2942"/>
      <c r="G80" s="2942"/>
    </row>
    <row r="81" spans="1:7" s="2776" customFormat="1" ht="14.25" customHeight="1">
      <c r="A81" s="2942" t="s">
        <v>110</v>
      </c>
      <c r="B81" s="2942" t="s">
        <v>2941</v>
      </c>
      <c r="C81" s="2942">
        <v>18080</v>
      </c>
      <c r="D81" s="2942"/>
      <c r="E81" s="2942">
        <v>20900</v>
      </c>
      <c r="F81" s="2942"/>
      <c r="G81" s="2942"/>
    </row>
    <row r="82" spans="1:7" s="2776" customFormat="1" ht="14.25" customHeight="1">
      <c r="A82" s="2942" t="s">
        <v>110</v>
      </c>
      <c r="B82" s="2942" t="s">
        <v>2948</v>
      </c>
      <c r="C82" s="2942"/>
      <c r="D82" s="2942"/>
      <c r="E82" s="2942">
        <v>20840</v>
      </c>
      <c r="F82" s="2942"/>
      <c r="G82" s="2942"/>
    </row>
    <row r="83" spans="1:7" s="2776" customFormat="1" ht="14.25" customHeight="1">
      <c r="A83" s="2942" t="s">
        <v>110</v>
      </c>
      <c r="B83" s="2942" t="s">
        <v>3059</v>
      </c>
      <c r="C83" s="2942"/>
      <c r="D83" s="2942"/>
      <c r="E83" s="2942"/>
      <c r="F83" s="2942">
        <v>4770</v>
      </c>
      <c r="G83" s="2942"/>
    </row>
    <row r="84" spans="1:7" s="2776" customFormat="1" ht="14.25" customHeight="1">
      <c r="A84" s="2942" t="s">
        <v>110</v>
      </c>
      <c r="B84" s="2942" t="s">
        <v>3060</v>
      </c>
      <c r="C84" s="2942"/>
      <c r="D84" s="2942"/>
      <c r="E84" s="2942"/>
      <c r="F84" s="2942">
        <v>4600</v>
      </c>
      <c r="G84" s="2942"/>
    </row>
    <row r="85" spans="1:7" s="2776" customFormat="1" ht="14.25" customHeight="1">
      <c r="A85" s="2942" t="s">
        <v>110</v>
      </c>
      <c r="B85" s="2942" t="s">
        <v>3061</v>
      </c>
      <c r="C85" s="2942"/>
      <c r="D85" s="2942"/>
      <c r="E85" s="2942"/>
      <c r="F85" s="2942">
        <v>4680</v>
      </c>
      <c r="G85" s="2942"/>
    </row>
    <row r="86" spans="1:7" s="2776" customFormat="1" ht="14.25" customHeight="1" thickBot="1">
      <c r="A86" s="2950" t="s">
        <v>110</v>
      </c>
      <c r="B86" s="2952" t="s">
        <v>3062</v>
      </c>
      <c r="C86" s="2953">
        <v>16610</v>
      </c>
      <c r="D86" s="2953">
        <v>16540</v>
      </c>
      <c r="E86" s="2953">
        <v>18850</v>
      </c>
      <c r="F86" s="2953"/>
      <c r="G86" s="2953">
        <v>11220</v>
      </c>
    </row>
    <row r="87" spans="1:7" s="2776" customFormat="1" ht="14.25" customHeight="1">
      <c r="A87" s="2947" t="s">
        <v>303</v>
      </c>
      <c r="B87" s="2938" t="s">
        <v>3063</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2942</v>
      </c>
      <c r="C113" s="2942">
        <v>15520</v>
      </c>
      <c r="D113" s="2942">
        <v>15450</v>
      </c>
      <c r="E113" s="2942"/>
      <c r="F113" s="2942"/>
      <c r="G113" s="2955">
        <v>10210</v>
      </c>
    </row>
    <row r="114" spans="1:7" s="2776" customFormat="1" ht="14.25" customHeight="1">
      <c r="A114" s="2942" t="s">
        <v>303</v>
      </c>
      <c r="B114" s="2942" t="s">
        <v>2949</v>
      </c>
      <c r="C114" s="2942">
        <v>13110</v>
      </c>
      <c r="D114" s="2942">
        <v>13050</v>
      </c>
      <c r="E114" s="2942"/>
      <c r="F114" s="2942"/>
      <c r="G114" s="2955">
        <v>8620</v>
      </c>
    </row>
    <row r="115" spans="1:7" s="2776" customFormat="1" ht="14.25" customHeight="1">
      <c r="A115" s="2942" t="s">
        <v>303</v>
      </c>
      <c r="B115" s="2942" t="s">
        <v>2955</v>
      </c>
      <c r="C115" s="2942">
        <v>12460</v>
      </c>
      <c r="D115" s="2942">
        <v>12390</v>
      </c>
      <c r="E115" s="2942"/>
      <c r="F115" s="2942"/>
      <c r="G115" s="2955">
        <v>8190</v>
      </c>
    </row>
    <row r="116" spans="1:7" s="2776" customFormat="1" ht="14.25" customHeight="1">
      <c r="A116" s="2942" t="s">
        <v>303</v>
      </c>
      <c r="B116" s="2942" t="s">
        <v>2962</v>
      </c>
      <c r="C116" s="2942">
        <v>13580</v>
      </c>
      <c r="D116" s="2942">
        <v>13520</v>
      </c>
      <c r="E116" s="2942"/>
      <c r="F116" s="2942"/>
      <c r="G116" s="2955">
        <v>8930</v>
      </c>
    </row>
    <row r="117" spans="1:7" s="2776" customFormat="1" ht="14.25" customHeight="1">
      <c r="A117" s="2942" t="s">
        <v>303</v>
      </c>
      <c r="B117" s="2942" t="s">
        <v>2969</v>
      </c>
      <c r="C117" s="2942">
        <v>17120</v>
      </c>
      <c r="D117" s="2942">
        <v>17040</v>
      </c>
      <c r="E117" s="2942"/>
      <c r="F117" s="2942"/>
      <c r="G117" s="2955">
        <v>11260</v>
      </c>
    </row>
    <row r="118" spans="1:7" s="2776" customFormat="1" ht="14.25" customHeight="1">
      <c r="A118" s="2942" t="s">
        <v>303</v>
      </c>
      <c r="B118" s="2942" t="s">
        <v>2974</v>
      </c>
      <c r="C118" s="2942">
        <v>14860</v>
      </c>
      <c r="D118" s="2942">
        <v>14790</v>
      </c>
      <c r="E118" s="2942"/>
      <c r="F118" s="2942"/>
      <c r="G118" s="2955">
        <v>9780</v>
      </c>
    </row>
    <row r="119" spans="1:7" s="2776" customFormat="1" ht="14.25" customHeight="1">
      <c r="A119" s="2942" t="s">
        <v>303</v>
      </c>
      <c r="B119" s="2942" t="s">
        <v>2978</v>
      </c>
      <c r="C119" s="2942">
        <v>16470</v>
      </c>
      <c r="D119" s="2942">
        <v>16400</v>
      </c>
      <c r="E119" s="2942"/>
      <c r="F119" s="2942"/>
      <c r="G119" s="2955">
        <v>10840</v>
      </c>
    </row>
    <row r="120" spans="1:7" s="2776" customFormat="1" ht="14.25" customHeight="1">
      <c r="A120" s="2942" t="s">
        <v>303</v>
      </c>
      <c r="B120" s="2942" t="s">
        <v>3064</v>
      </c>
      <c r="C120" s="2942"/>
      <c r="D120" s="2942"/>
      <c r="E120" s="2942"/>
      <c r="F120" s="2942">
        <v>4160</v>
      </c>
      <c r="G120" s="2955"/>
    </row>
    <row r="121" spans="1:7" s="2776" customFormat="1" ht="14.25" customHeight="1">
      <c r="A121" s="2942" t="s">
        <v>303</v>
      </c>
      <c r="B121" s="2942" t="s">
        <v>3065</v>
      </c>
      <c r="C121" s="2942"/>
      <c r="D121" s="2942"/>
      <c r="E121" s="2942"/>
      <c r="F121" s="2942">
        <v>3880</v>
      </c>
      <c r="G121" s="2955"/>
    </row>
    <row r="122" spans="1:7" s="2776" customFormat="1" ht="14.25" customHeight="1">
      <c r="A122" s="2942" t="s">
        <v>303</v>
      </c>
      <c r="B122" s="2942" t="s">
        <v>3066</v>
      </c>
      <c r="C122" s="2942">
        <v>13750</v>
      </c>
      <c r="D122" s="2942">
        <v>13680</v>
      </c>
      <c r="E122" s="2942">
        <v>16460</v>
      </c>
      <c r="F122" s="2942">
        <v>2880</v>
      </c>
      <c r="G122" s="2955">
        <v>9040</v>
      </c>
    </row>
    <row r="123" spans="1:7" s="2776" customFormat="1" ht="14.25" customHeight="1">
      <c r="A123" s="2942" t="s">
        <v>303</v>
      </c>
      <c r="B123" s="2942" t="s">
        <v>2997</v>
      </c>
      <c r="C123" s="2942">
        <v>13590</v>
      </c>
      <c r="D123" s="2942">
        <v>13520</v>
      </c>
      <c r="E123" s="2942">
        <v>16290</v>
      </c>
      <c r="F123" s="2942">
        <v>2790</v>
      </c>
      <c r="G123" s="2955">
        <v>8930</v>
      </c>
    </row>
    <row r="124" spans="1:7" s="2776" customFormat="1" ht="14.25" customHeight="1">
      <c r="A124" s="2942" t="s">
        <v>303</v>
      </c>
      <c r="B124" s="2942" t="s">
        <v>3002</v>
      </c>
      <c r="C124" s="2942">
        <v>13400</v>
      </c>
      <c r="D124" s="2942">
        <v>13320</v>
      </c>
      <c r="E124" s="2942">
        <v>16100</v>
      </c>
      <c r="F124" s="2942">
        <v>2320</v>
      </c>
      <c r="G124" s="2955">
        <v>8800</v>
      </c>
    </row>
    <row r="125" spans="1:7" s="2776" customFormat="1" ht="14.25" customHeight="1">
      <c r="A125" s="2942" t="s">
        <v>303</v>
      </c>
      <c r="B125" s="2942" t="s">
        <v>3007</v>
      </c>
      <c r="C125" s="2942">
        <v>12860</v>
      </c>
      <c r="D125" s="2942">
        <v>12790</v>
      </c>
      <c r="E125" s="2942">
        <v>15370</v>
      </c>
      <c r="F125" s="2942">
        <v>2280</v>
      </c>
      <c r="G125" s="2955">
        <v>8450</v>
      </c>
    </row>
    <row r="126" spans="1:7" s="2776" customFormat="1" ht="14.25" customHeight="1" thickBot="1">
      <c r="A126" s="2956" t="s">
        <v>303</v>
      </c>
      <c r="B126" s="2949" t="s">
        <v>3012</v>
      </c>
      <c r="C126" s="2949">
        <v>12960</v>
      </c>
      <c r="D126" s="2949">
        <v>12890</v>
      </c>
      <c r="E126" s="2949">
        <v>15530</v>
      </c>
      <c r="F126" s="2949">
        <v>2910</v>
      </c>
      <c r="G126" s="2957">
        <v>8520</v>
      </c>
    </row>
    <row r="127" spans="1:7" s="2776" customFormat="1" ht="14.25" customHeight="1">
      <c r="A127" s="2947" t="s">
        <v>29</v>
      </c>
      <c r="B127" s="2938" t="s">
        <v>3067</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3068</v>
      </c>
      <c r="C148" s="2942">
        <v>10370</v>
      </c>
      <c r="D148" s="2942">
        <v>10310</v>
      </c>
      <c r="E148" s="2942">
        <v>12970</v>
      </c>
      <c r="F148" s="2942"/>
      <c r="G148" s="2942">
        <v>6630</v>
      </c>
    </row>
    <row r="149" spans="1:7" s="2776" customFormat="1" ht="14.25" customHeight="1">
      <c r="A149" s="2942" t="s">
        <v>29</v>
      </c>
      <c r="B149" s="2942" t="s">
        <v>3069</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2943</v>
      </c>
      <c r="C153" s="2942">
        <v>10880</v>
      </c>
      <c r="D153" s="2942">
        <v>10820</v>
      </c>
      <c r="E153" s="2942">
        <v>13660</v>
      </c>
      <c r="F153" s="2942">
        <v>2260</v>
      </c>
      <c r="G153" s="2942">
        <v>6970</v>
      </c>
    </row>
    <row r="154" spans="1:7" s="2776" customFormat="1" ht="14.25" customHeight="1">
      <c r="A154" s="2942" t="s">
        <v>29</v>
      </c>
      <c r="B154" s="2942" t="s">
        <v>3070</v>
      </c>
      <c r="C154" s="2942">
        <v>11220</v>
      </c>
      <c r="D154" s="2942">
        <v>11160</v>
      </c>
      <c r="E154" s="2942">
        <v>14130</v>
      </c>
      <c r="F154" s="2942">
        <v>2230</v>
      </c>
      <c r="G154" s="2942">
        <v>7180</v>
      </c>
    </row>
    <row r="155" spans="1:7" s="2776" customFormat="1" ht="14.25" customHeight="1">
      <c r="A155" s="2942" t="s">
        <v>29</v>
      </c>
      <c r="B155" s="2942" t="s">
        <v>2956</v>
      </c>
      <c r="C155" s="2942">
        <v>10430</v>
      </c>
      <c r="D155" s="2942">
        <v>10380</v>
      </c>
      <c r="E155" s="2942">
        <v>13140</v>
      </c>
      <c r="F155" s="2942">
        <v>2080</v>
      </c>
      <c r="G155" s="2942">
        <v>6650</v>
      </c>
    </row>
    <row r="156" spans="1:7" s="2776" customFormat="1" ht="14.25" customHeight="1">
      <c r="A156" s="2942" t="s">
        <v>29</v>
      </c>
      <c r="B156" s="2942" t="s">
        <v>3071</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3072</v>
      </c>
      <c r="C160" s="2942">
        <v>11180</v>
      </c>
      <c r="D160" s="2942">
        <v>11140</v>
      </c>
      <c r="E160" s="2942">
        <v>14050</v>
      </c>
      <c r="F160" s="2942">
        <v>2270</v>
      </c>
      <c r="G160" s="2942">
        <v>7170</v>
      </c>
    </row>
    <row r="161" spans="1:7" s="2776" customFormat="1" ht="14.25" customHeight="1">
      <c r="A161" s="2942" t="s">
        <v>29</v>
      </c>
      <c r="B161" s="2942" t="s">
        <v>2988</v>
      </c>
      <c r="C161" s="2942">
        <v>11160</v>
      </c>
      <c r="D161" s="2942">
        <v>11120</v>
      </c>
      <c r="E161" s="2942">
        <v>14020</v>
      </c>
      <c r="F161" s="2942">
        <v>2150</v>
      </c>
      <c r="G161" s="2942">
        <v>7160</v>
      </c>
    </row>
    <row r="162" spans="1:7" s="2776" customFormat="1" ht="14.25" customHeight="1">
      <c r="A162" s="2942" t="s">
        <v>29</v>
      </c>
      <c r="B162" s="2942" t="s">
        <v>2993</v>
      </c>
      <c r="C162" s="2942">
        <v>9620</v>
      </c>
      <c r="D162" s="2942">
        <v>9570</v>
      </c>
      <c r="E162" s="2942">
        <v>12320</v>
      </c>
      <c r="F162" s="2942">
        <v>2010</v>
      </c>
      <c r="G162" s="2942">
        <v>6160</v>
      </c>
    </row>
    <row r="163" spans="1:7" s="2776" customFormat="1" ht="14.25" customHeight="1">
      <c r="A163" s="2942" t="s">
        <v>29</v>
      </c>
      <c r="B163" s="2942" t="s">
        <v>2998</v>
      </c>
      <c r="C163" s="2942">
        <v>9320</v>
      </c>
      <c r="D163" s="2942">
        <v>9270</v>
      </c>
      <c r="E163" s="2942">
        <v>11790</v>
      </c>
      <c r="F163" s="2942">
        <v>1920</v>
      </c>
      <c r="G163" s="2942">
        <v>5960</v>
      </c>
    </row>
    <row r="164" spans="1:7" s="2776" customFormat="1" ht="14.25" customHeight="1">
      <c r="A164" s="2942" t="s">
        <v>29</v>
      </c>
      <c r="B164" s="2942" t="s">
        <v>3003</v>
      </c>
      <c r="C164" s="2942"/>
      <c r="D164" s="2942"/>
      <c r="E164" s="2942"/>
      <c r="F164" s="2942">
        <v>1980</v>
      </c>
      <c r="G164" s="2942"/>
    </row>
    <row r="165" spans="1:7" s="2776" customFormat="1" ht="14.25" customHeight="1">
      <c r="A165" s="2942" t="s">
        <v>29</v>
      </c>
      <c r="B165" s="2942" t="s">
        <v>3073</v>
      </c>
      <c r="C165" s="2942">
        <v>11060</v>
      </c>
      <c r="D165" s="2942">
        <v>11030</v>
      </c>
      <c r="E165" s="2942">
        <v>13850</v>
      </c>
      <c r="F165" s="2942">
        <v>2170</v>
      </c>
      <c r="G165" s="2942">
        <v>7090</v>
      </c>
    </row>
    <row r="166" spans="1:7" s="2776" customFormat="1" ht="14.25" customHeight="1">
      <c r="A166" s="2942" t="s">
        <v>29</v>
      </c>
      <c r="B166" s="2942" t="s">
        <v>3013</v>
      </c>
      <c r="C166" s="2942">
        <v>11050</v>
      </c>
      <c r="D166" s="2942">
        <v>11010</v>
      </c>
      <c r="E166" s="2942">
        <v>13920</v>
      </c>
      <c r="F166" s="2942">
        <v>2140</v>
      </c>
      <c r="G166" s="2942">
        <v>7080</v>
      </c>
    </row>
    <row r="167" spans="1:7" s="2776" customFormat="1" ht="14.25" customHeight="1">
      <c r="A167" s="2942" t="s">
        <v>29</v>
      </c>
      <c r="B167" s="2942" t="s">
        <v>3017</v>
      </c>
      <c r="C167" s="2942">
        <v>10930</v>
      </c>
      <c r="D167" s="2942">
        <v>10890</v>
      </c>
      <c r="E167" s="2942">
        <v>13790</v>
      </c>
      <c r="F167" s="2942">
        <v>2010</v>
      </c>
      <c r="G167" s="2942">
        <v>7000</v>
      </c>
    </row>
    <row r="168" spans="1:7" s="2776" customFormat="1" ht="14.25" customHeight="1">
      <c r="A168" s="2942" t="s">
        <v>29</v>
      </c>
      <c r="B168" s="2942" t="s">
        <v>3022</v>
      </c>
      <c r="C168" s="2942">
        <v>9420</v>
      </c>
      <c r="D168" s="2942">
        <v>9380</v>
      </c>
      <c r="E168" s="2942">
        <v>11970</v>
      </c>
      <c r="F168" s="2942"/>
      <c r="G168" s="2942">
        <v>6040</v>
      </c>
    </row>
    <row r="169" spans="1:7" s="2776" customFormat="1" ht="14.25" customHeight="1">
      <c r="A169" s="2942" t="s">
        <v>29</v>
      </c>
      <c r="B169" s="2942" t="s">
        <v>3074</v>
      </c>
      <c r="C169" s="2942"/>
      <c r="D169" s="2942"/>
      <c r="E169" s="2942"/>
      <c r="F169" s="2942">
        <v>2880</v>
      </c>
      <c r="G169" s="2942"/>
    </row>
    <row r="170" spans="1:7" s="2776" customFormat="1" ht="14.25" customHeight="1">
      <c r="A170" s="2942" t="s">
        <v>29</v>
      </c>
      <c r="B170" s="2942" t="s">
        <v>3030</v>
      </c>
      <c r="C170" s="2942"/>
      <c r="D170" s="2942"/>
      <c r="E170" s="2942"/>
      <c r="F170" s="2942">
        <v>2880</v>
      </c>
      <c r="G170" s="2942"/>
    </row>
    <row r="171" spans="1:7" s="2776" customFormat="1" ht="14.25" customHeight="1">
      <c r="A171" s="2942" t="s">
        <v>29</v>
      </c>
      <c r="B171" s="2942" t="s">
        <v>3033</v>
      </c>
      <c r="C171" s="2942"/>
      <c r="D171" s="2942"/>
      <c r="E171" s="2942"/>
      <c r="F171" s="2942">
        <v>2880</v>
      </c>
      <c r="G171" s="2942"/>
    </row>
    <row r="172" spans="1:7" s="2776" customFormat="1" ht="14.25" customHeight="1">
      <c r="A172" s="2942" t="s">
        <v>29</v>
      </c>
      <c r="B172" s="2942" t="s">
        <v>3035</v>
      </c>
      <c r="C172" s="2942"/>
      <c r="D172" s="2942"/>
      <c r="E172" s="2942"/>
      <c r="F172" s="2942">
        <v>2880</v>
      </c>
      <c r="G172" s="2942"/>
    </row>
    <row r="173" spans="1:7" s="2776" customFormat="1" ht="14.25" customHeight="1">
      <c r="A173" s="2942" t="s">
        <v>29</v>
      </c>
      <c r="B173" s="2942" t="s">
        <v>3037</v>
      </c>
      <c r="C173" s="2942"/>
      <c r="D173" s="2942"/>
      <c r="E173" s="2942"/>
      <c r="F173" s="2942">
        <v>2150</v>
      </c>
      <c r="G173" s="2942"/>
    </row>
    <row r="174" spans="1:7" s="2776" customFormat="1" ht="14.25" customHeight="1">
      <c r="A174" s="2942" t="s">
        <v>29</v>
      </c>
      <c r="B174" s="2942" t="s">
        <v>3039</v>
      </c>
      <c r="C174" s="2942"/>
      <c r="D174" s="2942"/>
      <c r="E174" s="2942"/>
      <c r="F174" s="2942">
        <v>2030</v>
      </c>
      <c r="G174" s="2942"/>
    </row>
    <row r="175" spans="1:7" s="2776" customFormat="1" ht="14.25" customHeight="1">
      <c r="A175" s="2942" t="s">
        <v>29</v>
      </c>
      <c r="B175" s="2942" t="s">
        <v>3041</v>
      </c>
      <c r="C175" s="2942"/>
      <c r="D175" s="2942"/>
      <c r="E175" s="2942"/>
      <c r="F175" s="2942">
        <v>2780</v>
      </c>
      <c r="G175" s="2942"/>
    </row>
    <row r="176" spans="1:7" s="2776" customFormat="1" ht="14.25" customHeight="1">
      <c r="A176" s="2942" t="s">
        <v>29</v>
      </c>
      <c r="B176" s="2942" t="s">
        <v>3043</v>
      </c>
      <c r="C176" s="2942"/>
      <c r="D176" s="2942"/>
      <c r="E176" s="2942"/>
      <c r="F176" s="2942">
        <v>2780</v>
      </c>
      <c r="G176" s="2942"/>
    </row>
    <row r="177" spans="1:7" s="2776" customFormat="1" ht="14.25" customHeight="1">
      <c r="A177" s="2942" t="s">
        <v>29</v>
      </c>
      <c r="B177" s="2942" t="s">
        <v>3075</v>
      </c>
      <c r="C177" s="2942"/>
      <c r="D177" s="2942"/>
      <c r="E177" s="2942"/>
      <c r="F177" s="2942">
        <v>2780</v>
      </c>
      <c r="G177" s="2942"/>
    </row>
    <row r="178" spans="1:7" s="2776" customFormat="1" ht="14.25" customHeight="1">
      <c r="A178" s="2942" t="s">
        <v>29</v>
      </c>
      <c r="B178" s="2942" t="s">
        <v>3076</v>
      </c>
      <c r="C178" s="2942"/>
      <c r="D178" s="2942"/>
      <c r="E178" s="2942"/>
      <c r="F178" s="2942">
        <v>2060</v>
      </c>
      <c r="G178" s="2942"/>
    </row>
    <row r="179" spans="1:7" s="2776" customFormat="1" ht="14.25" customHeight="1">
      <c r="A179" s="2942" t="s">
        <v>29</v>
      </c>
      <c r="B179" s="2942" t="s">
        <v>3077</v>
      </c>
      <c r="C179" s="2942"/>
      <c r="D179" s="2942"/>
      <c r="E179" s="2942"/>
      <c r="F179" s="2942">
        <v>2120</v>
      </c>
      <c r="G179" s="2942"/>
    </row>
    <row r="180" spans="1:7" s="2776" customFormat="1" ht="14.25" customHeight="1">
      <c r="A180" s="2942" t="s">
        <v>29</v>
      </c>
      <c r="B180" s="2942" t="s">
        <v>3049</v>
      </c>
      <c r="C180" s="2942"/>
      <c r="D180" s="2942"/>
      <c r="E180" s="2942"/>
      <c r="F180" s="2942">
        <v>2340</v>
      </c>
      <c r="G180" s="2942"/>
    </row>
    <row r="181" spans="1:7" s="2776" customFormat="1" ht="14.25" customHeight="1">
      <c r="A181" s="2942" t="s">
        <v>29</v>
      </c>
      <c r="B181" s="2942" t="s">
        <v>3050</v>
      </c>
      <c r="C181" s="2942"/>
      <c r="D181" s="2942"/>
      <c r="E181" s="2942"/>
      <c r="F181" s="2942">
        <v>2340</v>
      </c>
      <c r="G181" s="2942"/>
    </row>
    <row r="182" spans="1:7" s="2776" customFormat="1" ht="14.25" customHeight="1">
      <c r="A182" s="2942" t="s">
        <v>29</v>
      </c>
      <c r="B182" s="2942" t="s">
        <v>3051</v>
      </c>
      <c r="C182" s="2942"/>
      <c r="D182" s="2942"/>
      <c r="E182" s="2942"/>
      <c r="F182" s="2942">
        <v>2340</v>
      </c>
      <c r="G182" s="2942"/>
    </row>
    <row r="183" spans="1:7" s="2776" customFormat="1" ht="14.25" customHeight="1">
      <c r="A183" s="2942" t="s">
        <v>29</v>
      </c>
      <c r="B183" s="2942" t="s">
        <v>3052</v>
      </c>
      <c r="C183" s="2942"/>
      <c r="D183" s="2942"/>
      <c r="E183" s="2942"/>
      <c r="F183" s="2942">
        <v>2340</v>
      </c>
      <c r="G183" s="2942"/>
    </row>
    <row r="184" spans="1:7" s="2776" customFormat="1" ht="14.25" customHeight="1">
      <c r="A184" s="2942" t="s">
        <v>29</v>
      </c>
      <c r="B184" s="2942" t="s">
        <v>3053</v>
      </c>
      <c r="C184" s="2942"/>
      <c r="D184" s="2942"/>
      <c r="E184" s="2942"/>
      <c r="F184" s="2942">
        <v>2340</v>
      </c>
      <c r="G184" s="2942"/>
    </row>
    <row r="185" spans="1:7" s="2776" customFormat="1" ht="14.25" customHeight="1">
      <c r="A185" s="2942" t="s">
        <v>29</v>
      </c>
      <c r="B185" s="2942" t="s">
        <v>3054</v>
      </c>
      <c r="C185" s="2942"/>
      <c r="D185" s="2942"/>
      <c r="E185" s="2942"/>
      <c r="F185" s="2942">
        <v>2530</v>
      </c>
      <c r="G185" s="2942"/>
    </row>
    <row r="186" spans="1:7" s="2776" customFormat="1" ht="14.25" customHeight="1">
      <c r="A186" s="2942" t="s">
        <v>29</v>
      </c>
      <c r="B186" s="2942" t="s">
        <v>3055</v>
      </c>
      <c r="C186" s="2942"/>
      <c r="D186" s="2942"/>
      <c r="E186" s="2942"/>
      <c r="F186" s="2942">
        <v>2550</v>
      </c>
      <c r="G186" s="2942"/>
    </row>
    <row r="187" spans="1:7" s="2776" customFormat="1" ht="14.25" customHeight="1">
      <c r="A187" s="2942" t="s">
        <v>29</v>
      </c>
      <c r="B187" s="2942" t="s">
        <v>3056</v>
      </c>
      <c r="C187" s="2942"/>
      <c r="D187" s="2942"/>
      <c r="E187" s="2942"/>
      <c r="F187" s="2942">
        <v>2070</v>
      </c>
      <c r="G187" s="2942"/>
    </row>
    <row r="188" spans="1:7" s="2776" customFormat="1" ht="14.25" customHeight="1">
      <c r="A188" s="2942" t="s">
        <v>29</v>
      </c>
      <c r="B188" s="2942" t="s">
        <v>3057</v>
      </c>
      <c r="C188" s="2942"/>
      <c r="D188" s="2942"/>
      <c r="E188" s="2942"/>
      <c r="F188" s="2942">
        <v>2340</v>
      </c>
      <c r="G188" s="2942"/>
    </row>
    <row r="189" spans="1:7" s="2776" customFormat="1" ht="14.25" customHeight="1" thickBot="1">
      <c r="A189" s="2950" t="s">
        <v>29</v>
      </c>
      <c r="B189" s="2953" t="s">
        <v>3058</v>
      </c>
      <c r="C189" s="2953"/>
      <c r="D189" s="2953"/>
      <c r="E189" s="2953"/>
      <c r="F189" s="2953">
        <v>2050</v>
      </c>
      <c r="G189" s="2953"/>
    </row>
    <row r="190" spans="1:7" s="2776" customFormat="1" ht="14.25" customHeight="1">
      <c r="A190" s="2947" t="s">
        <v>304</v>
      </c>
      <c r="B190" s="2938" t="s">
        <v>3078</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3079</v>
      </c>
      <c r="C199" s="2942">
        <v>8690</v>
      </c>
      <c r="D199" s="2942">
        <v>8630</v>
      </c>
      <c r="E199" s="2942">
        <v>11350</v>
      </c>
      <c r="F199" s="2942">
        <v>1600</v>
      </c>
      <c r="G199" s="2955">
        <v>5450</v>
      </c>
    </row>
    <row r="200" spans="1:7" s="2776" customFormat="1" ht="14.25" customHeight="1">
      <c r="A200" s="2942" t="s">
        <v>304</v>
      </c>
      <c r="B200" s="2942" t="s">
        <v>2890</v>
      </c>
      <c r="C200" s="2942"/>
      <c r="D200" s="2942"/>
      <c r="E200" s="2942"/>
      <c r="F200" s="2942">
        <v>1510</v>
      </c>
      <c r="G200" s="2955"/>
    </row>
    <row r="201" spans="1:7" s="2776" customFormat="1" ht="14.25" customHeight="1">
      <c r="A201" s="2942" t="s">
        <v>304</v>
      </c>
      <c r="B201" s="2942" t="s">
        <v>3080</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3081</v>
      </c>
      <c r="C203" s="2942">
        <v>8130</v>
      </c>
      <c r="D203" s="2942">
        <v>8070</v>
      </c>
      <c r="E203" s="2942">
        <v>10820</v>
      </c>
      <c r="F203" s="2942">
        <v>1690</v>
      </c>
      <c r="G203" s="2955">
        <v>5100</v>
      </c>
    </row>
    <row r="204" spans="1:7" s="2776" customFormat="1" ht="14.25" customHeight="1">
      <c r="A204" s="2942" t="s">
        <v>304</v>
      </c>
      <c r="B204" s="2942" t="s">
        <v>2901</v>
      </c>
      <c r="C204" s="2942">
        <v>8350</v>
      </c>
      <c r="D204" s="2942">
        <v>8290</v>
      </c>
      <c r="E204" s="2942">
        <v>11080</v>
      </c>
      <c r="F204" s="2942">
        <v>1450</v>
      </c>
      <c r="G204" s="2955">
        <v>5240</v>
      </c>
    </row>
    <row r="205" spans="1:7" s="2776" customFormat="1" ht="14.25" customHeight="1">
      <c r="A205" s="2942" t="s">
        <v>304</v>
      </c>
      <c r="B205" s="2942" t="s">
        <v>2903</v>
      </c>
      <c r="C205" s="2942">
        <v>7190</v>
      </c>
      <c r="D205" s="2942">
        <v>7130</v>
      </c>
      <c r="E205" s="2942">
        <v>9490</v>
      </c>
      <c r="F205" s="2942">
        <v>1470</v>
      </c>
      <c r="G205" s="2955">
        <v>4510</v>
      </c>
    </row>
    <row r="206" spans="1:7" s="2776" customFormat="1" ht="14.25" customHeight="1">
      <c r="A206" s="2942" t="s">
        <v>304</v>
      </c>
      <c r="B206" s="2942" t="s">
        <v>2906</v>
      </c>
      <c r="C206" s="2942">
        <v>7000</v>
      </c>
      <c r="D206" s="2942">
        <v>6950</v>
      </c>
      <c r="E206" s="2942">
        <v>9170</v>
      </c>
      <c r="F206" s="2942">
        <v>1400</v>
      </c>
      <c r="G206" s="2955">
        <v>4380</v>
      </c>
    </row>
    <row r="207" spans="1:7" s="2776" customFormat="1" ht="14.25" customHeight="1">
      <c r="A207" s="2942" t="s">
        <v>304</v>
      </c>
      <c r="B207" s="2942" t="s">
        <v>2908</v>
      </c>
      <c r="C207" s="2942">
        <v>6950</v>
      </c>
      <c r="D207" s="2942">
        <v>6900</v>
      </c>
      <c r="E207" s="2942">
        <v>9110</v>
      </c>
      <c r="F207" s="2942">
        <v>1790</v>
      </c>
      <c r="G207" s="2955">
        <v>4360</v>
      </c>
    </row>
    <row r="208" spans="1:7" s="2776" customFormat="1" ht="14.25" customHeight="1">
      <c r="A208" s="2942" t="s">
        <v>304</v>
      </c>
      <c r="B208" s="2942" t="s">
        <v>3082</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2918</v>
      </c>
      <c r="C210" s="2942">
        <v>8710</v>
      </c>
      <c r="D210" s="2942">
        <v>8660</v>
      </c>
      <c r="E210" s="2942">
        <v>11440</v>
      </c>
      <c r="F210" s="2942">
        <v>1740</v>
      </c>
      <c r="G210" s="2955">
        <v>5470</v>
      </c>
    </row>
    <row r="211" spans="1:7" s="2776" customFormat="1" ht="14.25" customHeight="1">
      <c r="A211" s="2942" t="s">
        <v>304</v>
      </c>
      <c r="B211" s="2942" t="s">
        <v>3083</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3084</v>
      </c>
      <c r="C214" s="2942">
        <v>8090</v>
      </c>
      <c r="D214" s="2942">
        <v>8030</v>
      </c>
      <c r="E214" s="2942">
        <v>10780</v>
      </c>
      <c r="F214" s="2942">
        <v>1570</v>
      </c>
      <c r="G214" s="2955">
        <v>5070</v>
      </c>
    </row>
    <row r="215" spans="1:7" s="2776" customFormat="1" ht="14.25" customHeight="1">
      <c r="A215" s="2942" t="s">
        <v>304</v>
      </c>
      <c r="B215" s="2942" t="s">
        <v>3085</v>
      </c>
      <c r="C215" s="2942">
        <v>7950</v>
      </c>
      <c r="D215" s="2942">
        <v>7900</v>
      </c>
      <c r="E215" s="2942">
        <v>10560</v>
      </c>
      <c r="F215" s="2942">
        <v>1630</v>
      </c>
      <c r="G215" s="2955">
        <v>4990</v>
      </c>
    </row>
    <row r="216" spans="1:7" s="2776" customFormat="1" ht="14.25" customHeight="1">
      <c r="A216" s="2942" t="s">
        <v>304</v>
      </c>
      <c r="B216" s="2942" t="s">
        <v>3086</v>
      </c>
      <c r="C216" s="2942">
        <v>8490</v>
      </c>
      <c r="D216" s="2942">
        <v>8440</v>
      </c>
      <c r="E216" s="2942">
        <v>11260</v>
      </c>
      <c r="F216" s="2942">
        <v>1690</v>
      </c>
      <c r="G216" s="2955">
        <v>5330</v>
      </c>
    </row>
    <row r="217" spans="1:7" s="2776" customFormat="1" ht="14.25" customHeight="1">
      <c r="A217" s="2942" t="s">
        <v>304</v>
      </c>
      <c r="B217" s="2942" t="s">
        <v>2951</v>
      </c>
      <c r="C217" s="2942">
        <v>8200</v>
      </c>
      <c r="D217" s="2942">
        <v>8150</v>
      </c>
      <c r="E217" s="2942">
        <v>10910</v>
      </c>
      <c r="F217" s="2942">
        <v>1670</v>
      </c>
      <c r="G217" s="2955">
        <v>5150</v>
      </c>
    </row>
    <row r="218" spans="1:7" s="2776" customFormat="1" ht="14.25" customHeight="1">
      <c r="A218" s="2942" t="s">
        <v>304</v>
      </c>
      <c r="B218" s="2942" t="s">
        <v>3087</v>
      </c>
      <c r="C218" s="2942"/>
      <c r="D218" s="2942"/>
      <c r="E218" s="2942"/>
      <c r="F218" s="2942">
        <v>2040</v>
      </c>
      <c r="G218" s="2955"/>
    </row>
    <row r="219" spans="1:7" s="2776" customFormat="1" ht="14.25" customHeight="1">
      <c r="A219" s="2942" t="s">
        <v>304</v>
      </c>
      <c r="B219" s="2942" t="s">
        <v>3088</v>
      </c>
      <c r="C219" s="2942"/>
      <c r="D219" s="2942"/>
      <c r="E219" s="2942"/>
      <c r="F219" s="2942">
        <v>2040</v>
      </c>
      <c r="G219" s="2955"/>
    </row>
    <row r="220" spans="1:7" s="2776" customFormat="1" ht="14.25" customHeight="1">
      <c r="A220" s="2942" t="s">
        <v>304</v>
      </c>
      <c r="B220" s="2942" t="s">
        <v>3089</v>
      </c>
      <c r="C220" s="2942"/>
      <c r="D220" s="2942"/>
      <c r="E220" s="2942"/>
      <c r="F220" s="2942">
        <v>2040</v>
      </c>
      <c r="G220" s="2955"/>
    </row>
    <row r="221" spans="1:7" s="2776" customFormat="1" ht="14.25" customHeight="1">
      <c r="A221" s="2942" t="s">
        <v>304</v>
      </c>
      <c r="B221" s="2942" t="s">
        <v>3090</v>
      </c>
      <c r="C221" s="2942"/>
      <c r="D221" s="2942"/>
      <c r="E221" s="2942"/>
      <c r="F221" s="2942">
        <v>2040</v>
      </c>
      <c r="G221" s="2955"/>
    </row>
    <row r="222" spans="1:7" s="2776" customFormat="1" ht="14.25" customHeight="1">
      <c r="A222" s="2942" t="s">
        <v>304</v>
      </c>
      <c r="B222" s="2942" t="s">
        <v>3091</v>
      </c>
      <c r="C222" s="2942"/>
      <c r="D222" s="2942"/>
      <c r="E222" s="2942"/>
      <c r="F222" s="2942">
        <v>2040</v>
      </c>
      <c r="G222" s="2955"/>
    </row>
    <row r="223" spans="1:7" s="2776" customFormat="1" ht="14.25" customHeight="1">
      <c r="A223" s="2942" t="s">
        <v>304</v>
      </c>
      <c r="B223" s="2942" t="s">
        <v>3092</v>
      </c>
      <c r="C223" s="2942"/>
      <c r="D223" s="2942"/>
      <c r="E223" s="2942"/>
      <c r="F223" s="2942">
        <v>1930</v>
      </c>
      <c r="G223" s="2955"/>
    </row>
    <row r="224" spans="1:7" s="2776" customFormat="1" ht="14.25" customHeight="1">
      <c r="A224" s="2942" t="s">
        <v>304</v>
      </c>
      <c r="B224" s="2942" t="s">
        <v>3093</v>
      </c>
      <c r="C224" s="2942"/>
      <c r="D224" s="2942"/>
      <c r="E224" s="2942"/>
      <c r="F224" s="2942">
        <v>1930</v>
      </c>
      <c r="G224" s="2955"/>
    </row>
    <row r="225" spans="1:7" s="2776" customFormat="1" ht="14.25" customHeight="1">
      <c r="A225" s="2942" t="s">
        <v>304</v>
      </c>
      <c r="B225" s="2942" t="s">
        <v>3094</v>
      </c>
      <c r="C225" s="2942"/>
      <c r="D225" s="2942"/>
      <c r="E225" s="2942"/>
      <c r="F225" s="2942">
        <v>1930</v>
      </c>
      <c r="G225" s="2955"/>
    </row>
    <row r="226" spans="1:7" s="2776" customFormat="1" ht="14.25" customHeight="1">
      <c r="A226" s="2942" t="s">
        <v>304</v>
      </c>
      <c r="B226" s="2942" t="s">
        <v>3095</v>
      </c>
      <c r="C226" s="2942"/>
      <c r="D226" s="2942"/>
      <c r="E226" s="2942"/>
      <c r="F226" s="2942">
        <v>1700</v>
      </c>
      <c r="G226" s="2955"/>
    </row>
    <row r="227" spans="1:7" s="2776" customFormat="1" ht="14.25" customHeight="1">
      <c r="A227" s="2942" t="s">
        <v>304</v>
      </c>
      <c r="B227" s="2942" t="s">
        <v>3096</v>
      </c>
      <c r="C227" s="2942"/>
      <c r="D227" s="2942"/>
      <c r="E227" s="2942"/>
      <c r="F227" s="2942">
        <v>1520</v>
      </c>
      <c r="G227" s="2955"/>
    </row>
    <row r="228" spans="1:7" s="2776" customFormat="1" ht="14.25" customHeight="1">
      <c r="A228" s="2942" t="s">
        <v>304</v>
      </c>
      <c r="B228" s="2942" t="s">
        <v>3097</v>
      </c>
      <c r="C228" s="2942"/>
      <c r="D228" s="2942"/>
      <c r="E228" s="2942"/>
      <c r="F228" s="2942">
        <v>1520</v>
      </c>
      <c r="G228" s="2955"/>
    </row>
    <row r="229" spans="1:7" s="2776" customFormat="1" ht="14.25" customHeight="1">
      <c r="A229" s="2942" t="s">
        <v>304</v>
      </c>
      <c r="B229" s="2942" t="s">
        <v>3014</v>
      </c>
      <c r="C229" s="2942"/>
      <c r="D229" s="2942"/>
      <c r="E229" s="2942"/>
      <c r="F229" s="2942">
        <v>1520</v>
      </c>
      <c r="G229" s="2955"/>
    </row>
    <row r="230" spans="1:7" s="2776" customFormat="1" ht="14.25" customHeight="1">
      <c r="A230" s="2942" t="s">
        <v>304</v>
      </c>
      <c r="B230" s="2942" t="s">
        <v>3098</v>
      </c>
      <c r="C230" s="2942"/>
      <c r="D230" s="2942"/>
      <c r="E230" s="2942"/>
      <c r="F230" s="2942">
        <v>1820</v>
      </c>
      <c r="G230" s="2955"/>
    </row>
    <row r="231" spans="1:7" s="2776" customFormat="1" ht="14.25" customHeight="1">
      <c r="A231" s="2942" t="s">
        <v>304</v>
      </c>
      <c r="B231" s="2942" t="s">
        <v>3099</v>
      </c>
      <c r="C231" s="2942"/>
      <c r="D231" s="2942"/>
      <c r="E231" s="2942"/>
      <c r="F231" s="2942">
        <v>1760</v>
      </c>
      <c r="G231" s="2955"/>
    </row>
    <row r="232" spans="1:7" s="2776" customFormat="1" ht="14.25" customHeight="1">
      <c r="A232" s="2942" t="s">
        <v>304</v>
      </c>
      <c r="B232" s="2942" t="s">
        <v>3100</v>
      </c>
      <c r="C232" s="2942"/>
      <c r="D232" s="2942"/>
      <c r="E232" s="2942"/>
      <c r="F232" s="2942">
        <v>1840</v>
      </c>
      <c r="G232" s="2955"/>
    </row>
    <row r="233" spans="1:7" s="2776" customFormat="1" ht="14.25" customHeight="1" thickBot="1">
      <c r="A233" s="2956" t="s">
        <v>304</v>
      </c>
      <c r="B233" s="2949" t="s">
        <v>3031</v>
      </c>
      <c r="C233" s="2949"/>
      <c r="D233" s="2949"/>
      <c r="E233" s="2949"/>
      <c r="F233" s="2949">
        <v>1770</v>
      </c>
      <c r="G233" s="2957"/>
    </row>
    <row r="234" spans="1:7" s="2776" customFormat="1" ht="14.25" customHeight="1">
      <c r="A234" s="2947" t="s">
        <v>305</v>
      </c>
      <c r="B234" s="2938" t="s">
        <v>3101</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2872</v>
      </c>
      <c r="C238" s="2942">
        <v>6920</v>
      </c>
      <c r="D238" s="2942">
        <v>6890</v>
      </c>
      <c r="E238" s="2942">
        <v>8640</v>
      </c>
      <c r="F238" s="2942">
        <v>1310</v>
      </c>
      <c r="G238" s="2942">
        <v>4230</v>
      </c>
    </row>
    <row r="239" spans="1:7" s="2776" customFormat="1" ht="14.25" customHeight="1">
      <c r="A239" s="2942" t="s">
        <v>305</v>
      </c>
      <c r="B239" s="2942" t="s">
        <v>3102</v>
      </c>
      <c r="C239" s="2942">
        <v>6780</v>
      </c>
      <c r="D239" s="2942">
        <v>6750</v>
      </c>
      <c r="E239" s="2942">
        <v>8440</v>
      </c>
      <c r="F239" s="2942">
        <v>1160</v>
      </c>
      <c r="G239" s="2942">
        <v>4140</v>
      </c>
    </row>
    <row r="240" spans="1:7" s="2776" customFormat="1" ht="14.25" customHeight="1">
      <c r="A240" s="2942" t="s">
        <v>305</v>
      </c>
      <c r="B240" s="2942" t="s">
        <v>3103</v>
      </c>
      <c r="C240" s="2942">
        <v>5420</v>
      </c>
      <c r="D240" s="2942">
        <v>5380</v>
      </c>
      <c r="E240" s="2942">
        <v>6640</v>
      </c>
      <c r="F240" s="2942">
        <v>1020</v>
      </c>
      <c r="G240" s="2942">
        <v>3300</v>
      </c>
    </row>
    <row r="241" spans="1:7" s="2776" customFormat="1" ht="14.25" customHeight="1">
      <c r="A241" s="2942" t="s">
        <v>305</v>
      </c>
      <c r="B241" s="2942" t="s">
        <v>3104</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3105</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3106</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3107</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3108</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3109</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2934</v>
      </c>
      <c r="C258" s="2942">
        <v>6190</v>
      </c>
      <c r="D258" s="2942">
        <v>6160</v>
      </c>
      <c r="E258" s="2942">
        <v>7680</v>
      </c>
      <c r="F258" s="2942">
        <v>1170</v>
      </c>
      <c r="G258" s="2942">
        <v>3780</v>
      </c>
    </row>
    <row r="259" spans="1:7" s="2776" customFormat="1" ht="14.25" customHeight="1">
      <c r="A259" s="2942" t="s">
        <v>305</v>
      </c>
      <c r="B259" s="2942" t="s">
        <v>3110</v>
      </c>
      <c r="C259" s="2942">
        <v>7610</v>
      </c>
      <c r="D259" s="2942">
        <v>7570</v>
      </c>
      <c r="E259" s="2942">
        <v>9350</v>
      </c>
      <c r="F259" s="2942">
        <v>1350</v>
      </c>
      <c r="G259" s="2942">
        <v>4650</v>
      </c>
    </row>
    <row r="260" spans="1:7" s="2776" customFormat="1" ht="14.25" customHeight="1">
      <c r="A260" s="2942" t="s">
        <v>305</v>
      </c>
      <c r="B260" s="2942" t="s">
        <v>3111</v>
      </c>
      <c r="C260" s="2942">
        <v>6920</v>
      </c>
      <c r="D260" s="2942">
        <v>6880</v>
      </c>
      <c r="E260" s="2942">
        <v>8380</v>
      </c>
      <c r="F260" s="2942">
        <v>1160</v>
      </c>
      <c r="G260" s="2942">
        <v>4220</v>
      </c>
    </row>
    <row r="261" spans="1:7" s="2776" customFormat="1" ht="14.25" customHeight="1">
      <c r="A261" s="2942" t="s">
        <v>305</v>
      </c>
      <c r="B261" s="2942" t="s">
        <v>3112</v>
      </c>
      <c r="C261" s="2942">
        <v>6850</v>
      </c>
      <c r="D261" s="2942">
        <v>6810</v>
      </c>
      <c r="E261" s="2942">
        <v>8290</v>
      </c>
      <c r="F261" s="2942">
        <v>1130</v>
      </c>
      <c r="G261" s="2942">
        <v>4180</v>
      </c>
    </row>
    <row r="262" spans="1:7" s="2776" customFormat="1" ht="14.25" customHeight="1">
      <c r="A262" s="2942" t="s">
        <v>305</v>
      </c>
      <c r="B262" s="2942" t="s">
        <v>3113</v>
      </c>
      <c r="C262" s="2942">
        <v>5860</v>
      </c>
      <c r="D262" s="2942">
        <v>5820</v>
      </c>
      <c r="E262" s="2942">
        <v>7640</v>
      </c>
      <c r="F262" s="2942">
        <v>1070</v>
      </c>
      <c r="G262" s="2942">
        <v>3570</v>
      </c>
    </row>
    <row r="263" spans="1:7" s="2776" customFormat="1" ht="14.25" customHeight="1">
      <c r="A263" s="2942" t="s">
        <v>305</v>
      </c>
      <c r="B263" s="2942" t="s">
        <v>3114</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3115</v>
      </c>
      <c r="C265" s="2942"/>
      <c r="D265" s="2942"/>
      <c r="E265" s="2942"/>
      <c r="F265" s="2942">
        <v>1500</v>
      </c>
      <c r="G265" s="2942"/>
    </row>
    <row r="266" spans="1:7" s="2776" customFormat="1" ht="14.25" customHeight="1">
      <c r="A266" s="2942" t="s">
        <v>305</v>
      </c>
      <c r="B266" s="2942" t="s">
        <v>3116</v>
      </c>
      <c r="C266" s="2942"/>
      <c r="D266" s="2942"/>
      <c r="E266" s="2942"/>
      <c r="F266" s="2942">
        <v>1500</v>
      </c>
      <c r="G266" s="2942"/>
    </row>
    <row r="267" spans="1:7" s="2776" customFormat="1" ht="14.25" customHeight="1">
      <c r="A267" s="2942" t="s">
        <v>305</v>
      </c>
      <c r="B267" s="2942" t="s">
        <v>3117</v>
      </c>
      <c r="C267" s="2942"/>
      <c r="D267" s="2942"/>
      <c r="E267" s="2942"/>
      <c r="F267" s="2942">
        <v>1500</v>
      </c>
      <c r="G267" s="2942"/>
    </row>
    <row r="268" spans="1:7" s="2776" customFormat="1" ht="14.25" customHeight="1">
      <c r="A268" s="2942" t="s">
        <v>305</v>
      </c>
      <c r="B268" s="2942" t="s">
        <v>3118</v>
      </c>
      <c r="C268" s="2942"/>
      <c r="D268" s="2942"/>
      <c r="E268" s="2942"/>
      <c r="F268" s="2942">
        <v>1290</v>
      </c>
      <c r="G268" s="2942"/>
    </row>
    <row r="269" spans="1:7" s="2776" customFormat="1" ht="14.25" customHeight="1">
      <c r="A269" s="2942" t="s">
        <v>305</v>
      </c>
      <c r="B269" s="2942" t="s">
        <v>3119</v>
      </c>
      <c r="C269" s="2942"/>
      <c r="D269" s="2942"/>
      <c r="E269" s="2942"/>
      <c r="F269" s="2942">
        <v>1150</v>
      </c>
      <c r="G269" s="2942"/>
    </row>
    <row r="270" spans="1:7" s="2776" customFormat="1" ht="14.25" customHeight="1">
      <c r="A270" s="2942" t="s">
        <v>305</v>
      </c>
      <c r="B270" s="2942" t="s">
        <v>3120</v>
      </c>
      <c r="C270" s="2942"/>
      <c r="D270" s="2942"/>
      <c r="E270" s="2942"/>
      <c r="F270" s="2942">
        <v>1380</v>
      </c>
      <c r="G270" s="2942"/>
    </row>
    <row r="271" spans="1:7" s="2776" customFormat="1" ht="14.25" customHeight="1">
      <c r="A271" s="2942" t="s">
        <v>305</v>
      </c>
      <c r="B271" s="2942" t="s">
        <v>3121</v>
      </c>
      <c r="C271" s="2942"/>
      <c r="D271" s="2942"/>
      <c r="E271" s="2942"/>
      <c r="F271" s="2942">
        <v>1460</v>
      </c>
      <c r="G271" s="2942"/>
    </row>
    <row r="272" spans="1:7" s="2776" customFormat="1" ht="14.25" customHeight="1">
      <c r="A272" s="2942" t="s">
        <v>305</v>
      </c>
      <c r="B272" s="2942" t="s">
        <v>3122</v>
      </c>
      <c r="C272" s="2942"/>
      <c r="D272" s="2942"/>
      <c r="E272" s="2942"/>
      <c r="F272" s="2942">
        <v>1460</v>
      </c>
      <c r="G272" s="2942"/>
    </row>
    <row r="273" spans="1:7" s="2776" customFormat="1" ht="14.25" customHeight="1">
      <c r="A273" s="2942" t="s">
        <v>305</v>
      </c>
      <c r="B273" s="2942" t="s">
        <v>3015</v>
      </c>
      <c r="C273" s="2942"/>
      <c r="D273" s="2942"/>
      <c r="E273" s="2942"/>
      <c r="F273" s="2942">
        <v>1490</v>
      </c>
      <c r="G273" s="2942"/>
    </row>
    <row r="274" spans="1:7" s="2776" customFormat="1" ht="14.25" customHeight="1">
      <c r="A274" s="2942" t="s">
        <v>305</v>
      </c>
      <c r="B274" s="2942" t="s">
        <v>3123</v>
      </c>
      <c r="C274" s="2942"/>
      <c r="D274" s="2942"/>
      <c r="E274" s="2942"/>
      <c r="F274" s="2942">
        <v>1490</v>
      </c>
      <c r="G274" s="2942"/>
    </row>
    <row r="275" spans="1:7" s="2776" customFormat="1" ht="14.25" customHeight="1">
      <c r="A275" s="2942" t="s">
        <v>305</v>
      </c>
      <c r="B275" s="2942" t="s">
        <v>3124</v>
      </c>
      <c r="C275" s="2942"/>
      <c r="D275" s="2942"/>
      <c r="E275" s="2942"/>
      <c r="F275" s="2942">
        <v>1220</v>
      </c>
      <c r="G275" s="2942"/>
    </row>
    <row r="276" spans="1:7" s="2776" customFormat="1" ht="14.25" customHeight="1" thickBot="1">
      <c r="A276" s="2950" t="s">
        <v>305</v>
      </c>
      <c r="B276" s="2952" t="s">
        <v>3125</v>
      </c>
      <c r="C276" s="2953"/>
      <c r="D276" s="2953"/>
      <c r="E276" s="2953"/>
      <c r="F276" s="2953">
        <v>1380</v>
      </c>
      <c r="G276" s="2953"/>
    </row>
    <row r="277" spans="1:7" s="2776" customFormat="1" ht="14.25" customHeight="1">
      <c r="A277" s="2947" t="s">
        <v>306</v>
      </c>
      <c r="B277" s="2938" t="s">
        <v>3126</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3127</v>
      </c>
      <c r="C279" s="2942">
        <v>4760</v>
      </c>
      <c r="D279" s="2942">
        <v>4720</v>
      </c>
      <c r="E279" s="2942">
        <v>5540</v>
      </c>
      <c r="F279" s="2942">
        <v>810</v>
      </c>
      <c r="G279" s="2955">
        <v>2850</v>
      </c>
    </row>
    <row r="280" spans="1:7" s="2776" customFormat="1" ht="14.25" customHeight="1">
      <c r="A280" s="2942" t="s">
        <v>306</v>
      </c>
      <c r="B280" s="2942" t="s">
        <v>3128</v>
      </c>
      <c r="C280" s="2942">
        <v>4010</v>
      </c>
      <c r="D280" s="2942">
        <v>3950</v>
      </c>
      <c r="E280" s="2942">
        <v>4710</v>
      </c>
      <c r="F280" s="2942">
        <v>800</v>
      </c>
      <c r="G280" s="2955">
        <v>2390</v>
      </c>
    </row>
    <row r="281" spans="1:7" s="2776" customFormat="1" ht="14.25" customHeight="1">
      <c r="A281" s="2942" t="s">
        <v>306</v>
      </c>
      <c r="B281" s="2942" t="s">
        <v>3129</v>
      </c>
      <c r="C281" s="2942">
        <v>4480</v>
      </c>
      <c r="D281" s="2942">
        <v>4420</v>
      </c>
      <c r="E281" s="2942">
        <v>5230</v>
      </c>
      <c r="F281" s="2942">
        <v>870</v>
      </c>
      <c r="G281" s="2955">
        <v>2660</v>
      </c>
    </row>
    <row r="282" spans="1:7" s="2776" customFormat="1" ht="14.25" customHeight="1">
      <c r="A282" s="2942" t="s">
        <v>306</v>
      </c>
      <c r="B282" s="2942" t="s">
        <v>3130</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3131</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3132</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2907</v>
      </c>
      <c r="C293" s="2942">
        <v>5320</v>
      </c>
      <c r="D293" s="2942">
        <v>5270</v>
      </c>
      <c r="E293" s="2942">
        <v>6160</v>
      </c>
      <c r="F293" s="2942">
        <v>990</v>
      </c>
      <c r="G293" s="2955">
        <v>3170</v>
      </c>
    </row>
    <row r="294" spans="1:7" s="2776" customFormat="1" ht="14.25" customHeight="1">
      <c r="A294" s="2942" t="s">
        <v>306</v>
      </c>
      <c r="B294" s="2942" t="s">
        <v>3133</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2926</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3134</v>
      </c>
      <c r="C302" s="2942">
        <v>5520</v>
      </c>
      <c r="D302" s="2942">
        <v>5470</v>
      </c>
      <c r="E302" s="2942">
        <v>6410</v>
      </c>
      <c r="F302" s="2942">
        <v>950</v>
      </c>
      <c r="G302" s="2955">
        <v>3300</v>
      </c>
    </row>
    <row r="303" spans="1:7" s="2776" customFormat="1" ht="14.25" customHeight="1">
      <c r="A303" s="2942" t="s">
        <v>306</v>
      </c>
      <c r="B303" s="2942" t="s">
        <v>2946</v>
      </c>
      <c r="C303" s="2942">
        <v>5630</v>
      </c>
      <c r="D303" s="2942">
        <v>5590</v>
      </c>
      <c r="E303" s="2942">
        <v>6550</v>
      </c>
      <c r="F303" s="2942">
        <v>1010</v>
      </c>
      <c r="G303" s="2955">
        <v>3370</v>
      </c>
    </row>
    <row r="304" spans="1:7" s="2776" customFormat="1" ht="14.25" customHeight="1">
      <c r="A304" s="2942" t="s">
        <v>306</v>
      </c>
      <c r="B304" s="2942" t="s">
        <v>2953</v>
      </c>
      <c r="C304" s="2942">
        <v>5680</v>
      </c>
      <c r="D304" s="2942">
        <v>5620</v>
      </c>
      <c r="E304" s="2942">
        <v>6620</v>
      </c>
      <c r="F304" s="2942">
        <v>1050</v>
      </c>
      <c r="G304" s="2955">
        <v>3390</v>
      </c>
    </row>
    <row r="305" spans="1:7" s="2776" customFormat="1" ht="14.25" customHeight="1">
      <c r="A305" s="2942" t="s">
        <v>306</v>
      </c>
      <c r="B305" s="2942" t="s">
        <v>2959</v>
      </c>
      <c r="C305" s="2942">
        <v>5590</v>
      </c>
      <c r="D305" s="2942">
        <v>5530</v>
      </c>
      <c r="E305" s="2942">
        <v>6460</v>
      </c>
      <c r="F305" s="2942">
        <v>900</v>
      </c>
      <c r="G305" s="2955">
        <v>3340</v>
      </c>
    </row>
    <row r="306" spans="1:7" s="2776" customFormat="1" ht="14.25" customHeight="1">
      <c r="A306" s="2942" t="s">
        <v>306</v>
      </c>
      <c r="B306" s="2942" t="s">
        <v>3135</v>
      </c>
      <c r="C306" s="2942">
        <v>5560</v>
      </c>
      <c r="D306" s="2942">
        <v>5510</v>
      </c>
      <c r="E306" s="2942">
        <v>6440</v>
      </c>
      <c r="F306" s="2942">
        <v>900</v>
      </c>
      <c r="G306" s="2955">
        <v>3320</v>
      </c>
    </row>
    <row r="307" spans="1:7" s="2776" customFormat="1" ht="14.25" customHeight="1">
      <c r="A307" s="2942" t="s">
        <v>306</v>
      </c>
      <c r="B307" s="2942" t="s">
        <v>2971</v>
      </c>
      <c r="C307" s="2942">
        <v>5650</v>
      </c>
      <c r="D307" s="2942">
        <v>5600</v>
      </c>
      <c r="E307" s="2942">
        <v>6590</v>
      </c>
      <c r="F307" s="2942">
        <v>930</v>
      </c>
      <c r="G307" s="2955">
        <v>3380</v>
      </c>
    </row>
    <row r="308" spans="1:7" s="2776" customFormat="1" ht="14.25" customHeight="1">
      <c r="A308" s="2942" t="s">
        <v>306</v>
      </c>
      <c r="B308" s="2942" t="s">
        <v>3136</v>
      </c>
      <c r="C308" s="2942">
        <v>5620</v>
      </c>
      <c r="D308" s="2942">
        <v>5580</v>
      </c>
      <c r="E308" s="2942">
        <v>6540</v>
      </c>
      <c r="F308" s="2942">
        <v>910</v>
      </c>
      <c r="G308" s="2955">
        <v>3370</v>
      </c>
    </row>
    <row r="309" spans="1:7" s="2776" customFormat="1" ht="14.25" customHeight="1">
      <c r="A309" s="2942" t="s">
        <v>306</v>
      </c>
      <c r="B309" s="2942" t="s">
        <v>3137</v>
      </c>
      <c r="C309" s="2942">
        <v>5060</v>
      </c>
      <c r="D309" s="2942">
        <v>5020</v>
      </c>
      <c r="E309" s="2942">
        <v>6370</v>
      </c>
      <c r="F309" s="2942">
        <v>800</v>
      </c>
      <c r="G309" s="2955">
        <v>3020</v>
      </c>
    </row>
    <row r="310" spans="1:7" s="2776" customFormat="1" ht="14.25" customHeight="1">
      <c r="A310" s="2942" t="s">
        <v>306</v>
      </c>
      <c r="B310" s="2942" t="s">
        <v>2986</v>
      </c>
      <c r="C310" s="2942">
        <v>5150</v>
      </c>
      <c r="D310" s="2942">
        <v>5110</v>
      </c>
      <c r="E310" s="2942">
        <v>6500</v>
      </c>
      <c r="F310" s="2942">
        <v>880</v>
      </c>
      <c r="G310" s="2955">
        <v>3080</v>
      </c>
    </row>
    <row r="311" spans="1:7" s="2776" customFormat="1" ht="14.25" customHeight="1">
      <c r="A311" s="2942" t="s">
        <v>306</v>
      </c>
      <c r="B311" s="2942" t="s">
        <v>3138</v>
      </c>
      <c r="C311" s="2942">
        <v>4750</v>
      </c>
      <c r="D311" s="2942">
        <v>4710</v>
      </c>
      <c r="E311" s="2942">
        <v>5510</v>
      </c>
      <c r="F311" s="2942">
        <v>880</v>
      </c>
      <c r="G311" s="2955">
        <v>2840</v>
      </c>
    </row>
    <row r="312" spans="1:7" s="2776" customFormat="1" ht="14.25" customHeight="1">
      <c r="A312" s="2942" t="s">
        <v>306</v>
      </c>
      <c r="B312" s="2942" t="s">
        <v>2996</v>
      </c>
      <c r="C312" s="2942">
        <v>4690</v>
      </c>
      <c r="D312" s="2942">
        <v>4640</v>
      </c>
      <c r="E312" s="2942">
        <v>5420</v>
      </c>
      <c r="F312" s="2942">
        <v>800</v>
      </c>
      <c r="G312" s="2955">
        <v>2800</v>
      </c>
    </row>
    <row r="313" spans="1:7" s="2776" customFormat="1" ht="14.25" customHeight="1">
      <c r="A313" s="2942" t="s">
        <v>306</v>
      </c>
      <c r="B313" s="2942" t="s">
        <v>3001</v>
      </c>
      <c r="C313" s="2942">
        <v>4810</v>
      </c>
      <c r="D313" s="2942">
        <v>4760</v>
      </c>
      <c r="E313" s="2942">
        <v>5550</v>
      </c>
      <c r="F313" s="2942">
        <v>920</v>
      </c>
      <c r="G313" s="2955">
        <v>2870</v>
      </c>
    </row>
    <row r="314" spans="1:7" s="2776" customFormat="1" ht="14.25" customHeight="1">
      <c r="A314" s="2942" t="s">
        <v>306</v>
      </c>
      <c r="B314" s="2942" t="s">
        <v>3139</v>
      </c>
      <c r="C314" s="2942"/>
      <c r="D314" s="2942"/>
      <c r="E314" s="2942"/>
      <c r="F314" s="2942">
        <v>1020</v>
      </c>
      <c r="G314" s="2955"/>
    </row>
    <row r="315" spans="1:7" s="2776" customFormat="1" ht="14.25" customHeight="1">
      <c r="A315" s="2942" t="s">
        <v>306</v>
      </c>
      <c r="B315" s="2942" t="s">
        <v>3140</v>
      </c>
      <c r="C315" s="2942"/>
      <c r="D315" s="2942"/>
      <c r="E315" s="2942"/>
      <c r="F315" s="2942">
        <v>1050</v>
      </c>
      <c r="G315" s="2955"/>
    </row>
    <row r="316" spans="1:7" s="2776" customFormat="1" ht="14.25" customHeight="1">
      <c r="A316" s="2942" t="s">
        <v>306</v>
      </c>
      <c r="B316" s="2942" t="s">
        <v>3016</v>
      </c>
      <c r="C316" s="2942"/>
      <c r="D316" s="2942"/>
      <c r="E316" s="2942"/>
      <c r="F316" s="2942">
        <v>900</v>
      </c>
      <c r="G316" s="2955"/>
    </row>
    <row r="317" spans="1:7" s="2776" customFormat="1" ht="14.25" customHeight="1">
      <c r="A317" s="2942" t="s">
        <v>306</v>
      </c>
      <c r="B317" s="2942" t="s">
        <v>3141</v>
      </c>
      <c r="C317" s="2942"/>
      <c r="D317" s="2942"/>
      <c r="E317" s="2942"/>
      <c r="F317" s="2942">
        <v>920</v>
      </c>
      <c r="G317" s="2955"/>
    </row>
    <row r="318" spans="1:7" s="2776" customFormat="1" ht="14.25" customHeight="1">
      <c r="A318" s="2942" t="s">
        <v>306</v>
      </c>
      <c r="B318" s="2942" t="s">
        <v>3142</v>
      </c>
      <c r="C318" s="2942"/>
      <c r="D318" s="2942"/>
      <c r="E318" s="2942"/>
      <c r="F318" s="2942">
        <v>1080</v>
      </c>
      <c r="G318" s="2955"/>
    </row>
    <row r="319" spans="1:7" s="2776" customFormat="1" ht="14.25" customHeight="1">
      <c r="A319" s="2942" t="s">
        <v>306</v>
      </c>
      <c r="B319" s="2942" t="s">
        <v>3029</v>
      </c>
      <c r="C319" s="2942"/>
      <c r="D319" s="2942"/>
      <c r="E319" s="2942"/>
      <c r="F319" s="2942">
        <v>1020</v>
      </c>
      <c r="G319" s="2955"/>
    </row>
    <row r="320" spans="1:7" s="2776" customFormat="1" ht="14.25" customHeight="1">
      <c r="A320" s="2942" t="s">
        <v>306</v>
      </c>
      <c r="B320" s="2942" t="s">
        <v>3032</v>
      </c>
      <c r="C320" s="2942"/>
      <c r="D320" s="2942"/>
      <c r="E320" s="2942"/>
      <c r="F320" s="2942">
        <v>1050</v>
      </c>
      <c r="G320" s="2955"/>
    </row>
    <row r="321" spans="1:7" s="2776" customFormat="1" ht="14.25" customHeight="1">
      <c r="A321" s="2942" t="s">
        <v>306</v>
      </c>
      <c r="B321" s="2942" t="s">
        <v>3034</v>
      </c>
      <c r="C321" s="2942"/>
      <c r="D321" s="2942"/>
      <c r="E321" s="2942"/>
      <c r="F321" s="2942">
        <v>960</v>
      </c>
      <c r="G321" s="2955"/>
    </row>
    <row r="322" spans="1:7" s="2776" customFormat="1" ht="14.25" customHeight="1">
      <c r="A322" s="2942" t="s">
        <v>306</v>
      </c>
      <c r="B322" s="2942" t="s">
        <v>3036</v>
      </c>
      <c r="C322" s="2942"/>
      <c r="D322" s="2942"/>
      <c r="E322" s="2942"/>
      <c r="F322" s="2942">
        <v>960</v>
      </c>
      <c r="G322" s="2955"/>
    </row>
    <row r="323" spans="1:7" s="2776" customFormat="1" ht="14.25" customHeight="1">
      <c r="A323" s="2942" t="s">
        <v>306</v>
      </c>
      <c r="B323" s="2942" t="s">
        <v>3038</v>
      </c>
      <c r="C323" s="2942"/>
      <c r="D323" s="2942"/>
      <c r="E323" s="2942"/>
      <c r="F323" s="2942">
        <v>880</v>
      </c>
      <c r="G323" s="2955"/>
    </row>
    <row r="324" spans="1:7" s="2776" customFormat="1" ht="14.25" customHeight="1">
      <c r="A324" s="2942" t="s">
        <v>306</v>
      </c>
      <c r="B324" s="2942" t="s">
        <v>3040</v>
      </c>
      <c r="C324" s="2942"/>
      <c r="D324" s="2942"/>
      <c r="E324" s="2942"/>
      <c r="F324" s="2942">
        <v>930</v>
      </c>
      <c r="G324" s="2955"/>
    </row>
    <row r="325" spans="1:7" s="2776" customFormat="1" ht="14.25" customHeight="1">
      <c r="A325" s="2942" t="s">
        <v>306</v>
      </c>
      <c r="B325" s="2943" t="s">
        <v>3042</v>
      </c>
      <c r="C325" s="2942"/>
      <c r="D325" s="2942"/>
      <c r="E325" s="2942"/>
      <c r="F325" s="2942">
        <v>900</v>
      </c>
      <c r="G325" s="2955"/>
    </row>
    <row r="326" spans="1:7" s="2776" customFormat="1" ht="14.25" customHeight="1" thickBot="1">
      <c r="A326" s="2956" t="s">
        <v>306</v>
      </c>
      <c r="B326" s="2949" t="s">
        <v>3044</v>
      </c>
      <c r="C326" s="2949"/>
      <c r="D326" s="2949"/>
      <c r="E326" s="2949"/>
      <c r="F326" s="2949">
        <v>790</v>
      </c>
      <c r="G326" s="2957"/>
    </row>
    <row r="327" spans="1:7" s="2776" customFormat="1" ht="14.25" customHeight="1">
      <c r="A327" s="2947" t="s">
        <v>307</v>
      </c>
      <c r="B327" s="2938" t="s">
        <v>3143</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3144</v>
      </c>
      <c r="C329" s="2942">
        <v>2730</v>
      </c>
      <c r="D329" s="2942">
        <v>2690</v>
      </c>
      <c r="E329" s="2942">
        <v>3100</v>
      </c>
      <c r="F329" s="2942">
        <v>660</v>
      </c>
      <c r="G329" s="2942">
        <v>1610</v>
      </c>
    </row>
    <row r="330" spans="1:7" s="2776" customFormat="1" ht="14.25" customHeight="1">
      <c r="A330" s="2942" t="s">
        <v>307</v>
      </c>
      <c r="B330" s="2942" t="s">
        <v>3145</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2878</v>
      </c>
      <c r="C332" s="2942">
        <v>3520</v>
      </c>
      <c r="D332" s="2942">
        <v>3480</v>
      </c>
      <c r="E332" s="2942">
        <v>3830</v>
      </c>
      <c r="F332" s="2942">
        <v>720</v>
      </c>
      <c r="G332" s="2942">
        <v>2090</v>
      </c>
    </row>
    <row r="333" spans="1:7" s="2776" customFormat="1" ht="14.25" customHeight="1">
      <c r="A333" s="2942" t="s">
        <v>307</v>
      </c>
      <c r="B333" s="2942" t="s">
        <v>3146</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2888</v>
      </c>
      <c r="C336" s="2942">
        <v>3570</v>
      </c>
      <c r="D336" s="2942">
        <v>3530</v>
      </c>
      <c r="E336" s="2942">
        <v>3880</v>
      </c>
      <c r="F336" s="2942">
        <v>770</v>
      </c>
      <c r="G336" s="2942">
        <v>2110</v>
      </c>
    </row>
    <row r="337" spans="1:10" s="2776" customFormat="1" ht="14.25" customHeight="1">
      <c r="A337" s="2942" t="s">
        <v>307</v>
      </c>
      <c r="B337" s="2942" t="s">
        <v>3147</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3148</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3149</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2913</v>
      </c>
      <c r="C345" s="2942">
        <v>3190</v>
      </c>
      <c r="D345" s="2942">
        <v>3140</v>
      </c>
      <c r="E345" s="2942">
        <v>3450</v>
      </c>
      <c r="F345" s="2942">
        <v>720</v>
      </c>
      <c r="G345" s="2942">
        <v>1880</v>
      </c>
      <c r="J345" s="2776"/>
    </row>
    <row r="346" spans="1:10">
      <c r="A346" s="2942" t="s">
        <v>307</v>
      </c>
      <c r="B346" s="2942" t="s">
        <v>3150</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2922</v>
      </c>
      <c r="C348" s="2942">
        <v>4000</v>
      </c>
      <c r="D348" s="2942">
        <v>3950</v>
      </c>
      <c r="E348" s="2942">
        <v>4430</v>
      </c>
      <c r="F348" s="2942">
        <v>760</v>
      </c>
      <c r="G348" s="2942">
        <v>2360</v>
      </c>
      <c r="J348" s="2776"/>
    </row>
    <row r="349" spans="1:10">
      <c r="A349" s="2942" t="s">
        <v>307</v>
      </c>
      <c r="B349" s="2942" t="s">
        <v>2927</v>
      </c>
      <c r="C349" s="2942">
        <v>3820</v>
      </c>
      <c r="D349" s="2942">
        <v>3780</v>
      </c>
      <c r="E349" s="2942">
        <v>4170</v>
      </c>
      <c r="F349" s="2942">
        <v>710</v>
      </c>
      <c r="G349" s="2942">
        <v>2260</v>
      </c>
      <c r="J349" s="2776"/>
    </row>
    <row r="350" spans="1:10">
      <c r="A350" s="2942" t="s">
        <v>307</v>
      </c>
      <c r="B350" s="2942" t="s">
        <v>3151</v>
      </c>
      <c r="C350" s="2942">
        <v>3760</v>
      </c>
      <c r="D350" s="2942">
        <v>3730</v>
      </c>
      <c r="E350" s="2942">
        <v>4100</v>
      </c>
      <c r="F350" s="2942">
        <v>800</v>
      </c>
      <c r="G350" s="2942">
        <v>2230</v>
      </c>
      <c r="J350" s="2776"/>
    </row>
    <row r="351" spans="1:10">
      <c r="A351" s="2942" t="s">
        <v>307</v>
      </c>
      <c r="B351" s="2942" t="s">
        <v>2935</v>
      </c>
      <c r="C351" s="2942">
        <v>3610</v>
      </c>
      <c r="D351" s="2942">
        <v>3580</v>
      </c>
      <c r="E351" s="2942">
        <v>3930</v>
      </c>
      <c r="F351" s="2942">
        <v>700</v>
      </c>
      <c r="G351" s="2942">
        <v>2140</v>
      </c>
      <c r="J351" s="2776"/>
    </row>
    <row r="352" spans="1:10">
      <c r="A352" s="2942" t="s">
        <v>307</v>
      </c>
      <c r="B352" s="2942" t="s">
        <v>2940</v>
      </c>
      <c r="C352" s="2942">
        <v>3670</v>
      </c>
      <c r="D352" s="2942">
        <v>3630</v>
      </c>
      <c r="E352" s="2942">
        <v>4000</v>
      </c>
      <c r="F352" s="2942">
        <v>750</v>
      </c>
      <c r="G352" s="2942">
        <v>2180</v>
      </c>
    </row>
    <row r="353" spans="1:7" s="2777" customFormat="1">
      <c r="A353" s="2942" t="s">
        <v>307</v>
      </c>
      <c r="B353" s="2942" t="s">
        <v>3152</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2960</v>
      </c>
      <c r="C355" s="2942">
        <v>3650</v>
      </c>
      <c r="D355" s="2942">
        <v>3610</v>
      </c>
      <c r="E355" s="2942">
        <v>4200</v>
      </c>
      <c r="F355" s="2942">
        <v>640</v>
      </c>
      <c r="G355" s="2942">
        <v>2160</v>
      </c>
    </row>
    <row r="356" spans="1:7" s="2777" customFormat="1">
      <c r="A356" s="2942" t="s">
        <v>307</v>
      </c>
      <c r="B356" s="2942" t="s">
        <v>2967</v>
      </c>
      <c r="C356" s="2942">
        <v>3260</v>
      </c>
      <c r="D356" s="2942">
        <v>3230</v>
      </c>
      <c r="E356" s="2942">
        <v>3740</v>
      </c>
      <c r="F356" s="2942">
        <v>600</v>
      </c>
      <c r="G356" s="2942">
        <v>1930</v>
      </c>
    </row>
    <row r="357" spans="1:7" s="2777" customFormat="1" ht="11.4" thickBot="1">
      <c r="A357" s="2950" t="s">
        <v>307</v>
      </c>
      <c r="B357" s="2953" t="s">
        <v>3153</v>
      </c>
      <c r="C357" s="2953">
        <v>3690</v>
      </c>
      <c r="D357" s="2953">
        <v>3650</v>
      </c>
      <c r="E357" s="2953">
        <v>4020</v>
      </c>
      <c r="F357" s="2953">
        <v>700</v>
      </c>
      <c r="G357" s="2953">
        <v>2190</v>
      </c>
    </row>
    <row r="358" spans="1:7" s="2777" customFormat="1">
      <c r="A358" s="2947" t="s">
        <v>3154</v>
      </c>
      <c r="B358" s="2938" t="s">
        <v>3155</v>
      </c>
      <c r="C358" s="2938">
        <v>2080</v>
      </c>
      <c r="D358" s="2938">
        <v>2040</v>
      </c>
      <c r="E358" s="2938">
        <v>2010</v>
      </c>
      <c r="F358" s="2938">
        <v>530</v>
      </c>
      <c r="G358" s="2954">
        <v>1230</v>
      </c>
    </row>
    <row r="359" spans="1:7" s="2777" customFormat="1">
      <c r="A359" s="2942" t="s">
        <v>3154</v>
      </c>
      <c r="B359" s="2942" t="s">
        <v>3156</v>
      </c>
      <c r="C359" s="2942">
        <v>1850</v>
      </c>
      <c r="D359" s="2942">
        <v>1820</v>
      </c>
      <c r="E359" s="2942">
        <v>1780</v>
      </c>
      <c r="F359" s="2942">
        <v>520</v>
      </c>
      <c r="G359" s="2955">
        <v>1100</v>
      </c>
    </row>
    <row r="360" spans="1:7" s="2777" customFormat="1">
      <c r="A360" s="2942" t="s">
        <v>3154</v>
      </c>
      <c r="B360" s="2942" t="s">
        <v>3157</v>
      </c>
      <c r="C360" s="2942">
        <v>2020</v>
      </c>
      <c r="D360" s="2942">
        <v>1990</v>
      </c>
      <c r="E360" s="2942">
        <v>1950</v>
      </c>
      <c r="F360" s="2942">
        <v>500</v>
      </c>
      <c r="G360" s="2955">
        <v>1200</v>
      </c>
    </row>
    <row r="361" spans="1:7" s="2777" customFormat="1">
      <c r="A361" s="2942" t="s">
        <v>3154</v>
      </c>
      <c r="B361" s="2942" t="s">
        <v>153</v>
      </c>
      <c r="C361" s="2942">
        <v>2260</v>
      </c>
      <c r="D361" s="2942">
        <v>2220</v>
      </c>
      <c r="E361" s="2942">
        <v>2180</v>
      </c>
      <c r="F361" s="2942">
        <v>580</v>
      </c>
      <c r="G361" s="2955">
        <v>1340</v>
      </c>
    </row>
    <row r="362" spans="1:7" s="2777" customFormat="1">
      <c r="A362" s="2942" t="s">
        <v>3154</v>
      </c>
      <c r="B362" s="2942" t="s">
        <v>3158</v>
      </c>
      <c r="C362" s="2942">
        <v>2650</v>
      </c>
      <c r="D362" s="2942">
        <v>2610</v>
      </c>
      <c r="E362" s="2942">
        <v>2570</v>
      </c>
      <c r="F362" s="2942">
        <v>630</v>
      </c>
      <c r="G362" s="2955">
        <v>1570</v>
      </c>
    </row>
    <row r="363" spans="1:7" s="2777" customFormat="1">
      <c r="A363" s="2942" t="s">
        <v>3154</v>
      </c>
      <c r="B363" s="2942" t="s">
        <v>2879</v>
      </c>
      <c r="C363" s="2942">
        <v>2390</v>
      </c>
      <c r="D363" s="2942">
        <v>2360</v>
      </c>
      <c r="E363" s="2942">
        <v>2320</v>
      </c>
      <c r="F363" s="2942">
        <v>600</v>
      </c>
      <c r="G363" s="2955">
        <v>1420</v>
      </c>
    </row>
    <row r="364" spans="1:7" s="2777" customFormat="1">
      <c r="A364" s="2942" t="s">
        <v>3154</v>
      </c>
      <c r="B364" s="2942" t="s">
        <v>3159</v>
      </c>
      <c r="C364" s="2942">
        <v>2050</v>
      </c>
      <c r="D364" s="2942">
        <v>2030</v>
      </c>
      <c r="E364" s="2942">
        <v>1990</v>
      </c>
      <c r="F364" s="2942">
        <v>550</v>
      </c>
      <c r="G364" s="2955">
        <v>1220</v>
      </c>
    </row>
    <row r="365" spans="1:7" s="2777" customFormat="1">
      <c r="A365" s="2942" t="s">
        <v>3154</v>
      </c>
      <c r="B365" s="2942" t="s">
        <v>200</v>
      </c>
      <c r="C365" s="2942">
        <v>2140</v>
      </c>
      <c r="D365" s="2942">
        <v>2100</v>
      </c>
      <c r="E365" s="2942">
        <v>2060</v>
      </c>
      <c r="F365" s="2942">
        <v>540</v>
      </c>
      <c r="G365" s="2955">
        <v>1270</v>
      </c>
    </row>
    <row r="366" spans="1:7" s="2777" customFormat="1">
      <c r="A366" s="2942" t="s">
        <v>3154</v>
      </c>
      <c r="B366" s="2942" t="s">
        <v>2886</v>
      </c>
      <c r="C366" s="2942">
        <v>2410</v>
      </c>
      <c r="D366" s="2942">
        <v>2370</v>
      </c>
      <c r="E366" s="2942">
        <v>2330</v>
      </c>
      <c r="F366" s="2942">
        <v>570</v>
      </c>
      <c r="G366" s="2955">
        <v>1440</v>
      </c>
    </row>
    <row r="367" spans="1:7" s="2777" customFormat="1">
      <c r="A367" s="2942" t="s">
        <v>3154</v>
      </c>
      <c r="B367" s="2942" t="s">
        <v>3160</v>
      </c>
      <c r="C367" s="2942">
        <v>2300</v>
      </c>
      <c r="D367" s="2942">
        <v>2260</v>
      </c>
      <c r="E367" s="2942">
        <v>2220</v>
      </c>
      <c r="F367" s="2942">
        <v>560</v>
      </c>
      <c r="G367" s="2955">
        <v>1370</v>
      </c>
    </row>
    <row r="368" spans="1:7" s="2777" customFormat="1">
      <c r="A368" s="2942" t="s">
        <v>3154</v>
      </c>
      <c r="B368" s="2942" t="s">
        <v>3161</v>
      </c>
      <c r="C368" s="2942">
        <v>2430</v>
      </c>
      <c r="D368" s="2942">
        <v>2390</v>
      </c>
      <c r="E368" s="2942">
        <v>2350</v>
      </c>
      <c r="F368" s="2942">
        <v>570</v>
      </c>
      <c r="G368" s="2955">
        <v>1450</v>
      </c>
    </row>
    <row r="369" spans="1:7" s="2777" customFormat="1">
      <c r="A369" s="2942" t="s">
        <v>3154</v>
      </c>
      <c r="B369" s="2942" t="s">
        <v>214</v>
      </c>
      <c r="C369" s="2942">
        <v>2320</v>
      </c>
      <c r="D369" s="2942">
        <v>2290</v>
      </c>
      <c r="E369" s="2942">
        <v>2250</v>
      </c>
      <c r="F369" s="2942">
        <v>550</v>
      </c>
      <c r="G369" s="2955">
        <v>1380</v>
      </c>
    </row>
    <row r="370" spans="1:7" s="2777" customFormat="1">
      <c r="A370" s="2942" t="s">
        <v>3154</v>
      </c>
      <c r="B370" s="2942" t="s">
        <v>221</v>
      </c>
      <c r="C370" s="2942">
        <v>2190</v>
      </c>
      <c r="D370" s="2942">
        <v>2170</v>
      </c>
      <c r="E370" s="2942">
        <v>2130</v>
      </c>
      <c r="F370" s="2942">
        <v>530</v>
      </c>
      <c r="G370" s="2955">
        <v>1310</v>
      </c>
    </row>
    <row r="371" spans="1:7" s="2777" customFormat="1">
      <c r="A371" s="2942" t="s">
        <v>3154</v>
      </c>
      <c r="B371" s="2942" t="s">
        <v>229</v>
      </c>
      <c r="C371" s="2942">
        <v>2460</v>
      </c>
      <c r="D371" s="2942">
        <v>2420</v>
      </c>
      <c r="E371" s="2942">
        <v>2370</v>
      </c>
      <c r="F371" s="2942">
        <v>560</v>
      </c>
      <c r="G371" s="2955">
        <v>1470</v>
      </c>
    </row>
    <row r="372" spans="1:7" s="2777" customFormat="1">
      <c r="A372" s="2942" t="s">
        <v>3154</v>
      </c>
      <c r="B372" s="2942" t="s">
        <v>3162</v>
      </c>
      <c r="C372" s="2942">
        <v>2250</v>
      </c>
      <c r="D372" s="2942">
        <v>2210</v>
      </c>
      <c r="E372" s="2942">
        <v>2180</v>
      </c>
      <c r="F372" s="2942">
        <v>550</v>
      </c>
      <c r="G372" s="2955">
        <v>1340</v>
      </c>
    </row>
    <row r="373" spans="1:7" s="2777" customFormat="1">
      <c r="A373" s="2942" t="s">
        <v>3154</v>
      </c>
      <c r="B373" s="2942" t="s">
        <v>258</v>
      </c>
      <c r="C373" s="2942">
        <v>2210</v>
      </c>
      <c r="D373" s="2942">
        <v>2190</v>
      </c>
      <c r="E373" s="2942">
        <v>2150</v>
      </c>
      <c r="F373" s="2942">
        <v>530</v>
      </c>
      <c r="G373" s="2955">
        <v>1320</v>
      </c>
    </row>
    <row r="374" spans="1:7" s="2777" customFormat="1">
      <c r="A374" s="2942" t="s">
        <v>3154</v>
      </c>
      <c r="B374" s="2942" t="s">
        <v>266</v>
      </c>
      <c r="C374" s="2942">
        <v>2320</v>
      </c>
      <c r="D374" s="2942">
        <v>2280</v>
      </c>
      <c r="E374" s="2942">
        <v>2230</v>
      </c>
      <c r="F374" s="2942">
        <v>580</v>
      </c>
      <c r="G374" s="2955">
        <v>1380</v>
      </c>
    </row>
    <row r="375" spans="1:7" s="2777" customFormat="1">
      <c r="A375" s="2942" t="s">
        <v>3154</v>
      </c>
      <c r="B375" s="2942" t="s">
        <v>3163</v>
      </c>
      <c r="C375" s="2942">
        <v>2090</v>
      </c>
      <c r="D375" s="2942">
        <v>2050</v>
      </c>
      <c r="E375" s="2942">
        <v>2020</v>
      </c>
      <c r="F375" s="2942">
        <v>520</v>
      </c>
      <c r="G375" s="2955">
        <v>1240</v>
      </c>
    </row>
    <row r="376" spans="1:7" s="2777" customFormat="1">
      <c r="A376" s="2942" t="s">
        <v>3154</v>
      </c>
      <c r="B376" s="2942" t="s">
        <v>277</v>
      </c>
      <c r="C376" s="2942">
        <v>2010</v>
      </c>
      <c r="D376" s="2942">
        <v>1980</v>
      </c>
      <c r="E376" s="2942">
        <v>1940</v>
      </c>
      <c r="F376" s="2942">
        <v>540</v>
      </c>
      <c r="G376" s="2955">
        <v>1190</v>
      </c>
    </row>
    <row r="377" spans="1:7" s="2777" customFormat="1" ht="11.4" thickBot="1">
      <c r="A377" s="2950" t="s">
        <v>3154</v>
      </c>
      <c r="B377" s="2953" t="s">
        <v>2916</v>
      </c>
      <c r="C377" s="2953">
        <v>1930</v>
      </c>
      <c r="D377" s="2953">
        <v>1890</v>
      </c>
      <c r="E377" s="2953">
        <v>1860</v>
      </c>
      <c r="F377" s="2953">
        <v>530</v>
      </c>
      <c r="G377" s="2958">
        <v>1150</v>
      </c>
    </row>
    <row r="378" spans="1:7" s="2777" customFormat="1">
      <c r="A378" s="2959" t="s">
        <v>3164</v>
      </c>
      <c r="B378" s="2938" t="s">
        <v>3165</v>
      </c>
      <c r="C378" s="2938">
        <v>1520</v>
      </c>
      <c r="D378" s="2938">
        <v>1490</v>
      </c>
      <c r="E378" s="2938">
        <v>1460</v>
      </c>
      <c r="F378" s="2938">
        <v>460</v>
      </c>
      <c r="G378" s="2954">
        <v>940</v>
      </c>
    </row>
    <row r="379" spans="1:7" s="2777" customFormat="1">
      <c r="A379" s="2960" t="s">
        <v>3164</v>
      </c>
      <c r="B379" s="2942" t="s">
        <v>3166</v>
      </c>
      <c r="C379" s="2942">
        <v>1500</v>
      </c>
      <c r="D379" s="2942">
        <v>1470</v>
      </c>
      <c r="E379" s="2942">
        <v>1430</v>
      </c>
      <c r="F379" s="2942">
        <v>460</v>
      </c>
      <c r="G379" s="2955">
        <v>920</v>
      </c>
    </row>
    <row r="380" spans="1:7" s="2777" customFormat="1">
      <c r="A380" s="2960" t="s">
        <v>3164</v>
      </c>
      <c r="B380" s="2942" t="s">
        <v>3167</v>
      </c>
      <c r="C380" s="2942">
        <v>1620</v>
      </c>
      <c r="D380" s="2942">
        <v>1590</v>
      </c>
      <c r="E380" s="2942">
        <v>1560</v>
      </c>
      <c r="F380" s="2942">
        <v>480</v>
      </c>
      <c r="G380" s="2955">
        <v>1000</v>
      </c>
    </row>
    <row r="381" spans="1:7" s="2777" customFormat="1">
      <c r="A381" s="2960" t="s">
        <v>3164</v>
      </c>
      <c r="B381" s="2942" t="s">
        <v>3168</v>
      </c>
      <c r="C381" s="2942">
        <v>1460</v>
      </c>
      <c r="D381" s="2942">
        <v>1430</v>
      </c>
      <c r="E381" s="2942">
        <v>1390</v>
      </c>
      <c r="F381" s="2942">
        <v>450</v>
      </c>
      <c r="G381" s="2955">
        <v>900</v>
      </c>
    </row>
    <row r="382" spans="1:7" s="2777" customFormat="1">
      <c r="A382" s="2960" t="s">
        <v>3164</v>
      </c>
      <c r="B382" s="2942" t="s">
        <v>3169</v>
      </c>
      <c r="C382" s="2942">
        <v>1310</v>
      </c>
      <c r="D382" s="2942">
        <v>1280</v>
      </c>
      <c r="E382" s="2942">
        <v>1250</v>
      </c>
      <c r="F382" s="2942">
        <v>440</v>
      </c>
      <c r="G382" s="2955">
        <v>800</v>
      </c>
    </row>
    <row r="383" spans="1:7" s="2777" customFormat="1">
      <c r="A383" s="2960" t="s">
        <v>3164</v>
      </c>
      <c r="B383" s="2942" t="s">
        <v>3170</v>
      </c>
      <c r="C383" s="2942">
        <v>1260</v>
      </c>
      <c r="D383" s="2942">
        <v>1230</v>
      </c>
      <c r="E383" s="2942">
        <v>1200</v>
      </c>
      <c r="F383" s="2942">
        <v>420</v>
      </c>
      <c r="G383" s="2955">
        <v>770</v>
      </c>
    </row>
    <row r="384" spans="1:7" s="2777" customFormat="1" ht="11.4" thickBot="1">
      <c r="A384" s="2961" t="s">
        <v>3164</v>
      </c>
      <c r="B384" s="2949" t="s">
        <v>3171</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45945</v>
      </c>
      <c r="D1" s="1216" t="s">
        <v>603</v>
      </c>
      <c r="E1" s="1211">
        <f>'数据-取费表'!B22</f>
        <v>2.5</v>
      </c>
      <c r="F1" s="1216" t="s">
        <v>604</v>
      </c>
      <c r="G1" s="1212">
        <f ca="1">IF(OR(C1&lt;C27,E1&lt;=1),INDIRECT("d"&amp;$K$1)/100,ROUND((D5+(E1-C5)*(D7-D5)/(C7-C5))/100,4))</f>
        <v>3.1899999999999998E-2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0">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1"/>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2300</v>
      </c>
      <c r="C27" s="1206">
        <v>43697</v>
      </c>
      <c r="D27" s="2569">
        <v>4.25</v>
      </c>
      <c r="E27" s="2569">
        <v>4.25</v>
      </c>
      <c r="F27" s="2569">
        <v>4.25</v>
      </c>
      <c r="G27" s="2569">
        <v>4.25</v>
      </c>
      <c r="H27" s="2569">
        <v>4.8499999999999996</v>
      </c>
      <c r="I27" s="2569"/>
      <c r="J27" s="256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2"/>
      <c r="C28" s="2573">
        <v>42301</v>
      </c>
      <c r="D28" s="2574">
        <v>4.3499999999999996</v>
      </c>
      <c r="E28" s="2574">
        <v>4.3499999999999996</v>
      </c>
      <c r="F28" s="2574">
        <v>4.75</v>
      </c>
      <c r="G28" s="2574">
        <v>4.75</v>
      </c>
      <c r="H28" s="2574">
        <v>4.9000000000000004</v>
      </c>
      <c r="I28" s="2574"/>
      <c r="J28" s="257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5" t="str">
        <f>IF(项目基本情况!B9="房地产市场价值","估价结果一览表","结果表-2")</f>
        <v>结果表-2</v>
      </c>
      <c r="B1" s="3215"/>
      <c r="C1" s="3215"/>
      <c r="D1" s="3215"/>
      <c r="E1" s="3215"/>
      <c r="F1" s="3215"/>
      <c r="G1" s="3215"/>
      <c r="H1" s="3215"/>
      <c r="I1" s="3215"/>
    </row>
    <row r="2" spans="1:9" ht="30" customHeight="1" thickTop="1">
      <c r="A2" s="3216" t="s">
        <v>928</v>
      </c>
      <c r="B2" s="3216" t="s">
        <v>929</v>
      </c>
      <c r="C2" s="3216" t="s">
        <v>930</v>
      </c>
      <c r="D2" s="3216" t="str">
        <f>结果表!D116</f>
        <v>出让国有建设用地使用权价值</v>
      </c>
      <c r="E2" s="3216"/>
      <c r="F2" s="3216" t="str">
        <f>结果表!F116</f>
        <v>在建建筑物价值</v>
      </c>
      <c r="G2" s="3216"/>
      <c r="H2" s="3216" t="str">
        <f>IF(项目基本情况!B9="房地产市场价值","房地产市场价值","房地产价值")</f>
        <v>房地产价值</v>
      </c>
      <c r="I2" s="3216"/>
    </row>
    <row r="3" spans="1:9" ht="15.6">
      <c r="A3" s="3211"/>
      <c r="B3" s="3211"/>
      <c r="C3" s="3211"/>
      <c r="D3" s="800" t="s">
        <v>925</v>
      </c>
      <c r="E3" s="800" t="s">
        <v>931</v>
      </c>
      <c r="F3" s="800" t="s">
        <v>925</v>
      </c>
      <c r="G3" s="800" t="s">
        <v>926</v>
      </c>
      <c r="H3" s="800" t="s">
        <v>925</v>
      </c>
      <c r="I3" s="800" t="s">
        <v>926</v>
      </c>
    </row>
    <row r="4" spans="1:9" ht="30">
      <c r="A4" s="1402" t="str">
        <f>项目基本情况!S2</f>
        <v>北京市出让国有建设用地使用权及在建建筑物房地产</v>
      </c>
      <c r="B4" s="800">
        <f>项目基本情况!C17</f>
        <v>42993.910000000222</v>
      </c>
      <c r="C4" s="800">
        <f>项目基本情况!C18</f>
        <v>17707.41</v>
      </c>
      <c r="D4" s="800">
        <f ca="1">结果表!D118</f>
        <v>71833</v>
      </c>
      <c r="E4" s="800">
        <f ca="1">结果表!E118</f>
        <v>16708</v>
      </c>
      <c r="F4" s="800">
        <f ca="1">结果表!F118</f>
        <v>21700</v>
      </c>
      <c r="G4" s="800">
        <f ca="1">结果表!G118</f>
        <v>5047</v>
      </c>
      <c r="H4" s="800">
        <f ca="1">结果表!H118</f>
        <v>93533</v>
      </c>
      <c r="I4" s="800">
        <f ca="1">结果表!I118</f>
        <v>21755</v>
      </c>
    </row>
    <row r="5" spans="1:9" ht="30" customHeight="1">
      <c r="A5" s="3211" t="s">
        <v>927</v>
      </c>
      <c r="B5" s="3211"/>
      <c r="C5" s="3211"/>
      <c r="D5" s="3211" t="str">
        <f ca="1">结果表!D119</f>
        <v>柒亿壹仟捌佰叁拾叁万元整</v>
      </c>
      <c r="E5" s="3211"/>
      <c r="F5" s="3211" t="str">
        <f ca="1">结果表!F119</f>
        <v>贰亿壹仟柒佰万元整</v>
      </c>
      <c r="G5" s="3211"/>
      <c r="H5" s="3211" t="str">
        <f ca="1">结果表!H119</f>
        <v>玖亿叁仟伍佰叁拾叁万元整</v>
      </c>
      <c r="I5" s="3211"/>
    </row>
    <row r="6" spans="1:9" ht="15.6">
      <c r="A6" s="3210" t="str">
        <f>结果表!A120</f>
        <v>估价师知悉的法定优先受偿款</v>
      </c>
      <c r="B6" s="3210"/>
      <c r="C6" s="3210"/>
      <c r="D6" s="3210">
        <f>结果表!D120</f>
        <v>0</v>
      </c>
      <c r="E6" s="3210"/>
      <c r="F6" s="3210"/>
      <c r="G6" s="3210"/>
      <c r="H6" s="3210"/>
      <c r="I6" s="3210"/>
    </row>
    <row r="7" spans="1:9" ht="15">
      <c r="A7" s="3211" t="s">
        <v>927</v>
      </c>
      <c r="B7" s="3211"/>
      <c r="C7" s="3211"/>
      <c r="D7" s="3212" t="str">
        <f>结果表!D121</f>
        <v>零元整</v>
      </c>
      <c r="E7" s="3213"/>
      <c r="F7" s="3213"/>
      <c r="G7" s="3213"/>
      <c r="H7" s="3213"/>
      <c r="I7" s="3214"/>
    </row>
    <row r="8" spans="1:9" ht="15.6">
      <c r="A8" s="3210" t="str">
        <f>结果表!A122</f>
        <v>房地产抵押价值</v>
      </c>
      <c r="B8" s="3210"/>
      <c r="C8" s="3210"/>
      <c r="D8" s="3210">
        <f ca="1">结果表!D122</f>
        <v>93533</v>
      </c>
      <c r="E8" s="3210"/>
      <c r="F8" s="3210"/>
      <c r="G8" s="3210"/>
      <c r="H8" s="3210"/>
      <c r="I8" s="3210"/>
    </row>
    <row r="9" spans="1:9" ht="15">
      <c r="A9" s="3211" t="s">
        <v>927</v>
      </c>
      <c r="B9" s="3211"/>
      <c r="C9" s="3211"/>
      <c r="D9" s="3211" t="str">
        <f ca="1">结果表!D123</f>
        <v>玖亿叁仟伍佰叁拾叁万元整</v>
      </c>
      <c r="E9" s="3211"/>
      <c r="F9" s="3211"/>
      <c r="G9" s="3211"/>
      <c r="H9" s="3211"/>
      <c r="I9" s="3211"/>
    </row>
    <row r="10" spans="1:9" ht="15.6">
      <c r="A10" s="3210" t="str">
        <f>结果表!A124</f>
        <v/>
      </c>
      <c r="B10" s="3210"/>
      <c r="C10" s="3210"/>
      <c r="D10" s="3210" t="str">
        <f>结果表!D124</f>
        <v>——</v>
      </c>
      <c r="E10" s="3210"/>
      <c r="F10" s="3210"/>
      <c r="G10" s="3210"/>
      <c r="H10" s="3210"/>
      <c r="I10" s="3210"/>
    </row>
    <row r="11" spans="1:9" ht="15">
      <c r="A11" s="3211" t="s">
        <v>927</v>
      </c>
      <c r="B11" s="3211"/>
      <c r="C11" s="3211"/>
      <c r="D11" s="3211" t="e">
        <f>结果表!D125</f>
        <v>#VALUE!</v>
      </c>
      <c r="E11" s="3211"/>
      <c r="F11" s="3211"/>
      <c r="G11" s="3211"/>
      <c r="H11" s="3211"/>
      <c r="I11" s="3211"/>
    </row>
    <row r="12" spans="1:9" ht="15.6">
      <c r="A12" s="3210" t="str">
        <f>结果表!A126</f>
        <v/>
      </c>
      <c r="B12" s="3210"/>
      <c r="C12" s="3210"/>
      <c r="D12" s="3210" t="str">
        <f>结果表!D126</f>
        <v>——</v>
      </c>
      <c r="E12" s="3210"/>
      <c r="F12" s="3210"/>
      <c r="G12" s="3210"/>
      <c r="H12" s="3210"/>
      <c r="I12" s="3210"/>
    </row>
    <row r="13" spans="1:9" ht="15.6" thickBot="1">
      <c r="A13" s="3208" t="s">
        <v>927</v>
      </c>
      <c r="B13" s="3208"/>
      <c r="C13" s="3208"/>
      <c r="D13" s="3208" t="e">
        <f>结果表!D127</f>
        <v>#VALUE!</v>
      </c>
      <c r="E13" s="3208"/>
      <c r="F13" s="3208"/>
      <c r="G13" s="3208"/>
      <c r="H13" s="3208"/>
      <c r="I13" s="3208"/>
    </row>
    <row r="14" spans="1:9" ht="14.4" thickTop="1">
      <c r="A14" s="3209" t="s">
        <v>932</v>
      </c>
      <c r="B14" s="3209"/>
      <c r="C14" s="3209"/>
      <c r="D14" s="3209"/>
      <c r="E14" s="3209"/>
      <c r="F14" s="3209"/>
      <c r="G14" s="3209"/>
      <c r="H14" s="3209"/>
      <c r="I14" s="3209"/>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3" t="s">
        <v>949</v>
      </c>
      <c r="B1" s="3223"/>
      <c r="C1" s="3223"/>
      <c r="D1" s="3223"/>
    </row>
    <row r="2" spans="1:4" ht="17.399999999999999">
      <c r="A2" s="3224" t="s">
        <v>933</v>
      </c>
      <c r="B2" s="3224"/>
      <c r="C2" s="3224"/>
      <c r="D2" s="3224"/>
    </row>
    <row r="3" spans="1:4" ht="17.399999999999999">
      <c r="A3" s="1406" t="s">
        <v>934</v>
      </c>
      <c r="B3" s="1406" t="s">
        <v>935</v>
      </c>
      <c r="C3" s="1406" t="s">
        <v>936</v>
      </c>
      <c r="D3" s="1406" t="s">
        <v>937</v>
      </c>
    </row>
    <row r="4" spans="1:4" ht="56.25" customHeight="1">
      <c r="A4" s="1407" t="str">
        <f>项目基本情况!B4</f>
        <v>郑燚</v>
      </c>
      <c r="B4" s="1408">
        <f ca="1">项目基本情况!C4</f>
        <v>0</v>
      </c>
      <c r="C4" s="1409"/>
      <c r="D4" s="1410" t="s">
        <v>938</v>
      </c>
    </row>
    <row r="5" spans="1:4" ht="56.25" customHeight="1">
      <c r="A5" s="1407">
        <f>项目基本情况!D4</f>
        <v>0</v>
      </c>
      <c r="B5" s="1408">
        <f>项目基本情况!E4</f>
        <v>0</v>
      </c>
      <c r="C5" s="1411"/>
      <c r="D5" s="1410" t="s">
        <v>938</v>
      </c>
    </row>
    <row r="6" spans="1:4" ht="17.399999999999999">
      <c r="A6" s="3224" t="s">
        <v>939</v>
      </c>
      <c r="B6" s="3224"/>
      <c r="C6" s="3224"/>
      <c r="D6" s="322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25" t="s">
        <v>942</v>
      </c>
      <c r="B11" s="3217"/>
      <c r="C11" s="3217"/>
      <c r="D11" s="3217"/>
    </row>
    <row r="12" spans="1:4" ht="15.6">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17" t="str">
        <f>IF(项目基本情况!B8="抵押","4.本次评估估价师所知悉的法定优先受偿款情况说明如下：","——")</f>
        <v>4.本次评估估价师所知悉的法定优先受偿款情况说明如下：</v>
      </c>
      <c r="B14" s="3222"/>
      <c r="C14" s="3222"/>
      <c r="D14" s="3222"/>
    </row>
    <row r="15" spans="1:4" ht="42" customHeight="1">
      <c r="A15" s="32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7"/>
      <c r="C15" s="3217"/>
      <c r="D15" s="3217"/>
    </row>
    <row r="16" spans="1:4" ht="30" customHeight="1">
      <c r="A16" s="3219" t="s">
        <v>943</v>
      </c>
      <c r="B16" s="3219"/>
      <c r="C16" s="3219"/>
      <c r="D16" s="3219"/>
    </row>
    <row r="17" spans="1:4" ht="144" customHeight="1">
      <c r="A17" s="3219" t="s">
        <v>944</v>
      </c>
      <c r="B17" s="3219"/>
      <c r="C17" s="3219"/>
      <c r="D17" s="3219"/>
    </row>
    <row r="18" spans="1:4" ht="15.75" customHeight="1">
      <c r="A18" s="3217" t="str">
        <f>IF(项目基本情况!B8="抵押",结果表!K120,"——")</f>
        <v>故，本次评估不存在估价师知悉的法定优先受偿款</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7"/>
      <c r="C20" s="3217"/>
      <c r="D20" s="3217"/>
    </row>
    <row r="21" spans="1:4" ht="57.75" customHeight="1">
      <c r="A21" s="32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0"/>
      <c r="C21" s="3220"/>
      <c r="D21" s="3220"/>
    </row>
    <row r="22" spans="1:4" ht="18.75" customHeight="1">
      <c r="A22" s="3221" t="s">
        <v>945</v>
      </c>
      <c r="B22" s="3221"/>
      <c r="C22" s="3221"/>
      <c r="D22" s="3221"/>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18">
        <v>42551</v>
      </c>
      <c r="D31" s="32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31" t="s">
        <v>956</v>
      </c>
      <c r="B15" s="3226" t="s">
        <v>109</v>
      </c>
      <c r="C15" s="3227"/>
    </row>
    <row r="16" spans="1:7" ht="14.4">
      <c r="A16" s="3232"/>
      <c r="B16" s="3226" t="s">
        <v>42</v>
      </c>
      <c r="C16" s="3227"/>
    </row>
    <row r="17" spans="1:3" ht="14.4">
      <c r="A17" s="3232"/>
      <c r="B17" s="3229" t="s">
        <v>957</v>
      </c>
      <c r="C17" s="1428" t="s">
        <v>956</v>
      </c>
    </row>
    <row r="18" spans="1:3" ht="14.4">
      <c r="A18" s="3232"/>
      <c r="B18" s="3229"/>
      <c r="C18" s="1428" t="s">
        <v>958</v>
      </c>
    </row>
    <row r="19" spans="1:3" ht="14.4">
      <c r="A19" s="3232"/>
      <c r="B19" s="3229"/>
      <c r="C19" s="1428" t="s">
        <v>959</v>
      </c>
    </row>
    <row r="20" spans="1:3" ht="14.4">
      <c r="A20" s="3233"/>
      <c r="B20" s="3228" t="s">
        <v>960</v>
      </c>
      <c r="C20" s="3227"/>
    </row>
    <row r="21" spans="1:3" ht="14.4">
      <c r="A21" s="1429" t="s">
        <v>961</v>
      </c>
      <c r="B21" s="1430"/>
      <c r="C21" s="1431"/>
    </row>
    <row r="22" spans="1:3" ht="14.4">
      <c r="A22" s="3230" t="s">
        <v>962</v>
      </c>
      <c r="B22" s="3228" t="s">
        <v>963</v>
      </c>
      <c r="C22" s="3227"/>
    </row>
    <row r="23" spans="1:3" ht="14.4">
      <c r="A23" s="3230"/>
      <c r="B23" s="3228" t="s">
        <v>964</v>
      </c>
      <c r="C23" s="3227"/>
    </row>
    <row r="24" spans="1:3" ht="14.4">
      <c r="A24" s="3230"/>
      <c r="B24" s="3228" t="s">
        <v>965</v>
      </c>
      <c r="C24" s="3227"/>
    </row>
    <row r="25" spans="1:3" ht="14.4">
      <c r="A25" s="3230"/>
      <c r="B25" s="3229" t="s">
        <v>966</v>
      </c>
      <c r="C25" s="1428" t="s">
        <v>967</v>
      </c>
    </row>
    <row r="26" spans="1:3" ht="14.4">
      <c r="A26" s="3230"/>
      <c r="B26" s="3229"/>
      <c r="C26" s="1428" t="s">
        <v>968</v>
      </c>
    </row>
    <row r="27" spans="1:3" ht="14.4">
      <c r="A27" s="3230"/>
      <c r="B27" s="3229"/>
      <c r="C27" s="1428" t="s">
        <v>969</v>
      </c>
    </row>
    <row r="28" spans="1:3" ht="14.4">
      <c r="A28" s="3230"/>
      <c r="B28" s="3229"/>
      <c r="C28" s="1428" t="s">
        <v>970</v>
      </c>
    </row>
    <row r="29" spans="1:3" ht="14.4">
      <c r="A29" s="3230"/>
      <c r="B29" s="3229"/>
      <c r="C29" s="1428" t="s">
        <v>971</v>
      </c>
    </row>
    <row r="30" spans="1:3" ht="14.4">
      <c r="A30" s="3230"/>
      <c r="B30" s="3229"/>
      <c r="C30" s="1428" t="s">
        <v>972</v>
      </c>
    </row>
    <row r="31" spans="1:3" ht="14.4">
      <c r="A31" s="3230"/>
      <c r="B31" s="3229"/>
      <c r="C31" s="1428" t="s">
        <v>973</v>
      </c>
    </row>
    <row r="32" spans="1:3" ht="14.4">
      <c r="A32" s="3230"/>
      <c r="B32" s="3229"/>
      <c r="C32" s="1428" t="s">
        <v>974</v>
      </c>
    </row>
    <row r="33" spans="1:3" ht="14.4">
      <c r="A33" s="3230"/>
      <c r="B33" s="3229"/>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45946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4" t="s">
        <v>2160</v>
      </c>
      <c r="B17" s="3234"/>
      <c r="C17" s="3234"/>
      <c r="D17" s="3234"/>
      <c r="E17" s="3234"/>
      <c r="F17" s="3234"/>
      <c r="G17" s="3234"/>
      <c r="H17" s="3234"/>
    </row>
    <row r="18" spans="1:8" ht="24" customHeight="1">
      <c r="A18" s="3235" t="s">
        <v>2161</v>
      </c>
      <c r="B18" s="3235"/>
      <c r="C18" s="3235"/>
      <c r="D18" s="2159"/>
      <c r="E18" s="3236" t="s">
        <v>2162</v>
      </c>
      <c r="F18" s="3235"/>
      <c r="G18" s="323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收益法商</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2025-10-16T02:18:57Z</dcterms:modified>
</cp:coreProperties>
</file>